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drawings/drawing2.xml" ContentType="application/vnd.openxmlformats-officedocument.drawingml.chartshapes+xml"/>
  <Override PartName="/xl/charts/chart2.xml" ContentType="application/vnd.openxmlformats-officedocument.drawingml.chart+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embeddings/oleObject1.bin" ContentType="application/vnd.openxmlformats-officedocument.oleObject"/>
  <Override PartName="/xl/drawings/drawing6.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drawings/drawing7.xml" ContentType="application/vnd.openxmlformats-officedocument.drawing+xml"/>
  <Override PartName="/xl/drawings/drawing8.xml" ContentType="application/vnd.openxmlformats-officedocument.drawing+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codeName="{C026B480-071E-DA80-A48C-D3F380F32C35}"/>
  <workbookPr codeName="ThisWorkbook"/>
  <mc:AlternateContent xmlns:mc="http://schemas.openxmlformats.org/markup-compatibility/2006">
    <mc:Choice Requires="x15">
      <x15ac:absPath xmlns:x15ac="http://schemas.microsoft.com/office/spreadsheetml/2010/11/ac" url="C:\Users\FGN2KOR\Downloads\snvc220a(2)\"/>
    </mc:Choice>
  </mc:AlternateContent>
  <xr:revisionPtr revIDLastSave="0" documentId="8_{1260146B-51A3-4776-A429-45786928F816}" xr6:coauthVersionLast="47" xr6:coauthVersionMax="47" xr10:uidLastSave="{00000000-0000-0000-0000-000000000000}"/>
  <workbookProtection workbookPassword="CCC8" lockStructure="1"/>
  <bookViews>
    <workbookView xWindow="-80" yWindow="-80" windowWidth="19360" windowHeight="11700" tabRatio="287" xr2:uid="{00000000-000D-0000-FFFF-FFFF00000000}"/>
  </bookViews>
  <sheets>
    <sheet name="Design Regulator" sheetId="1" r:id="rId1"/>
    <sheet name="Schematic &amp; BOM" sheetId="16" r:id="rId2"/>
    <sheet name="EVM" sheetId="18" r:id="rId3"/>
    <sheet name="Variable Management" sheetId="2" state="hidden" r:id="rId4"/>
    <sheet name="Standard Value Calculator" sheetId="8" state="hidden" r:id="rId5"/>
    <sheet name="Bode Plots Calculations" sheetId="3" state="hidden" r:id="rId6"/>
    <sheet name="Schematic Management" sheetId="17" state="hidden" r:id="rId7"/>
    <sheet name="Power Calculations" sheetId="4" state="hidden" r:id="rId8"/>
    <sheet name="Snubber" sheetId="11" state="hidden" r:id="rId9"/>
    <sheet name="Parallel Output Caps" sheetId="6" state="hidden" r:id="rId10"/>
  </sheets>
  <externalReferences>
    <externalReference r:id="rId11"/>
  </externalReferences>
  <definedNames>
    <definedName name="_Don1">'Variable Management'!$B$23</definedName>
    <definedName name="_Don2" localSheetId="2">'[1]Variable Management'!$B$71</definedName>
    <definedName name="_Don2">'Variable Management'!$B$34</definedName>
    <definedName name="_Ren1">'Variable Management'!$B$94</definedName>
    <definedName name="_Rfb1">'Variable Management'!$B$126</definedName>
    <definedName name="_Rfb2">'Variable Management'!$B$127</definedName>
    <definedName name="_Rs1">'Variable Management'!$B$65</definedName>
    <definedName name="_Rs2">'Variable Management'!$B$64</definedName>
    <definedName name="_Rs3">'Variable Management'!$B$62</definedName>
    <definedName name="Cb">'Variable Management'!$B$119</definedName>
    <definedName name="Cby">'Variable Management'!$B$118</definedName>
    <definedName name="Cc1ea" localSheetId="2">'[1]Variable Management'!$B$358</definedName>
    <definedName name="Cc1ea">'Variable Management'!$B$133</definedName>
    <definedName name="Cc1ea_u" localSheetId="2">'[1]Variable Management'!$B$363</definedName>
    <definedName name="Cc1ea_u">'Variable Management'!$B$140</definedName>
    <definedName name="Cc2ea" localSheetId="2">'[1]Variable Management'!$B$359</definedName>
    <definedName name="Cc2ea">'Variable Management'!$B$134</definedName>
    <definedName name="Cc2ea_u" localSheetId="2">'[1]Variable Management'!$B$364</definedName>
    <definedName name="Cc2ea_u">'Variable Management'!$B$141</definedName>
    <definedName name="Cc3ea">'Variable Management'!$B$136</definedName>
    <definedName name="Cc3ea_u">'Variable Management'!$B$143</definedName>
    <definedName name="Cdd">'Variable Management'!$B$115</definedName>
    <definedName name="Cilim">'Variable Management'!$B$64</definedName>
    <definedName name="Cilim_ideal">'Variable Management'!$B$65</definedName>
    <definedName name="Cin" localSheetId="2">'[1]Variable Management'!$B$191</definedName>
    <definedName name="Cin">'Variable Management'!$B$81</definedName>
    <definedName name="Cin_Voltage_Rating">'Variable Management'!$S$66</definedName>
    <definedName name="CinEsrMax" localSheetId="2">'[1]Variable Management'!$B$194</definedName>
    <definedName name="CinEsrMax">'Variable Management'!$B$82</definedName>
    <definedName name="Core_Loss">'Design Regulator'!$M$77</definedName>
    <definedName name="CossBot">'Variable Management'!$B$202</definedName>
    <definedName name="CossTop">'Variable Management'!$B$190</definedName>
    <definedName name="Cout" localSheetId="2">'[1]Variable Management'!$B$171</definedName>
    <definedName name="Cout">'Variable Management'!$B$71</definedName>
    <definedName name="Cout_Voltage_Rating">'Variable Management'!$M$66</definedName>
    <definedName name="CoutEsr" localSheetId="2">'[1]Variable Management'!$B$175</definedName>
    <definedName name="CoutEsr">'Variable Management'!$B$73</definedName>
    <definedName name="Coutmin" localSheetId="2">'[1]Variable Management'!$B$169</definedName>
    <definedName name="Coutmin">'Variable Management'!$B$70</definedName>
    <definedName name="Csb" localSheetId="2">'[1]Variable Management'!$B$232</definedName>
    <definedName name="Csb">'Variable Management'!$B$116</definedName>
    <definedName name="Csby" localSheetId="2">'[1]Variable Management'!$B$233</definedName>
    <definedName name="Csby">'Variable Management'!$B$117</definedName>
    <definedName name="Css" localSheetId="2">'[1]Variable Management'!$B$207</definedName>
    <definedName name="Css">'Variable Management'!$B$90</definedName>
    <definedName name="Css_u" localSheetId="2">'[1]Variable Management'!$B$208</definedName>
    <definedName name="Css_u">'Variable Management'!$B$91</definedName>
    <definedName name="DC_Current_Limit_Setpoint">'Variable Management'!$B$49</definedName>
    <definedName name="Deadtime" localSheetId="2">'[1]Variable Management'!$B$401</definedName>
    <definedName name="Deadtime">'Variable Management'!$B$181</definedName>
    <definedName name="Doff1">'Variable Management'!$B$24</definedName>
    <definedName name="Doff2" localSheetId="2">'[1]Variable Management'!$B$72</definedName>
    <definedName name="Doff2">'Variable Management'!$B$35</definedName>
    <definedName name="Don_Vinmax" localSheetId="2">'[1]Variable Management'!$B$55</definedName>
    <definedName name="Don_Vinmax">'Variable Management'!$B$27</definedName>
    <definedName name="Eadcg">'Variable Management'!$B$122</definedName>
    <definedName name="Fcross" localSheetId="2">'[1]Variable Management'!$B$356</definedName>
    <definedName name="Fcross">'Variable Management'!$B$124</definedName>
    <definedName name="Fesr" localSheetId="2">'[1]Variable Management'!$B$352</definedName>
    <definedName name="Fesr">'Variable Management'!$B$148</definedName>
    <definedName name="Fo">'Variable Management'!$B$146</definedName>
    <definedName name="Fp1_u" localSheetId="2">'[1]Variable Management'!$B$350</definedName>
    <definedName name="Fp1_u">'Variable Management'!$B$151</definedName>
    <definedName name="Fp2_u" localSheetId="2">'[1]Variable Management'!$B$351</definedName>
    <definedName name="Fp2_u">'Variable Management'!$B$152</definedName>
    <definedName name="Fsw" localSheetId="2">'[1]Variable Management'!$B$22</definedName>
    <definedName name="Fsw">'Variable Management'!$B$12</definedName>
    <definedName name="Fz1_u" localSheetId="2">'[1]Variable Management'!$B$369</definedName>
    <definedName name="Fz1_u">'Variable Management'!$B$149</definedName>
    <definedName name="Fz2_u">'Variable Management'!$B$150</definedName>
    <definedName name="GBP">'Variable Management'!$B$123</definedName>
    <definedName name="GmTop">'Variable Management'!$B$192</definedName>
    <definedName name="Icinrms">'Variable Management'!$B$79</definedName>
    <definedName name="Icoutrms">'Variable Management'!$B$69</definedName>
    <definedName name="Ilim1">'Variable Management'!$B$53</definedName>
    <definedName name="Ilim2">'Variable Management'!$B$54</definedName>
    <definedName name="ILimit">'Variable Management'!$B$50</definedName>
    <definedName name="Ilsat">'Variable Management'!$B$51</definedName>
    <definedName name="Iout" localSheetId="2">'[1]Variable Management'!$B$13</definedName>
    <definedName name="Iout">'Variable Management'!$B$11</definedName>
    <definedName name="Ipp">'Power Calculations'!$B$69</definedName>
    <definedName name="Iq" localSheetId="2">'[1]Variable Management'!$B$403</definedName>
    <definedName name="Iq">'Variable Management'!$B$183</definedName>
    <definedName name="Ireverse" localSheetId="2">'[1]Variable Management'!$B$441</definedName>
    <definedName name="Ireverse">'Variable Management'!$B$211</definedName>
    <definedName name="Iripple1">'Variable Management'!$B$42</definedName>
    <definedName name="Iss">'Variable Management'!$B$89</definedName>
    <definedName name="Iuvlo_hys">'Variable Management'!$B$109</definedName>
    <definedName name="Iuvlo1" localSheetId="2">'[1]Variable Management'!$B$223</definedName>
    <definedName name="Iuvlo1">'Variable Management'!$B$107</definedName>
    <definedName name="Iuvlo2" localSheetId="2">'[1]Variable Management'!$B$224</definedName>
    <definedName name="Iuvlo2">'Variable Management'!$B$108</definedName>
    <definedName name="Kmidband">'Variable Management'!$B$125</definedName>
    <definedName name="Lout1">'Variable Management'!$B$30</definedName>
    <definedName name="Lout2">'Variable Management'!$B$31</definedName>
    <definedName name="Ltc" localSheetId="2">'[1]Variable Management'!$B$389</definedName>
    <definedName name="Ltc">'Variable Management'!$B$169</definedName>
    <definedName name="Pi" localSheetId="2">'[1]Variable Management'!$B$238</definedName>
    <definedName name="Pi">'Variable Management'!$B$154</definedName>
    <definedName name="PICTURE10">INDIRECT('Schematic Management'!$A$2)</definedName>
    <definedName name="PICTURE2" localSheetId="6">INDIRECT('Schematic Management'!$A$2)</definedName>
    <definedName name="_xlnm.Print_Area" localSheetId="0">'Design Regulator'!$A$1:$Q$106</definedName>
    <definedName name="_xlnm.Print_Area" localSheetId="1">'Schematic &amp; BOM'!$A$1:$J$68</definedName>
    <definedName name="Q" localSheetId="2">'[1]Variable Management'!$B$322</definedName>
    <definedName name="Q">'Variable Management'!$B$147</definedName>
    <definedName name="QgBot">'Variable Management'!$B$200</definedName>
    <definedName name="QgdTop">'Variable Management'!$B$188</definedName>
    <definedName name="QgsTop">'Variable Management'!$B$189</definedName>
    <definedName name="QgTop">'Variable Management'!$B$187</definedName>
    <definedName name="QossBot">'Variable Management'!$B$201</definedName>
    <definedName name="QrrBot">'Variable Management'!$B$205</definedName>
    <definedName name="QrrSky">'Variable Management'!$B$210</definedName>
    <definedName name="Rcea1" localSheetId="2">'[1]Variable Management'!$B$357</definedName>
    <definedName name="Rcea1">'Variable Management'!$B$132</definedName>
    <definedName name="Rcea1_u" localSheetId="2">'[1]Variable Management'!$B$362</definedName>
    <definedName name="Rcea1_u">'Variable Management'!$B$139</definedName>
    <definedName name="Rcea2">'Variable Management'!$B$135</definedName>
    <definedName name="Rcea2_u">'Variable Management'!$B$142</definedName>
    <definedName name="RCinEsr" localSheetId="2">'[1]Variable Management'!$B$196</definedName>
    <definedName name="RCinEsr">'Variable Management'!$B$83</definedName>
    <definedName name="RCoutEsr" localSheetId="2">'[1]Variable Management'!$B$175</definedName>
    <definedName name="RCoutEsr">'Variable Management'!$B$73</definedName>
    <definedName name="Rdcr" localSheetId="2">'[1]Variable Management'!$B$69</definedName>
    <definedName name="Rdcr">'Variable Management'!$B$32</definedName>
    <definedName name="RDSON_sense">'Variable Management'!$M$56</definedName>
    <definedName name="RdsonBot">'Variable Management'!$B$198</definedName>
    <definedName name="RdsonBotTc" localSheetId="2">'[1]Variable Management'!$B$424</definedName>
    <definedName name="RdsonBotTc">'Variable Management'!$B$199</definedName>
    <definedName name="RdsonDRB" localSheetId="2">'[1]Variable Management'!$B$398</definedName>
    <definedName name="RdsonDRB">'Variable Management'!$B$178</definedName>
    <definedName name="RdsonDRB2" localSheetId="2">'[1]Variable Management'!$B$399</definedName>
    <definedName name="RdsonDRB2">'Variable Management'!$B$179</definedName>
    <definedName name="RdsonDRT" localSheetId="2">'[1]Variable Management'!$B$395</definedName>
    <definedName name="RdsonDRT">'Variable Management'!$B$175</definedName>
    <definedName name="RdsonDRT2" localSheetId="2">'[1]Variable Management'!$B$396</definedName>
    <definedName name="RdsonDRT2">'Variable Management'!$B$176</definedName>
    <definedName name="RdsonTop">'Variable Management'!$B$185</definedName>
    <definedName name="RdsonTopTc" localSheetId="2">'[1]Variable Management'!$B$407</definedName>
    <definedName name="RdsonTopTc">'Variable Management'!$B$186</definedName>
    <definedName name="Resrmax">'Variable Management'!$B$72</definedName>
    <definedName name="Rfadj" localSheetId="2">'[1]Variable Management'!$B$25</definedName>
    <definedName name="Rfadj">'Variable Management'!$B$15</definedName>
    <definedName name="Rfb2_u" localSheetId="2">'[1]Variable Management'!$B$374</definedName>
    <definedName name="Rfb2_u">'Variable Management'!$B$128</definedName>
    <definedName name="Rfets">'Variable Management'!$B$156</definedName>
    <definedName name="RGateBot">'Variable Management'!$B$203</definedName>
    <definedName name="RGateTop">'Variable Management'!$B$191</definedName>
    <definedName name="Rh">'Variable Management'!$B$113</definedName>
    <definedName name="Rilim_Rdson">'Variable Management'!$B$56</definedName>
    <definedName name="Rilim_Rdson_ideal">'Variable Management'!$B$55</definedName>
    <definedName name="Rilim_shunt">'Variable Management'!$B$60</definedName>
    <definedName name="Rilim_shunt_ideal">'Variable Management'!$B$59</definedName>
    <definedName name="Ro" localSheetId="2">'[1]Variable Management'!$B$343</definedName>
    <definedName name="Ro">'Variable Management'!$B$153</definedName>
    <definedName name="Rpg">'Variable Management'!$B$111</definedName>
    <definedName name="Rsb">'Variable Management'!$B$112</definedName>
    <definedName name="Rshunt" localSheetId="2">'[1]Variable Management'!$B$158</definedName>
    <definedName name="Rshunt">'Variable Management'!$B$58</definedName>
    <definedName name="Ruvlo1" localSheetId="2">'[1]Variable Management'!$B$214</definedName>
    <definedName name="Ruvlo1">'Variable Management'!$B$97</definedName>
    <definedName name="Ruvlo2" localSheetId="2">'[1]Variable Management'!$B$215</definedName>
    <definedName name="Ruvlo2">'Variable Management'!$B$98</definedName>
    <definedName name="SCH_RDSON">'Schematic Management'!$B$5</definedName>
    <definedName name="SCH_SHUNT">'Schematic Management'!$B$8</definedName>
    <definedName name="Ta" localSheetId="2">'[1]Variable Management'!$B$387</definedName>
    <definedName name="Ta">'Variable Management'!$B$167</definedName>
    <definedName name="Tf">'Variable Management'!$B$217</definedName>
    <definedName name="ThetaCa" localSheetId="2">'[1]Variable Management'!$B$390</definedName>
    <definedName name="ThetaCa">'Variable Management'!$B$170</definedName>
    <definedName name="ThetaJaBot">'Variable Management'!$B$207</definedName>
    <definedName name="ThetaJaCtrl" localSheetId="2">'[1]Variable Management'!$B$444</definedName>
    <definedName name="ThetaJaCtrl">'Variable Management'!$B$213</definedName>
    <definedName name="ThetaJaTop">'Variable Management'!$B$196</definedName>
    <definedName name="TL">'Variable Management'!$B$44</definedName>
    <definedName name="Tr">'Variable Management'!$B$216</definedName>
    <definedName name="TrrBot">'Variable Management'!$B$206</definedName>
    <definedName name="Tss" localSheetId="2">'[1]Variable Management'!$B$205</definedName>
    <definedName name="Tss">'Variable Management'!$B$88</definedName>
    <definedName name="Vdd" localSheetId="2">'[1]Variable Management'!$B$393</definedName>
    <definedName name="Vdd">'Variable Management'!$B$173</definedName>
    <definedName name="VfdSky">'Variable Management'!$B$209</definedName>
    <definedName name="Vin" localSheetId="2">'[1]Variable Management'!$B$8</definedName>
    <definedName name="Vin">'Variable Management'!$B$7</definedName>
    <definedName name="Vinmax">'Variable Management'!$B$9</definedName>
    <definedName name="Vinmin">'Variable Management'!$B$8</definedName>
    <definedName name="Vinripple1" localSheetId="2">'[1]Variable Management'!$B$185</definedName>
    <definedName name="Vinripple1">'Variable Management'!$B$78</definedName>
    <definedName name="Vinripple2" localSheetId="2">'[1]Variable Management'!$B$200</definedName>
    <definedName name="Vinripple2">'Variable Management'!$B$84</definedName>
    <definedName name="VINuvlo_off">'Variable Management'!$B$96</definedName>
    <definedName name="VINuvlo_on" localSheetId="2">'[1]Variable Management'!$B$212</definedName>
    <definedName name="VINuvlo_on">'Variable Management'!$B$95</definedName>
    <definedName name="Vout" localSheetId="2">'[1]Variable Management'!$B$12</definedName>
    <definedName name="Vout">'Variable Management'!$B$10</definedName>
    <definedName name="Vramp">'Variable Management'!$B$131</definedName>
    <definedName name="Vref" localSheetId="2">'[1]Variable Management'!$B$24</definedName>
    <definedName name="Vref">'Variable Management'!$B$14</definedName>
    <definedName name="Vripple1" localSheetId="2">'[1]Variable Management'!$B$78</definedName>
    <definedName name="Vripple1">'Variable Management'!$B$41</definedName>
    <definedName name="Vripple2" localSheetId="2">'[1]Variable Management'!$B$176</definedName>
    <definedName name="Vripple2">'Variable Management'!$B$74</definedName>
    <definedName name="VsdBot">'Variable Management'!$B$204</definedName>
    <definedName name="VsdTop">'Variable Management'!$B$195</definedName>
    <definedName name="VspTop">'Variable Management'!$B$194</definedName>
    <definedName name="VthTop">'Variable Management'!$B$193</definedName>
    <definedName name="Vuvlo_hys">'Variable Management'!$B$106</definedName>
    <definedName name="Vuvlo_off" localSheetId="2">'[1]Variable Management'!$B$221</definedName>
    <definedName name="Vuvlo_off">'Variable Management'!$B$105</definedName>
    <definedName name="Vuvlo_on" localSheetId="2">'[1]Variable Management'!$B$220</definedName>
    <definedName name="Vuvlo_on">'Variable Management'!$B$104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0" i="4" l="1"/>
  <c r="P11" i="4"/>
  <c r="P12" i="4"/>
  <c r="P13" i="4"/>
  <c r="P14" i="4"/>
  <c r="P15" i="4"/>
  <c r="P16" i="4"/>
  <c r="P17" i="4"/>
  <c r="P18" i="4"/>
  <c r="P19" i="4"/>
  <c r="P20" i="4"/>
  <c r="P21" i="4"/>
  <c r="P22" i="4"/>
  <c r="P23" i="4"/>
  <c r="P24" i="4"/>
  <c r="P25" i="4"/>
  <c r="P26" i="4"/>
  <c r="P27" i="4"/>
  <c r="P28" i="4"/>
  <c r="P29" i="4"/>
  <c r="P30" i="4"/>
  <c r="P31" i="4"/>
  <c r="P32" i="4"/>
  <c r="P33" i="4"/>
  <c r="P34" i="4"/>
  <c r="P35" i="4"/>
  <c r="P36" i="4"/>
  <c r="P37" i="4"/>
  <c r="P38" i="4"/>
  <c r="P39" i="4"/>
  <c r="P40" i="4"/>
  <c r="P41" i="4"/>
  <c r="P42" i="4"/>
  <c r="P43" i="4"/>
  <c r="P44" i="4"/>
  <c r="P45" i="4"/>
  <c r="P46" i="4"/>
  <c r="P47" i="4"/>
  <c r="P48" i="4"/>
  <c r="P49" i="4"/>
  <c r="P50" i="4"/>
  <c r="P51" i="4"/>
  <c r="P52" i="4"/>
  <c r="P53" i="4"/>
  <c r="P54" i="4"/>
  <c r="P55" i="4"/>
  <c r="P56" i="4"/>
  <c r="P57" i="4"/>
  <c r="P58" i="4"/>
  <c r="P59" i="4"/>
  <c r="P60" i="4"/>
  <c r="P61" i="4"/>
  <c r="P62" i="4"/>
  <c r="P63" i="4"/>
  <c r="P64" i="4"/>
  <c r="P65" i="4"/>
  <c r="P66" i="4"/>
  <c r="P67" i="4"/>
  <c r="P68" i="4"/>
  <c r="P69" i="4"/>
  <c r="P70" i="4"/>
  <c r="P71" i="4"/>
  <c r="P72" i="4"/>
  <c r="P73" i="4"/>
  <c r="P74" i="4"/>
  <c r="P75" i="4"/>
  <c r="P76" i="4"/>
  <c r="P77" i="4"/>
  <c r="P78" i="4"/>
  <c r="P79" i="4"/>
  <c r="P80" i="4"/>
  <c r="P81" i="4"/>
  <c r="P82" i="4"/>
  <c r="P83" i="4"/>
  <c r="P84" i="4"/>
  <c r="P85" i="4"/>
  <c r="P86" i="4"/>
  <c r="P87" i="4"/>
  <c r="P88" i="4"/>
  <c r="P89" i="4"/>
  <c r="P90" i="4"/>
  <c r="P91" i="4"/>
  <c r="P92" i="4"/>
  <c r="P93" i="4"/>
  <c r="P94" i="4"/>
  <c r="P95" i="4"/>
  <c r="P96" i="4"/>
  <c r="P97" i="4"/>
  <c r="P98" i="4"/>
  <c r="P99" i="4"/>
  <c r="P100" i="4"/>
  <c r="P101" i="4"/>
  <c r="P102" i="4"/>
  <c r="P103" i="4"/>
  <c r="P104" i="4"/>
  <c r="P105" i="4"/>
  <c r="P106" i="4"/>
  <c r="P107" i="4"/>
  <c r="P108" i="4"/>
  <c r="P109" i="4"/>
  <c r="P110" i="4"/>
  <c r="P111" i="4"/>
  <c r="P112" i="4"/>
  <c r="P113" i="4"/>
  <c r="P114" i="4"/>
  <c r="P115" i="4"/>
  <c r="P116" i="4"/>
  <c r="P117" i="4"/>
  <c r="P118" i="4"/>
  <c r="P119" i="4"/>
  <c r="P120" i="4"/>
  <c r="P121" i="4"/>
  <c r="P122" i="4"/>
  <c r="P123" i="4"/>
  <c r="P124" i="4"/>
  <c r="P125" i="4"/>
  <c r="P126" i="4"/>
  <c r="P127" i="4"/>
  <c r="P128" i="4"/>
  <c r="P129" i="4"/>
  <c r="P130" i="4"/>
  <c r="P131" i="4"/>
  <c r="P132" i="4"/>
  <c r="P133" i="4"/>
  <c r="P134" i="4"/>
  <c r="P135" i="4"/>
  <c r="P136" i="4"/>
  <c r="P137" i="4"/>
  <c r="P138" i="4"/>
  <c r="P139" i="4"/>
  <c r="P140" i="4"/>
  <c r="P141" i="4"/>
  <c r="P142" i="4"/>
  <c r="P143" i="4"/>
  <c r="P144" i="4"/>
  <c r="P145" i="4"/>
  <c r="P146" i="4"/>
  <c r="P147" i="4"/>
  <c r="P148" i="4"/>
  <c r="P149" i="4"/>
  <c r="P150" i="4"/>
  <c r="P151" i="4"/>
  <c r="P152" i="4"/>
  <c r="P153" i="4"/>
  <c r="P154" i="4"/>
  <c r="P155" i="4"/>
  <c r="P156" i="4"/>
  <c r="P157" i="4"/>
  <c r="P158" i="4"/>
  <c r="P159" i="4"/>
  <c r="P160" i="4"/>
  <c r="P161" i="4"/>
  <c r="P162" i="4"/>
  <c r="P163" i="4"/>
  <c r="P164" i="4"/>
  <c r="P165" i="4"/>
  <c r="P166" i="4"/>
  <c r="P167" i="4"/>
  <c r="P168" i="4"/>
  <c r="P169" i="4"/>
  <c r="P170" i="4"/>
  <c r="P171" i="4"/>
  <c r="P172" i="4"/>
  <c r="P173" i="4"/>
  <c r="P174" i="4"/>
  <c r="P175" i="4"/>
  <c r="P176" i="4"/>
  <c r="P177" i="4"/>
  <c r="P178" i="4"/>
  <c r="P179" i="4"/>
  <c r="P180" i="4"/>
  <c r="P181" i="4"/>
  <c r="P182" i="4"/>
  <c r="P183" i="4"/>
  <c r="P184" i="4"/>
  <c r="P185" i="4"/>
  <c r="P186" i="4"/>
  <c r="P187" i="4"/>
  <c r="P188" i="4"/>
  <c r="P189" i="4"/>
  <c r="P190" i="4"/>
  <c r="P191" i="4"/>
  <c r="P192" i="4"/>
  <c r="P193" i="4"/>
  <c r="P194" i="4"/>
  <c r="P195" i="4"/>
  <c r="P196" i="4"/>
  <c r="P197" i="4"/>
  <c r="P198" i="4"/>
  <c r="P199" i="4"/>
  <c r="P200" i="4"/>
  <c r="P201" i="4"/>
  <c r="P202" i="4"/>
  <c r="P203" i="4"/>
  <c r="P204" i="4"/>
  <c r="P205" i="4"/>
  <c r="P206" i="4"/>
  <c r="P207" i="4"/>
  <c r="P208" i="4"/>
  <c r="P209" i="4"/>
  <c r="P9" i="4"/>
  <c r="B249" i="2" l="1"/>
  <c r="F69" i="1" l="1"/>
  <c r="F68" i="1"/>
  <c r="F67" i="1"/>
  <c r="F66" i="1"/>
  <c r="A67" i="1" l="1"/>
  <c r="B190" i="2" l="1"/>
  <c r="B202" i="2"/>
  <c r="B201" i="2"/>
  <c r="L42" i="16" l="1"/>
  <c r="L59" i="16"/>
  <c r="A50" i="16" l="1"/>
  <c r="A49" i="16"/>
  <c r="L50" i="16"/>
  <c r="L49" i="16"/>
  <c r="A43" i="16" l="1"/>
  <c r="L43" i="16" s="1"/>
  <c r="C43" i="16"/>
  <c r="B13" i="2" l="1"/>
  <c r="B15" i="2" s="1"/>
  <c r="A270" i="2" l="1"/>
  <c r="A269" i="2"/>
  <c r="B12" i="2" l="1"/>
  <c r="E69" i="1" s="1"/>
  <c r="K50" i="16"/>
  <c r="K49" i="16"/>
  <c r="K44" i="16"/>
  <c r="K43" i="16"/>
  <c r="L48" i="16"/>
  <c r="K48" i="16"/>
  <c r="L62" i="16"/>
  <c r="L61" i="16"/>
  <c r="L60" i="16"/>
  <c r="L58" i="16"/>
  <c r="L57" i="16"/>
  <c r="L56" i="16"/>
  <c r="L55" i="16"/>
  <c r="L54" i="16"/>
  <c r="L53" i="16"/>
  <c r="L52" i="16"/>
  <c r="K62" i="16"/>
  <c r="K61" i="16"/>
  <c r="K60" i="16"/>
  <c r="K58" i="16"/>
  <c r="K56" i="16"/>
  <c r="K57" i="16"/>
  <c r="K55" i="16"/>
  <c r="K54" i="16"/>
  <c r="K53" i="16"/>
  <c r="K52" i="16"/>
  <c r="L47" i="16"/>
  <c r="L46" i="16"/>
  <c r="L45" i="16"/>
  <c r="K47" i="16"/>
  <c r="K46" i="16"/>
  <c r="K45" i="16"/>
  <c r="L41" i="16"/>
  <c r="L40" i="16"/>
  <c r="K42" i="16"/>
  <c r="K41" i="16"/>
  <c r="K40" i="16"/>
  <c r="L39" i="16"/>
  <c r="K39" i="16"/>
  <c r="L38" i="16"/>
  <c r="K38" i="16"/>
  <c r="L56" i="2"/>
  <c r="L52" i="2"/>
  <c r="L86" i="2"/>
  <c r="N86" i="2"/>
  <c r="N74" i="2"/>
  <c r="L74" i="2"/>
  <c r="C59" i="16" l="1"/>
  <c r="C56" i="16"/>
  <c r="B49" i="2"/>
  <c r="B58" i="2"/>
  <c r="B8" i="2"/>
  <c r="B9" i="2"/>
  <c r="A2" i="17"/>
  <c r="B269" i="2" l="1"/>
  <c r="B281" i="2"/>
  <c r="S66" i="2"/>
  <c r="D43" i="16" s="1"/>
  <c r="D49" i="16"/>
  <c r="R66" i="2" l="1"/>
  <c r="I50" i="16"/>
  <c r="I49" i="16"/>
  <c r="B239" i="2" l="1"/>
  <c r="A239" i="2"/>
  <c r="D50" i="16"/>
  <c r="D56" i="16"/>
  <c r="D58" i="16"/>
  <c r="D62" i="16"/>
  <c r="C48" i="16"/>
  <c r="D47" i="16"/>
  <c r="D46" i="16"/>
  <c r="D38" i="16"/>
  <c r="B258" i="2"/>
  <c r="B95" i="2"/>
  <c r="B106" i="2"/>
  <c r="B109" i="2"/>
  <c r="B96" i="2"/>
  <c r="B97" i="2" l="1"/>
  <c r="R16" i="8" l="1"/>
  <c r="S16" i="8" s="1"/>
  <c r="D97" i="2" s="1"/>
  <c r="G97" i="2" s="1"/>
  <c r="D72" i="1"/>
  <c r="F97" i="2" l="1"/>
  <c r="B98" i="2"/>
  <c r="R17" i="8" s="1"/>
  <c r="S17" i="8" s="1"/>
  <c r="D98" i="2" s="1"/>
  <c r="B101" i="2" s="1"/>
  <c r="B689" i="3"/>
  <c r="N688" i="3"/>
  <c r="F98" i="2" l="1"/>
  <c r="E53" i="1" s="1"/>
  <c r="C61" i="16" s="1"/>
  <c r="D61" i="16" s="1"/>
  <c r="E52" i="1"/>
  <c r="C60" i="16" s="1"/>
  <c r="D60" i="16" s="1"/>
  <c r="G98" i="2"/>
  <c r="B100" i="2"/>
  <c r="B114" i="2"/>
  <c r="B73" i="2" l="1"/>
  <c r="E145" i="2" s="1"/>
  <c r="B124" i="2"/>
  <c r="B10" i="2"/>
  <c r="B11" i="2"/>
  <c r="B71" i="2"/>
  <c r="B31" i="2"/>
  <c r="B10" i="3"/>
  <c r="B11" i="3"/>
  <c r="B12" i="3"/>
  <c r="B13" i="3"/>
  <c r="B14" i="3"/>
  <c r="B15" i="3"/>
  <c r="B16" i="3"/>
  <c r="B17" i="3"/>
  <c r="B18" i="3"/>
  <c r="B9" i="3"/>
  <c r="B78" i="2"/>
  <c r="B210" i="2"/>
  <c r="B59" i="4" s="1"/>
  <c r="B191" i="2"/>
  <c r="J200" i="2" s="1"/>
  <c r="B238" i="2"/>
  <c r="B243" i="2"/>
  <c r="B32" i="2"/>
  <c r="B7" i="2"/>
  <c r="B81" i="2"/>
  <c r="B185" i="2"/>
  <c r="B37" i="4" s="1"/>
  <c r="B198" i="2"/>
  <c r="B49" i="4" s="1"/>
  <c r="B126" i="2"/>
  <c r="AJ350" i="3" s="1"/>
  <c r="B207" i="2"/>
  <c r="B56" i="4" s="1"/>
  <c r="B209" i="2"/>
  <c r="B58" i="4" s="1"/>
  <c r="B204" i="2"/>
  <c r="AG3" i="4" s="1"/>
  <c r="B88" i="2"/>
  <c r="B187" i="2"/>
  <c r="B200" i="2"/>
  <c r="B51" i="4" s="1"/>
  <c r="B205" i="2"/>
  <c r="B195" i="2"/>
  <c r="B46" i="4" s="1"/>
  <c r="B60" i="4"/>
  <c r="B188" i="2"/>
  <c r="B40" i="4" s="1"/>
  <c r="B189" i="2"/>
  <c r="B41" i="4" s="1"/>
  <c r="B193" i="2"/>
  <c r="B44" i="4" s="1"/>
  <c r="B192" i="2"/>
  <c r="B43" i="4" s="1"/>
  <c r="B279" i="2"/>
  <c r="B196" i="2"/>
  <c r="B47" i="4" s="1"/>
  <c r="B169" i="2"/>
  <c r="B83" i="2"/>
  <c r="B23" i="4" s="1"/>
  <c r="B186" i="2"/>
  <c r="B199" i="2"/>
  <c r="D6" i="6"/>
  <c r="D7" i="6"/>
  <c r="D9" i="6"/>
  <c r="D10" i="6"/>
  <c r="D2" i="11"/>
  <c r="D3" i="11"/>
  <c r="B5" i="11"/>
  <c r="D5" i="11" s="1"/>
  <c r="B15" i="4"/>
  <c r="B20" i="4"/>
  <c r="B21" i="4"/>
  <c r="B35" i="4"/>
  <c r="B52" i="4"/>
  <c r="B55" i="4"/>
  <c r="AR9" i="3"/>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80" i="8" s="1"/>
  <c r="A92" i="8" s="1"/>
  <c r="A104" i="8" s="1"/>
  <c r="A116" i="8" s="1"/>
  <c r="A128" i="8" s="1"/>
  <c r="A140" i="8" s="1"/>
  <c r="A152" i="8" s="1"/>
  <c r="A69" i="8"/>
  <c r="A70" i="8"/>
  <c r="A71" i="8"/>
  <c r="A72" i="8"/>
  <c r="A73" i="8"/>
  <c r="A74" i="8"/>
  <c r="A75" i="8"/>
  <c r="A76" i="8"/>
  <c r="A77" i="8"/>
  <c r="A78" i="8"/>
  <c r="A79" i="8"/>
  <c r="A81" i="8"/>
  <c r="A82" i="8"/>
  <c r="A83" i="8"/>
  <c r="A84" i="8"/>
  <c r="A85" i="8"/>
  <c r="A86" i="8"/>
  <c r="A87" i="8"/>
  <c r="A88" i="8"/>
  <c r="A89" i="8"/>
  <c r="A90" i="8"/>
  <c r="A91" i="8"/>
  <c r="A93" i="8"/>
  <c r="A94" i="8"/>
  <c r="A95" i="8"/>
  <c r="A96" i="8"/>
  <c r="A97" i="8"/>
  <c r="A98" i="8"/>
  <c r="A99" i="8"/>
  <c r="A100" i="8"/>
  <c r="A101" i="8"/>
  <c r="A102" i="8"/>
  <c r="A103" i="8"/>
  <c r="A105" i="8"/>
  <c r="A106" i="8"/>
  <c r="A107" i="8"/>
  <c r="A108" i="8"/>
  <c r="A109" i="8"/>
  <c r="A110" i="8"/>
  <c r="A111" i="8"/>
  <c r="A112" i="8"/>
  <c r="A113" i="8"/>
  <c r="A114" i="8"/>
  <c r="A115" i="8"/>
  <c r="A117" i="8"/>
  <c r="A118" i="8"/>
  <c r="A119" i="8"/>
  <c r="A120" i="8"/>
  <c r="A121" i="8"/>
  <c r="A122" i="8"/>
  <c r="A123" i="8"/>
  <c r="A124" i="8"/>
  <c r="A125" i="8"/>
  <c r="A126" i="8"/>
  <c r="A127" i="8"/>
  <c r="A129" i="8"/>
  <c r="A130" i="8"/>
  <c r="A131" i="8"/>
  <c r="A132" i="8"/>
  <c r="A133" i="8"/>
  <c r="A134" i="8"/>
  <c r="A135" i="8"/>
  <c r="A136" i="8"/>
  <c r="A137" i="8"/>
  <c r="A138" i="8"/>
  <c r="A139" i="8"/>
  <c r="A141" i="8"/>
  <c r="A142" i="8"/>
  <c r="A143" i="8"/>
  <c r="A144" i="8"/>
  <c r="A145" i="8"/>
  <c r="A146" i="8"/>
  <c r="A147" i="8"/>
  <c r="A148" i="8"/>
  <c r="A149" i="8"/>
  <c r="A150" i="8"/>
  <c r="A151" i="8"/>
  <c r="A153" i="8"/>
  <c r="A154" i="8"/>
  <c r="A155" i="8"/>
  <c r="A156" i="8"/>
  <c r="A157" i="8"/>
  <c r="A158" i="8"/>
  <c r="A159" i="8"/>
  <c r="AQ9" i="3"/>
  <c r="AR10" i="3"/>
  <c r="AQ10" i="3"/>
  <c r="AR11" i="3"/>
  <c r="AQ11" i="3"/>
  <c r="AR12" i="3"/>
  <c r="AQ12" i="3"/>
  <c r="AR13" i="3"/>
  <c r="AQ13" i="3"/>
  <c r="AR14" i="3"/>
  <c r="AQ14" i="3"/>
  <c r="AR15" i="3"/>
  <c r="AQ15" i="3"/>
  <c r="AR16" i="3"/>
  <c r="AQ16" i="3"/>
  <c r="AR17" i="3"/>
  <c r="AQ17" i="3"/>
  <c r="AR18" i="3"/>
  <c r="AQ18" i="3"/>
  <c r="A19" i="3"/>
  <c r="B19" i="3" s="1"/>
  <c r="A20" i="3"/>
  <c r="B20" i="3" s="1"/>
  <c r="A21" i="3"/>
  <c r="B21" i="3"/>
  <c r="AR21" i="3"/>
  <c r="A22" i="3"/>
  <c r="A31" i="3" s="1"/>
  <c r="A23" i="3"/>
  <c r="AQ23" i="3" s="1"/>
  <c r="A24" i="3"/>
  <c r="B24" i="3" s="1"/>
  <c r="A25" i="3"/>
  <c r="A34" i="3" s="1"/>
  <c r="A26" i="3"/>
  <c r="AQ26" i="3" s="1"/>
  <c r="A27" i="3"/>
  <c r="A36" i="3" s="1"/>
  <c r="A28" i="3"/>
  <c r="B28" i="3" s="1"/>
  <c r="A30" i="3"/>
  <c r="AQ30" i="3" s="1"/>
  <c r="A33" i="3"/>
  <c r="AR33" i="3" s="1"/>
  <c r="N9" i="3"/>
  <c r="N10" i="3"/>
  <c r="N11" i="3"/>
  <c r="N12" i="3"/>
  <c r="N13" i="3"/>
  <c r="N14" i="3"/>
  <c r="N15" i="3"/>
  <c r="N16" i="3"/>
  <c r="N17" i="3"/>
  <c r="N18" i="3"/>
  <c r="N19" i="3"/>
  <c r="N20" i="3"/>
  <c r="N21" i="3"/>
  <c r="N22" i="3"/>
  <c r="N23" i="3"/>
  <c r="N24" i="3"/>
  <c r="N25" i="3"/>
  <c r="N26" i="3"/>
  <c r="N27" i="3"/>
  <c r="N28" i="3"/>
  <c r="N29" i="3"/>
  <c r="N30" i="3"/>
  <c r="N31" i="3"/>
  <c r="N32" i="3"/>
  <c r="N33" i="3"/>
  <c r="N34" i="3"/>
  <c r="N35" i="3"/>
  <c r="N36" i="3"/>
  <c r="N37" i="3"/>
  <c r="N38" i="3"/>
  <c r="N39" i="3"/>
  <c r="N40" i="3"/>
  <c r="AA40" i="3"/>
  <c r="N41" i="3"/>
  <c r="N42" i="3"/>
  <c r="N43" i="3"/>
  <c r="N44" i="3"/>
  <c r="N45" i="3"/>
  <c r="N46" i="3"/>
  <c r="N47" i="3"/>
  <c r="N48" i="3"/>
  <c r="N49" i="3"/>
  <c r="N50" i="3"/>
  <c r="N51" i="3"/>
  <c r="N52" i="3"/>
  <c r="N53" i="3"/>
  <c r="N54" i="3"/>
  <c r="N55" i="3"/>
  <c r="N56" i="3"/>
  <c r="N57" i="3"/>
  <c r="N58" i="3"/>
  <c r="N59" i="3"/>
  <c r="N60" i="3"/>
  <c r="N61" i="3"/>
  <c r="N62" i="3"/>
  <c r="N63" i="3"/>
  <c r="N64" i="3"/>
  <c r="N65" i="3"/>
  <c r="N66" i="3"/>
  <c r="N67" i="3"/>
  <c r="N68" i="3"/>
  <c r="N69" i="3"/>
  <c r="N70" i="3"/>
  <c r="N71" i="3"/>
  <c r="N72" i="3"/>
  <c r="N73" i="3"/>
  <c r="N74" i="3"/>
  <c r="N75" i="3"/>
  <c r="N76" i="3"/>
  <c r="N77" i="3"/>
  <c r="N78" i="3"/>
  <c r="N79" i="3"/>
  <c r="N80" i="3"/>
  <c r="N81" i="3"/>
  <c r="N82" i="3"/>
  <c r="N83" i="3"/>
  <c r="N84" i="3"/>
  <c r="N85" i="3"/>
  <c r="N86" i="3"/>
  <c r="N87" i="3"/>
  <c r="N88" i="3"/>
  <c r="N89" i="3"/>
  <c r="N90" i="3"/>
  <c r="N91" i="3"/>
  <c r="N92" i="3"/>
  <c r="N93" i="3"/>
  <c r="N94" i="3"/>
  <c r="N95" i="3"/>
  <c r="N96" i="3"/>
  <c r="N97" i="3"/>
  <c r="N98" i="3"/>
  <c r="N99" i="3"/>
  <c r="N100" i="3"/>
  <c r="N101" i="3"/>
  <c r="N102" i="3"/>
  <c r="N103" i="3"/>
  <c r="N104" i="3"/>
  <c r="N105" i="3"/>
  <c r="N106" i="3"/>
  <c r="N107" i="3"/>
  <c r="N108" i="3"/>
  <c r="N109" i="3"/>
  <c r="N110" i="3"/>
  <c r="N111" i="3"/>
  <c r="N112" i="3"/>
  <c r="N113" i="3"/>
  <c r="N114" i="3"/>
  <c r="N115" i="3"/>
  <c r="N116" i="3"/>
  <c r="N117" i="3"/>
  <c r="N118" i="3"/>
  <c r="N119" i="3"/>
  <c r="N120" i="3"/>
  <c r="N121" i="3"/>
  <c r="N122" i="3"/>
  <c r="N123" i="3"/>
  <c r="N124" i="3"/>
  <c r="N125" i="3"/>
  <c r="N126" i="3"/>
  <c r="N127" i="3"/>
  <c r="N128" i="3"/>
  <c r="N129" i="3"/>
  <c r="N130" i="3"/>
  <c r="N131" i="3"/>
  <c r="N132" i="3"/>
  <c r="N133" i="3"/>
  <c r="N134" i="3"/>
  <c r="N135" i="3"/>
  <c r="N136" i="3"/>
  <c r="N137" i="3"/>
  <c r="N138" i="3"/>
  <c r="N139" i="3"/>
  <c r="N140" i="3"/>
  <c r="N141" i="3"/>
  <c r="N142" i="3"/>
  <c r="N143" i="3"/>
  <c r="N144" i="3"/>
  <c r="N145" i="3"/>
  <c r="N146" i="3"/>
  <c r="N147" i="3"/>
  <c r="N148" i="3"/>
  <c r="N149" i="3"/>
  <c r="N150" i="3"/>
  <c r="N151" i="3"/>
  <c r="N152" i="3"/>
  <c r="N153" i="3"/>
  <c r="N154" i="3"/>
  <c r="N155" i="3"/>
  <c r="N156" i="3"/>
  <c r="N157" i="3"/>
  <c r="N158" i="3"/>
  <c r="N159" i="3"/>
  <c r="N160" i="3"/>
  <c r="N161" i="3"/>
  <c r="N162" i="3"/>
  <c r="N163" i="3"/>
  <c r="N164" i="3"/>
  <c r="N165" i="3"/>
  <c r="N166" i="3"/>
  <c r="N167" i="3"/>
  <c r="N168" i="3"/>
  <c r="N169" i="3"/>
  <c r="N170" i="3"/>
  <c r="N171" i="3"/>
  <c r="N172" i="3"/>
  <c r="N173" i="3"/>
  <c r="N174" i="3"/>
  <c r="N175" i="3"/>
  <c r="N176" i="3"/>
  <c r="N177" i="3"/>
  <c r="N178" i="3"/>
  <c r="N179" i="3"/>
  <c r="N180" i="3"/>
  <c r="N181" i="3"/>
  <c r="N182" i="3"/>
  <c r="N183" i="3"/>
  <c r="N184" i="3"/>
  <c r="N185" i="3"/>
  <c r="N186" i="3"/>
  <c r="N187" i="3"/>
  <c r="N188" i="3"/>
  <c r="N189" i="3"/>
  <c r="N190" i="3"/>
  <c r="N191" i="3"/>
  <c r="N192" i="3"/>
  <c r="N193" i="3"/>
  <c r="N194" i="3"/>
  <c r="N195" i="3"/>
  <c r="N196" i="3"/>
  <c r="N197" i="3"/>
  <c r="N198" i="3"/>
  <c r="N199" i="3"/>
  <c r="N200" i="3"/>
  <c r="N201" i="3"/>
  <c r="N202" i="3"/>
  <c r="N203" i="3"/>
  <c r="N204" i="3"/>
  <c r="N205" i="3"/>
  <c r="N206" i="3"/>
  <c r="N207" i="3"/>
  <c r="N208" i="3"/>
  <c r="N209" i="3"/>
  <c r="N210" i="3"/>
  <c r="N211" i="3"/>
  <c r="N212" i="3"/>
  <c r="N213" i="3"/>
  <c r="N214" i="3"/>
  <c r="N215" i="3"/>
  <c r="N216" i="3"/>
  <c r="N217" i="3"/>
  <c r="N218" i="3"/>
  <c r="N219" i="3"/>
  <c r="N220" i="3"/>
  <c r="N221" i="3"/>
  <c r="N222" i="3"/>
  <c r="N223" i="3"/>
  <c r="N224" i="3"/>
  <c r="N225" i="3"/>
  <c r="N226" i="3"/>
  <c r="N227" i="3"/>
  <c r="N228" i="3"/>
  <c r="N229" i="3"/>
  <c r="N230" i="3"/>
  <c r="N231" i="3"/>
  <c r="N232" i="3"/>
  <c r="N233" i="3"/>
  <c r="N234" i="3"/>
  <c r="N235" i="3"/>
  <c r="N236" i="3"/>
  <c r="N237" i="3"/>
  <c r="N238" i="3"/>
  <c r="N239" i="3"/>
  <c r="N240" i="3"/>
  <c r="N241" i="3"/>
  <c r="N242" i="3"/>
  <c r="N243" i="3"/>
  <c r="N244" i="3"/>
  <c r="N245" i="3"/>
  <c r="N246" i="3"/>
  <c r="N247" i="3"/>
  <c r="N248" i="3"/>
  <c r="N249" i="3"/>
  <c r="N250" i="3"/>
  <c r="N251" i="3"/>
  <c r="N252" i="3"/>
  <c r="N253" i="3"/>
  <c r="N254" i="3"/>
  <c r="N255" i="3"/>
  <c r="N256" i="3"/>
  <c r="N257" i="3"/>
  <c r="N258" i="3"/>
  <c r="N259" i="3"/>
  <c r="N260" i="3"/>
  <c r="N261" i="3"/>
  <c r="N262" i="3"/>
  <c r="N263" i="3"/>
  <c r="N264" i="3"/>
  <c r="N265" i="3"/>
  <c r="N266" i="3"/>
  <c r="N267" i="3"/>
  <c r="N268" i="3"/>
  <c r="N269" i="3"/>
  <c r="N270" i="3"/>
  <c r="N271" i="3"/>
  <c r="N272" i="3"/>
  <c r="N273" i="3"/>
  <c r="N274" i="3"/>
  <c r="N275" i="3"/>
  <c r="N276" i="3"/>
  <c r="N277" i="3"/>
  <c r="N278" i="3"/>
  <c r="N279" i="3"/>
  <c r="N280" i="3"/>
  <c r="N281" i="3"/>
  <c r="N282" i="3"/>
  <c r="N283" i="3"/>
  <c r="N284" i="3"/>
  <c r="N285" i="3"/>
  <c r="N286" i="3"/>
  <c r="N287" i="3"/>
  <c r="N288" i="3"/>
  <c r="N289" i="3"/>
  <c r="N290" i="3"/>
  <c r="N291" i="3"/>
  <c r="N292" i="3"/>
  <c r="N293" i="3"/>
  <c r="N294" i="3"/>
  <c r="N295" i="3"/>
  <c r="N296" i="3"/>
  <c r="N297" i="3"/>
  <c r="N298" i="3"/>
  <c r="N299" i="3"/>
  <c r="N300" i="3"/>
  <c r="N301" i="3"/>
  <c r="N302" i="3"/>
  <c r="N303" i="3"/>
  <c r="N304" i="3"/>
  <c r="N305" i="3"/>
  <c r="N306" i="3"/>
  <c r="N307" i="3"/>
  <c r="N308" i="3"/>
  <c r="N309" i="3"/>
  <c r="N310" i="3"/>
  <c r="N311" i="3"/>
  <c r="N312" i="3"/>
  <c r="N313" i="3"/>
  <c r="N314" i="3"/>
  <c r="N315" i="3"/>
  <c r="N316" i="3"/>
  <c r="N317" i="3"/>
  <c r="N318" i="3"/>
  <c r="N319" i="3"/>
  <c r="N320" i="3"/>
  <c r="N321" i="3"/>
  <c r="N322" i="3"/>
  <c r="N323" i="3"/>
  <c r="N324" i="3"/>
  <c r="N325" i="3"/>
  <c r="N326" i="3"/>
  <c r="N327" i="3"/>
  <c r="N328" i="3"/>
  <c r="N329" i="3"/>
  <c r="N330" i="3"/>
  <c r="N331" i="3"/>
  <c r="N332" i="3"/>
  <c r="N333" i="3"/>
  <c r="N334" i="3"/>
  <c r="N335" i="3"/>
  <c r="N336" i="3"/>
  <c r="N337" i="3"/>
  <c r="N338" i="3"/>
  <c r="N339" i="3"/>
  <c r="N340" i="3"/>
  <c r="N341" i="3"/>
  <c r="N342" i="3"/>
  <c r="N343" i="3"/>
  <c r="N344" i="3"/>
  <c r="N345" i="3"/>
  <c r="N346" i="3"/>
  <c r="N347" i="3"/>
  <c r="N348" i="3"/>
  <c r="N349" i="3"/>
  <c r="N350" i="3"/>
  <c r="N351" i="3"/>
  <c r="N352" i="3"/>
  <c r="N353" i="3"/>
  <c r="N354" i="3"/>
  <c r="N355" i="3"/>
  <c r="N356" i="3"/>
  <c r="N357" i="3"/>
  <c r="N358" i="3"/>
  <c r="N359" i="3"/>
  <c r="N360" i="3"/>
  <c r="N361" i="3"/>
  <c r="N362" i="3"/>
  <c r="N363" i="3"/>
  <c r="N364" i="3"/>
  <c r="N365" i="3"/>
  <c r="N366" i="3"/>
  <c r="N367" i="3"/>
  <c r="N368" i="3"/>
  <c r="N369" i="3"/>
  <c r="N370" i="3"/>
  <c r="N371" i="3"/>
  <c r="N372" i="3"/>
  <c r="N373" i="3"/>
  <c r="N374" i="3"/>
  <c r="N375" i="3"/>
  <c r="N376" i="3"/>
  <c r="N377" i="3"/>
  <c r="N378" i="3"/>
  <c r="N379" i="3"/>
  <c r="N380" i="3"/>
  <c r="N381" i="3"/>
  <c r="N382" i="3"/>
  <c r="N383" i="3"/>
  <c r="N384" i="3"/>
  <c r="N385" i="3"/>
  <c r="N386" i="3"/>
  <c r="N387" i="3"/>
  <c r="N388" i="3"/>
  <c r="N389" i="3"/>
  <c r="N390" i="3"/>
  <c r="N391" i="3"/>
  <c r="N392" i="3"/>
  <c r="N393" i="3"/>
  <c r="N394" i="3"/>
  <c r="N395" i="3"/>
  <c r="N396" i="3"/>
  <c r="N397" i="3"/>
  <c r="N398" i="3"/>
  <c r="N399" i="3"/>
  <c r="N400" i="3"/>
  <c r="N401" i="3"/>
  <c r="N402" i="3"/>
  <c r="N403" i="3"/>
  <c r="N404" i="3"/>
  <c r="N405" i="3"/>
  <c r="N406" i="3"/>
  <c r="N407" i="3"/>
  <c r="N408" i="3"/>
  <c r="N409" i="3"/>
  <c r="N410" i="3"/>
  <c r="N411" i="3"/>
  <c r="N412" i="3"/>
  <c r="N413" i="3"/>
  <c r="N414" i="3"/>
  <c r="N415" i="3"/>
  <c r="N416" i="3"/>
  <c r="N417" i="3"/>
  <c r="N418" i="3"/>
  <c r="N419" i="3"/>
  <c r="N420" i="3"/>
  <c r="N421" i="3"/>
  <c r="N422" i="3"/>
  <c r="N423" i="3"/>
  <c r="N424" i="3"/>
  <c r="N425" i="3"/>
  <c r="N426" i="3"/>
  <c r="N427" i="3"/>
  <c r="N428" i="3"/>
  <c r="N429" i="3"/>
  <c r="N430" i="3"/>
  <c r="N431" i="3"/>
  <c r="N432" i="3"/>
  <c r="N433" i="3"/>
  <c r="N434" i="3"/>
  <c r="N435" i="3"/>
  <c r="N436" i="3"/>
  <c r="N437" i="3"/>
  <c r="N438" i="3"/>
  <c r="N439" i="3"/>
  <c r="N440" i="3"/>
  <c r="N441" i="3"/>
  <c r="N442" i="3"/>
  <c r="N443" i="3"/>
  <c r="N444" i="3"/>
  <c r="N445" i="3"/>
  <c r="N446" i="3"/>
  <c r="N447" i="3"/>
  <c r="N448" i="3"/>
  <c r="N449" i="3"/>
  <c r="N450" i="3"/>
  <c r="N451" i="3"/>
  <c r="N452" i="3"/>
  <c r="N453" i="3"/>
  <c r="N454" i="3"/>
  <c r="N455" i="3"/>
  <c r="N456" i="3"/>
  <c r="N457" i="3"/>
  <c r="N458" i="3"/>
  <c r="N459" i="3"/>
  <c r="N460" i="3"/>
  <c r="N461" i="3"/>
  <c r="N462" i="3"/>
  <c r="N463" i="3"/>
  <c r="N464" i="3"/>
  <c r="N465" i="3"/>
  <c r="N466" i="3"/>
  <c r="N467" i="3"/>
  <c r="N468" i="3"/>
  <c r="N469" i="3"/>
  <c r="N470" i="3"/>
  <c r="N471" i="3"/>
  <c r="N472" i="3"/>
  <c r="N473" i="3"/>
  <c r="N474" i="3"/>
  <c r="N475" i="3"/>
  <c r="N476" i="3"/>
  <c r="N477" i="3"/>
  <c r="N478" i="3"/>
  <c r="N479" i="3"/>
  <c r="N480" i="3"/>
  <c r="N481" i="3"/>
  <c r="N482" i="3"/>
  <c r="N483" i="3"/>
  <c r="N484" i="3"/>
  <c r="N485" i="3"/>
  <c r="N486" i="3"/>
  <c r="N487" i="3"/>
  <c r="N488" i="3"/>
  <c r="N489" i="3"/>
  <c r="N490" i="3"/>
  <c r="N491" i="3"/>
  <c r="N492" i="3"/>
  <c r="N493" i="3"/>
  <c r="N494" i="3"/>
  <c r="N495" i="3"/>
  <c r="N496" i="3"/>
  <c r="N497" i="3"/>
  <c r="N498" i="3"/>
  <c r="N499" i="3"/>
  <c r="N500" i="3"/>
  <c r="N501" i="3"/>
  <c r="N502" i="3"/>
  <c r="N503" i="3"/>
  <c r="N504" i="3"/>
  <c r="N505" i="3"/>
  <c r="N506" i="3"/>
  <c r="N507" i="3"/>
  <c r="N508" i="3"/>
  <c r="N509" i="3"/>
  <c r="N510" i="3"/>
  <c r="N511" i="3"/>
  <c r="N512" i="3"/>
  <c r="N513" i="3"/>
  <c r="N514" i="3"/>
  <c r="N515" i="3"/>
  <c r="N516" i="3"/>
  <c r="N517" i="3"/>
  <c r="N518" i="3"/>
  <c r="N519" i="3"/>
  <c r="N520" i="3"/>
  <c r="N521" i="3"/>
  <c r="N522" i="3"/>
  <c r="N523" i="3"/>
  <c r="N524" i="3"/>
  <c r="N525" i="3"/>
  <c r="N526" i="3"/>
  <c r="N527" i="3"/>
  <c r="N528" i="3"/>
  <c r="N529" i="3"/>
  <c r="N530" i="3"/>
  <c r="N531" i="3"/>
  <c r="N532" i="3"/>
  <c r="N533" i="3"/>
  <c r="N534" i="3"/>
  <c r="N535" i="3"/>
  <c r="N536" i="3"/>
  <c r="N537" i="3"/>
  <c r="N538" i="3"/>
  <c r="N539" i="3"/>
  <c r="N540" i="3"/>
  <c r="N541" i="3"/>
  <c r="N542" i="3"/>
  <c r="N543" i="3"/>
  <c r="N544" i="3"/>
  <c r="N545" i="3"/>
  <c r="N546" i="3"/>
  <c r="N547" i="3"/>
  <c r="N548" i="3"/>
  <c r="N549" i="3"/>
  <c r="N550" i="3"/>
  <c r="N551" i="3"/>
  <c r="N552" i="3"/>
  <c r="N553" i="3"/>
  <c r="N554" i="3"/>
  <c r="N555" i="3"/>
  <c r="N556" i="3"/>
  <c r="N557" i="3"/>
  <c r="N558" i="3"/>
  <c r="N559" i="3"/>
  <c r="N560" i="3"/>
  <c r="N561" i="3"/>
  <c r="N562" i="3"/>
  <c r="N563" i="3"/>
  <c r="N564" i="3"/>
  <c r="N565" i="3"/>
  <c r="N566" i="3"/>
  <c r="N567" i="3"/>
  <c r="N568" i="3"/>
  <c r="N569" i="3"/>
  <c r="N570" i="3"/>
  <c r="N571" i="3"/>
  <c r="N572" i="3"/>
  <c r="N573" i="3"/>
  <c r="N574" i="3"/>
  <c r="N575" i="3"/>
  <c r="N576" i="3"/>
  <c r="N577" i="3"/>
  <c r="N578" i="3"/>
  <c r="N579" i="3"/>
  <c r="N580" i="3"/>
  <c r="N581" i="3"/>
  <c r="N582" i="3"/>
  <c r="N583" i="3"/>
  <c r="N584" i="3"/>
  <c r="N585" i="3"/>
  <c r="N586" i="3"/>
  <c r="N587" i="3"/>
  <c r="N588" i="3"/>
  <c r="N589" i="3"/>
  <c r="N590" i="3"/>
  <c r="N591" i="3"/>
  <c r="N592" i="3"/>
  <c r="N593" i="3"/>
  <c r="N594" i="3"/>
  <c r="N595" i="3"/>
  <c r="N596" i="3"/>
  <c r="N597" i="3"/>
  <c r="N598" i="3"/>
  <c r="N599" i="3"/>
  <c r="N600" i="3"/>
  <c r="N601" i="3"/>
  <c r="N602" i="3"/>
  <c r="N603" i="3"/>
  <c r="N604" i="3"/>
  <c r="N605" i="3"/>
  <c r="N606" i="3"/>
  <c r="N607" i="3"/>
  <c r="N608" i="3"/>
  <c r="N609" i="3"/>
  <c r="N610" i="3"/>
  <c r="N611" i="3"/>
  <c r="N612" i="3"/>
  <c r="N613" i="3"/>
  <c r="N614" i="3"/>
  <c r="N615" i="3"/>
  <c r="N616" i="3"/>
  <c r="N617" i="3"/>
  <c r="N618" i="3"/>
  <c r="N619" i="3"/>
  <c r="N620" i="3"/>
  <c r="N621" i="3"/>
  <c r="N622" i="3"/>
  <c r="N623" i="3"/>
  <c r="N624" i="3"/>
  <c r="N625" i="3"/>
  <c r="N626" i="3"/>
  <c r="N627" i="3"/>
  <c r="N628" i="3"/>
  <c r="N629" i="3"/>
  <c r="N630" i="3"/>
  <c r="N631" i="3"/>
  <c r="N632" i="3"/>
  <c r="N633" i="3"/>
  <c r="N634" i="3"/>
  <c r="N635" i="3"/>
  <c r="N636" i="3"/>
  <c r="N637" i="3"/>
  <c r="N638" i="3"/>
  <c r="N639" i="3"/>
  <c r="N640" i="3"/>
  <c r="N641" i="3"/>
  <c r="N642" i="3"/>
  <c r="N643" i="3"/>
  <c r="N644" i="3"/>
  <c r="N645" i="3"/>
  <c r="N646" i="3"/>
  <c r="N647" i="3"/>
  <c r="N648" i="3"/>
  <c r="N649" i="3"/>
  <c r="N650" i="3"/>
  <c r="N651" i="3"/>
  <c r="N652" i="3"/>
  <c r="N653" i="3"/>
  <c r="N654" i="3"/>
  <c r="N655" i="3"/>
  <c r="N656" i="3"/>
  <c r="N657" i="3"/>
  <c r="N658" i="3"/>
  <c r="N659" i="3"/>
  <c r="N660" i="3"/>
  <c r="N661" i="3"/>
  <c r="N662" i="3"/>
  <c r="N663" i="3"/>
  <c r="N664" i="3"/>
  <c r="N665" i="3"/>
  <c r="N666" i="3"/>
  <c r="N667" i="3"/>
  <c r="N668" i="3"/>
  <c r="N669" i="3"/>
  <c r="N670" i="3"/>
  <c r="N671" i="3"/>
  <c r="N672" i="3"/>
  <c r="N673" i="3"/>
  <c r="N674" i="3"/>
  <c r="N675" i="3"/>
  <c r="N676" i="3"/>
  <c r="BD677" i="3"/>
  <c r="BD678" i="3"/>
  <c r="BK679" i="3"/>
  <c r="N682" i="3"/>
  <c r="N683" i="3"/>
  <c r="N684" i="3"/>
  <c r="N685" i="3"/>
  <c r="N686" i="3"/>
  <c r="N687" i="3"/>
  <c r="I3" i="8"/>
  <c r="J3" i="8"/>
  <c r="K3" i="8"/>
  <c r="L3" i="8"/>
  <c r="M3" i="8"/>
  <c r="N3" i="8"/>
  <c r="N4" i="8" s="1"/>
  <c r="B41" i="2"/>
  <c r="A238" i="2"/>
  <c r="A241" i="2"/>
  <c r="B241" i="2"/>
  <c r="A243" i="2"/>
  <c r="A258" i="2"/>
  <c r="AQ33" i="3"/>
  <c r="AQ27" i="3"/>
  <c r="AQ21" i="3"/>
  <c r="AQ19" i="3"/>
  <c r="B278" i="2"/>
  <c r="B31" i="3"/>
  <c r="B33" i="3"/>
  <c r="AQ36" i="3"/>
  <c r="A32" i="3"/>
  <c r="AQ32" i="3" s="1"/>
  <c r="AR30" i="3"/>
  <c r="AR25" i="3"/>
  <c r="AR22" i="3"/>
  <c r="AQ20" i="3"/>
  <c r="B30" i="3"/>
  <c r="B22" i="3"/>
  <c r="A37" i="3"/>
  <c r="AR37" i="3" s="1"/>
  <c r="AR27" i="3"/>
  <c r="AR24" i="3"/>
  <c r="AQ22" i="3"/>
  <c r="AR19" i="3"/>
  <c r="B32" i="3"/>
  <c r="AR32" i="3"/>
  <c r="AR26" i="3"/>
  <c r="B23" i="3"/>
  <c r="A35" i="3"/>
  <c r="B35" i="3" s="1"/>
  <c r="AR23" i="3"/>
  <c r="AQ35" i="3"/>
  <c r="AR35" i="3"/>
  <c r="AQ28" i="3" l="1"/>
  <c r="B25" i="3"/>
  <c r="A29" i="3"/>
  <c r="AQ29" i="3" s="1"/>
  <c r="AR20" i="3"/>
  <c r="B4" i="11"/>
  <c r="D4" i="11" s="1"/>
  <c r="B6" i="11" s="1"/>
  <c r="D6" i="11" s="1"/>
  <c r="AR28" i="3"/>
  <c r="AQ25" i="3"/>
  <c r="B26" i="3"/>
  <c r="N44" i="2"/>
  <c r="M44" i="2" s="1"/>
  <c r="C242" i="2" s="1"/>
  <c r="H10" i="4"/>
  <c r="H14" i="4"/>
  <c r="H18" i="4"/>
  <c r="H22" i="4"/>
  <c r="H26" i="4"/>
  <c r="H30" i="4"/>
  <c r="H34" i="4"/>
  <c r="H38" i="4"/>
  <c r="H42" i="4"/>
  <c r="H46" i="4"/>
  <c r="H50" i="4"/>
  <c r="H54" i="4"/>
  <c r="H58" i="4"/>
  <c r="H62" i="4"/>
  <c r="H66" i="4"/>
  <c r="H70" i="4"/>
  <c r="H74" i="4"/>
  <c r="H78" i="4"/>
  <c r="H82" i="4"/>
  <c r="H86" i="4"/>
  <c r="H90" i="4"/>
  <c r="H94" i="4"/>
  <c r="H98" i="4"/>
  <c r="H102" i="4"/>
  <c r="H106" i="4"/>
  <c r="H110" i="4"/>
  <c r="AI110" i="4" s="1"/>
  <c r="H114" i="4"/>
  <c r="AI114" i="4" s="1"/>
  <c r="H118" i="4"/>
  <c r="AI118" i="4" s="1"/>
  <c r="H122" i="4"/>
  <c r="AI122" i="4" s="1"/>
  <c r="H126" i="4"/>
  <c r="AI126" i="4" s="1"/>
  <c r="H130" i="4"/>
  <c r="AI130" i="4" s="1"/>
  <c r="H134" i="4"/>
  <c r="AI134" i="4" s="1"/>
  <c r="H138" i="4"/>
  <c r="AI138" i="4" s="1"/>
  <c r="H142" i="4"/>
  <c r="AI142" i="4" s="1"/>
  <c r="H146" i="4"/>
  <c r="AI146" i="4" s="1"/>
  <c r="H150" i="4"/>
  <c r="AI150" i="4" s="1"/>
  <c r="H154" i="4"/>
  <c r="AI154" i="4" s="1"/>
  <c r="H158" i="4"/>
  <c r="AI158" i="4" s="1"/>
  <c r="H162" i="4"/>
  <c r="AI162" i="4" s="1"/>
  <c r="H166" i="4"/>
  <c r="AI166" i="4" s="1"/>
  <c r="H170" i="4"/>
  <c r="AI170" i="4" s="1"/>
  <c r="H174" i="4"/>
  <c r="AI174" i="4" s="1"/>
  <c r="H178" i="4"/>
  <c r="AI178" i="4" s="1"/>
  <c r="H182" i="4"/>
  <c r="AI182" i="4" s="1"/>
  <c r="H186" i="4"/>
  <c r="AI186" i="4" s="1"/>
  <c r="H190" i="4"/>
  <c r="AI190" i="4" s="1"/>
  <c r="H194" i="4"/>
  <c r="AI194" i="4" s="1"/>
  <c r="H198" i="4"/>
  <c r="AI198" i="4" s="1"/>
  <c r="H202" i="4"/>
  <c r="AI202" i="4" s="1"/>
  <c r="H206" i="4"/>
  <c r="AI206" i="4" s="1"/>
  <c r="H9" i="4"/>
  <c r="H11" i="4"/>
  <c r="H23" i="4"/>
  <c r="H31" i="4"/>
  <c r="H35" i="4"/>
  <c r="H43" i="4"/>
  <c r="H51" i="4"/>
  <c r="H59" i="4"/>
  <c r="H63" i="4"/>
  <c r="H71" i="4"/>
  <c r="H79" i="4"/>
  <c r="H87" i="4"/>
  <c r="H99" i="4"/>
  <c r="H107" i="4"/>
  <c r="H115" i="4"/>
  <c r="AI115" i="4" s="1"/>
  <c r="H123" i="4"/>
  <c r="AI123" i="4" s="1"/>
  <c r="H131" i="4"/>
  <c r="AI131" i="4" s="1"/>
  <c r="H139" i="4"/>
  <c r="AI139" i="4" s="1"/>
  <c r="H147" i="4"/>
  <c r="AI147" i="4" s="1"/>
  <c r="H155" i="4"/>
  <c r="AI155" i="4" s="1"/>
  <c r="H163" i="4"/>
  <c r="AI163" i="4" s="1"/>
  <c r="H171" i="4"/>
  <c r="AI171" i="4" s="1"/>
  <c r="H183" i="4"/>
  <c r="AI183" i="4" s="1"/>
  <c r="H191" i="4"/>
  <c r="AI191" i="4" s="1"/>
  <c r="H199" i="4"/>
  <c r="AI199" i="4" s="1"/>
  <c r="H207" i="4"/>
  <c r="AI207" i="4" s="1"/>
  <c r="H13" i="4"/>
  <c r="H17" i="4"/>
  <c r="H21" i="4"/>
  <c r="H25" i="4"/>
  <c r="H29" i="4"/>
  <c r="H33" i="4"/>
  <c r="H37" i="4"/>
  <c r="H41" i="4"/>
  <c r="H45" i="4"/>
  <c r="H49" i="4"/>
  <c r="H53" i="4"/>
  <c r="H57" i="4"/>
  <c r="H61" i="4"/>
  <c r="H65" i="4"/>
  <c r="H69" i="4"/>
  <c r="H73" i="4"/>
  <c r="H77" i="4"/>
  <c r="H81" i="4"/>
  <c r="H85" i="4"/>
  <c r="AI85" i="4" s="1"/>
  <c r="H89" i="4"/>
  <c r="H93" i="4"/>
  <c r="H97" i="4"/>
  <c r="H101" i="4"/>
  <c r="H105" i="4"/>
  <c r="H109" i="4"/>
  <c r="H113" i="4"/>
  <c r="AI113" i="4" s="1"/>
  <c r="H117" i="4"/>
  <c r="AI117" i="4" s="1"/>
  <c r="H121" i="4"/>
  <c r="AI121" i="4" s="1"/>
  <c r="H125" i="4"/>
  <c r="AI125" i="4" s="1"/>
  <c r="H129" i="4"/>
  <c r="AI129" i="4" s="1"/>
  <c r="H133" i="4"/>
  <c r="AI133" i="4" s="1"/>
  <c r="H137" i="4"/>
  <c r="AI137" i="4" s="1"/>
  <c r="H141" i="4"/>
  <c r="AI141" i="4" s="1"/>
  <c r="H145" i="4"/>
  <c r="AI145" i="4" s="1"/>
  <c r="H149" i="4"/>
  <c r="AI149" i="4" s="1"/>
  <c r="H153" i="4"/>
  <c r="AI153" i="4" s="1"/>
  <c r="H157" i="4"/>
  <c r="AI157" i="4" s="1"/>
  <c r="H161" i="4"/>
  <c r="AI161" i="4" s="1"/>
  <c r="H165" i="4"/>
  <c r="AI165" i="4" s="1"/>
  <c r="H169" i="4"/>
  <c r="AI169" i="4" s="1"/>
  <c r="H173" i="4"/>
  <c r="AI173" i="4" s="1"/>
  <c r="H177" i="4"/>
  <c r="AI177" i="4" s="1"/>
  <c r="H181" i="4"/>
  <c r="AI181" i="4" s="1"/>
  <c r="H185" i="4"/>
  <c r="AI185" i="4" s="1"/>
  <c r="H189" i="4"/>
  <c r="AI189" i="4" s="1"/>
  <c r="H193" i="4"/>
  <c r="AI193" i="4" s="1"/>
  <c r="H197" i="4"/>
  <c r="AI197" i="4" s="1"/>
  <c r="H201" i="4"/>
  <c r="AI201" i="4" s="1"/>
  <c r="H205" i="4"/>
  <c r="AI205" i="4" s="1"/>
  <c r="H209" i="4"/>
  <c r="AI209" i="4" s="1"/>
  <c r="H15" i="4"/>
  <c r="H19" i="4"/>
  <c r="H27" i="4"/>
  <c r="H39" i="4"/>
  <c r="H47" i="4"/>
  <c r="H55" i="4"/>
  <c r="H67" i="4"/>
  <c r="H75" i="4"/>
  <c r="H83" i="4"/>
  <c r="H91" i="4"/>
  <c r="H95" i="4"/>
  <c r="H103" i="4"/>
  <c r="H111" i="4"/>
  <c r="AI111" i="4" s="1"/>
  <c r="H119" i="4"/>
  <c r="AI119" i="4" s="1"/>
  <c r="H127" i="4"/>
  <c r="AI127" i="4" s="1"/>
  <c r="H135" i="4"/>
  <c r="AI135" i="4" s="1"/>
  <c r="H143" i="4"/>
  <c r="AI143" i="4" s="1"/>
  <c r="H151" i="4"/>
  <c r="AI151" i="4" s="1"/>
  <c r="H159" i="4"/>
  <c r="AI159" i="4" s="1"/>
  <c r="H167" i="4"/>
  <c r="AI167" i="4" s="1"/>
  <c r="H175" i="4"/>
  <c r="AI175" i="4" s="1"/>
  <c r="H179" i="4"/>
  <c r="AI179" i="4" s="1"/>
  <c r="H187" i="4"/>
  <c r="AI187" i="4" s="1"/>
  <c r="H195" i="4"/>
  <c r="AI195" i="4" s="1"/>
  <c r="H203" i="4"/>
  <c r="AI203" i="4" s="1"/>
  <c r="H12" i="4"/>
  <c r="H16" i="4"/>
  <c r="H32" i="4"/>
  <c r="H48" i="4"/>
  <c r="H64" i="4"/>
  <c r="H80" i="4"/>
  <c r="H96" i="4"/>
  <c r="H112" i="4"/>
  <c r="AI112" i="4" s="1"/>
  <c r="H128" i="4"/>
  <c r="AI128" i="4" s="1"/>
  <c r="H144" i="4"/>
  <c r="AI144" i="4" s="1"/>
  <c r="H160" i="4"/>
  <c r="AI160" i="4" s="1"/>
  <c r="H176" i="4"/>
  <c r="AI176" i="4" s="1"/>
  <c r="H192" i="4"/>
  <c r="AI192" i="4" s="1"/>
  <c r="H208" i="4"/>
  <c r="AI208" i="4" s="1"/>
  <c r="H20" i="4"/>
  <c r="H36" i="4"/>
  <c r="H52" i="4"/>
  <c r="H68" i="4"/>
  <c r="H84" i="4"/>
  <c r="H100" i="4"/>
  <c r="H116" i="4"/>
  <c r="AI116" i="4" s="1"/>
  <c r="H132" i="4"/>
  <c r="AI132" i="4" s="1"/>
  <c r="H148" i="4"/>
  <c r="AI148" i="4" s="1"/>
  <c r="H164" i="4"/>
  <c r="AI164" i="4" s="1"/>
  <c r="H180" i="4"/>
  <c r="AI180" i="4" s="1"/>
  <c r="H196" i="4"/>
  <c r="AI196" i="4" s="1"/>
  <c r="H24" i="4"/>
  <c r="H40" i="4"/>
  <c r="H56" i="4"/>
  <c r="H72" i="4"/>
  <c r="H88" i="4"/>
  <c r="H104" i="4"/>
  <c r="H120" i="4"/>
  <c r="AI120" i="4" s="1"/>
  <c r="H136" i="4"/>
  <c r="AI136" i="4" s="1"/>
  <c r="H152" i="4"/>
  <c r="AI152" i="4" s="1"/>
  <c r="H168" i="4"/>
  <c r="AI168" i="4" s="1"/>
  <c r="H184" i="4"/>
  <c r="AI184" i="4" s="1"/>
  <c r="H200" i="4"/>
  <c r="AI200" i="4" s="1"/>
  <c r="H28" i="4"/>
  <c r="H44" i="4"/>
  <c r="H60" i="4"/>
  <c r="H76" i="4"/>
  <c r="H92" i="4"/>
  <c r="H108" i="4"/>
  <c r="H124" i="4"/>
  <c r="AI124" i="4" s="1"/>
  <c r="H140" i="4"/>
  <c r="AI140" i="4" s="1"/>
  <c r="H156" i="4"/>
  <c r="AI156" i="4" s="1"/>
  <c r="H172" i="4"/>
  <c r="AI172" i="4" s="1"/>
  <c r="H188" i="4"/>
  <c r="AI188" i="4" s="1"/>
  <c r="H204" i="4"/>
  <c r="AI204" i="4" s="1"/>
  <c r="M66" i="2"/>
  <c r="AL110" i="4"/>
  <c r="AM110" i="4"/>
  <c r="AK111" i="4"/>
  <c r="AK112" i="4"/>
  <c r="AM113" i="4"/>
  <c r="AM114" i="4"/>
  <c r="AK115" i="4"/>
  <c r="AL116" i="4"/>
  <c r="AL119" i="4"/>
  <c r="AL120" i="4"/>
  <c r="AL123" i="4"/>
  <c r="AK124" i="4"/>
  <c r="AL125" i="4"/>
  <c r="AL126" i="4"/>
  <c r="AK127" i="4"/>
  <c r="AK128" i="4"/>
  <c r="AM129" i="4"/>
  <c r="AM130" i="4"/>
  <c r="AK131" i="4"/>
  <c r="AL133" i="4"/>
  <c r="AL134" i="4"/>
  <c r="AK110" i="4"/>
  <c r="AM111" i="4"/>
  <c r="AM112" i="4"/>
  <c r="AK113" i="4"/>
  <c r="AK114" i="4"/>
  <c r="AM115" i="4"/>
  <c r="AL117" i="4"/>
  <c r="AL118" i="4"/>
  <c r="AL121" i="4"/>
  <c r="AL122" i="4"/>
  <c r="AK119" i="4"/>
  <c r="AK123" i="4"/>
  <c r="AM124" i="4"/>
  <c r="AK126" i="4"/>
  <c r="AL127" i="4"/>
  <c r="AL129" i="4"/>
  <c r="AM131" i="4"/>
  <c r="AM132" i="4"/>
  <c r="AM133" i="4"/>
  <c r="AM135" i="4"/>
  <c r="AM136" i="4"/>
  <c r="AM138" i="4"/>
  <c r="AM139" i="4"/>
  <c r="AM140" i="4"/>
  <c r="AM142" i="4"/>
  <c r="AL143" i="4"/>
  <c r="AM144" i="4"/>
  <c r="AK145" i="4"/>
  <c r="AM146" i="4"/>
  <c r="AL113" i="4"/>
  <c r="AK118" i="4"/>
  <c r="AM119" i="4"/>
  <c r="AK122" i="4"/>
  <c r="AM123" i="4"/>
  <c r="AK125" i="4"/>
  <c r="AM126" i="4"/>
  <c r="AM127" i="4"/>
  <c r="AK137" i="4"/>
  <c r="AK141" i="4"/>
  <c r="AM143" i="4"/>
  <c r="AL145" i="4"/>
  <c r="AL114" i="4"/>
  <c r="AL115" i="4"/>
  <c r="AM116" i="4"/>
  <c r="AM117" i="4"/>
  <c r="AM120" i="4"/>
  <c r="AM121" i="4"/>
  <c r="AL124" i="4"/>
  <c r="AM128" i="4"/>
  <c r="AK129" i="4"/>
  <c r="AL130" i="4"/>
  <c r="AL131" i="4"/>
  <c r="AL132" i="4"/>
  <c r="AK133" i="4"/>
  <c r="AM134" i="4"/>
  <c r="AL135" i="4"/>
  <c r="AL136" i="4"/>
  <c r="AM137" i="4"/>
  <c r="AL138" i="4"/>
  <c r="AL139" i="4"/>
  <c r="AL140" i="4"/>
  <c r="AM141" i="4"/>
  <c r="AL142" i="4"/>
  <c r="AK143" i="4"/>
  <c r="AL144" i="4"/>
  <c r="AL146" i="4"/>
  <c r="AL147" i="4"/>
  <c r="AL149" i="4"/>
  <c r="AK150" i="4"/>
  <c r="AK151" i="4"/>
  <c r="AK152" i="4"/>
  <c r="AK153" i="4"/>
  <c r="AM154" i="4"/>
  <c r="AM155" i="4"/>
  <c r="AL156" i="4"/>
  <c r="AL157" i="4"/>
  <c r="AL158" i="4"/>
  <c r="AK159" i="4"/>
  <c r="AK160" i="4"/>
  <c r="AM162" i="4"/>
  <c r="AM163" i="4"/>
  <c r="AM164" i="4"/>
  <c r="AM165" i="4"/>
  <c r="AL166" i="4"/>
  <c r="AL167" i="4"/>
  <c r="AM168" i="4"/>
  <c r="AM170" i="4"/>
  <c r="AM171" i="4"/>
  <c r="AM172" i="4"/>
  <c r="AM173" i="4"/>
  <c r="AL174" i="4"/>
  <c r="AL175" i="4"/>
  <c r="AM176" i="4"/>
  <c r="AL177" i="4"/>
  <c r="AK178" i="4"/>
  <c r="AK181" i="4"/>
  <c r="AL183" i="4"/>
  <c r="AL184" i="4"/>
  <c r="AM185" i="4"/>
  <c r="AM186" i="4"/>
  <c r="AM187" i="4"/>
  <c r="AK116" i="4"/>
  <c r="AM125" i="4"/>
  <c r="AK132" i="4"/>
  <c r="AK134" i="4"/>
  <c r="AK140" i="4"/>
  <c r="AK146" i="4"/>
  <c r="AM148" i="4"/>
  <c r="AK149" i="4"/>
  <c r="AL150" i="4"/>
  <c r="AM151" i="4"/>
  <c r="AL153" i="4"/>
  <c r="AK154" i="4"/>
  <c r="AL155" i="4"/>
  <c r="AM156" i="4"/>
  <c r="AL160" i="4"/>
  <c r="AK161" i="4"/>
  <c r="AK162" i="4"/>
  <c r="AL163" i="4"/>
  <c r="AK167" i="4"/>
  <c r="AK169" i="4"/>
  <c r="AK170" i="4"/>
  <c r="AL171" i="4"/>
  <c r="AK175" i="4"/>
  <c r="AL180" i="4"/>
  <c r="AM183" i="4"/>
  <c r="AK188" i="4"/>
  <c r="AL192" i="4"/>
  <c r="AL196" i="4"/>
  <c r="AK198" i="4"/>
  <c r="AM202" i="4"/>
  <c r="AL208" i="4"/>
  <c r="AK157" i="4"/>
  <c r="AM158" i="4"/>
  <c r="AM159" i="4"/>
  <c r="AK164" i="4"/>
  <c r="AM166" i="4"/>
  <c r="AK172" i="4"/>
  <c r="AM174" i="4"/>
  <c r="AK176" i="4"/>
  <c r="AK177" i="4"/>
  <c r="AL179" i="4"/>
  <c r="AL182" i="4"/>
  <c r="AL187" i="4"/>
  <c r="AM188" i="4"/>
  <c r="AM193" i="4"/>
  <c r="AM197" i="4"/>
  <c r="AL199" i="4"/>
  <c r="AL201" i="4"/>
  <c r="AL205" i="4"/>
  <c r="AL207" i="4"/>
  <c r="AL209" i="4"/>
  <c r="AM118" i="4"/>
  <c r="AK121" i="4"/>
  <c r="AK138" i="4"/>
  <c r="AK142" i="4"/>
  <c r="AM145" i="4"/>
  <c r="AM149" i="4"/>
  <c r="AM150" i="4"/>
  <c r="AL152" i="4"/>
  <c r="AM153" i="4"/>
  <c r="AL154" i="4"/>
  <c r="AK158" i="4"/>
  <c r="AL159" i="4"/>
  <c r="AM160" i="4"/>
  <c r="AL161" i="4"/>
  <c r="AL162" i="4"/>
  <c r="AK165" i="4"/>
  <c r="AK166" i="4"/>
  <c r="AM167" i="4"/>
  <c r="AL169" i="4"/>
  <c r="AL170" i="4"/>
  <c r="AK173" i="4"/>
  <c r="AK174" i="4"/>
  <c r="AM175" i="4"/>
  <c r="AK179" i="4"/>
  <c r="AM180" i="4"/>
  <c r="AL181" i="4"/>
  <c r="AK182" i="4"/>
  <c r="AK187" i="4"/>
  <c r="AL188" i="4"/>
  <c r="AK189" i="4"/>
  <c r="AK190" i="4"/>
  <c r="AK191" i="4"/>
  <c r="AM192" i="4"/>
  <c r="AL193" i="4"/>
  <c r="AK194" i="4"/>
  <c r="AK195" i="4"/>
  <c r="AM196" i="4"/>
  <c r="AL197" i="4"/>
  <c r="AL198" i="4"/>
  <c r="AK199" i="4"/>
  <c r="AL200" i="4"/>
  <c r="AK201" i="4"/>
  <c r="AK203" i="4"/>
  <c r="AM204" i="4"/>
  <c r="AK205" i="4"/>
  <c r="AK206" i="4"/>
  <c r="AK207" i="4"/>
  <c r="AM208" i="4"/>
  <c r="AK209" i="4"/>
  <c r="AL111" i="4"/>
  <c r="AL112" i="4"/>
  <c r="AK120" i="4"/>
  <c r="AL128" i="4"/>
  <c r="AK130" i="4"/>
  <c r="AK135" i="4"/>
  <c r="AL137" i="4"/>
  <c r="AK144" i="4"/>
  <c r="AK147" i="4"/>
  <c r="AM161" i="4"/>
  <c r="AL173" i="4"/>
  <c r="AL190" i="4"/>
  <c r="AM200" i="4"/>
  <c r="AK202" i="4"/>
  <c r="AL206" i="4"/>
  <c r="AK117" i="4"/>
  <c r="AM122" i="4"/>
  <c r="AK136" i="4"/>
  <c r="AK139" i="4"/>
  <c r="AL141" i="4"/>
  <c r="AM147" i="4"/>
  <c r="AL148" i="4"/>
  <c r="AL151" i="4"/>
  <c r="AK155" i="4"/>
  <c r="AK156" i="4"/>
  <c r="AM157" i="4"/>
  <c r="AK163" i="4"/>
  <c r="AL164" i="4"/>
  <c r="AL168" i="4"/>
  <c r="AK171" i="4"/>
  <c r="AL172" i="4"/>
  <c r="AL176" i="4"/>
  <c r="AM177" i="4"/>
  <c r="AM178" i="4"/>
  <c r="AM179" i="4"/>
  <c r="AK180" i="4"/>
  <c r="AM182" i="4"/>
  <c r="AK183" i="4"/>
  <c r="AM184" i="4"/>
  <c r="AK185" i="4"/>
  <c r="AL186" i="4"/>
  <c r="AM189" i="4"/>
  <c r="AM190" i="4"/>
  <c r="AM191" i="4"/>
  <c r="AK192" i="4"/>
  <c r="AM194" i="4"/>
  <c r="AM195" i="4"/>
  <c r="AK196" i="4"/>
  <c r="AM199" i="4"/>
  <c r="AM201" i="4"/>
  <c r="AL202" i="4"/>
  <c r="AM203" i="4"/>
  <c r="AK204" i="4"/>
  <c r="AM205" i="4"/>
  <c r="AM206" i="4"/>
  <c r="AM207" i="4"/>
  <c r="AK208" i="4"/>
  <c r="AM209" i="4"/>
  <c r="AL185" i="4"/>
  <c r="AK193" i="4"/>
  <c r="AK197" i="4"/>
  <c r="AK200" i="4"/>
  <c r="AL204" i="4"/>
  <c r="AK148" i="4"/>
  <c r="AM152" i="4"/>
  <c r="AL165" i="4"/>
  <c r="AK168" i="4"/>
  <c r="AM169" i="4"/>
  <c r="AL178" i="4"/>
  <c r="AM181" i="4"/>
  <c r="AK184" i="4"/>
  <c r="AK186" i="4"/>
  <c r="AL189" i="4"/>
  <c r="AL191" i="4"/>
  <c r="AL194" i="4"/>
  <c r="AL195" i="4"/>
  <c r="AM198" i="4"/>
  <c r="AL203" i="4"/>
  <c r="B250" i="2"/>
  <c r="E250" i="2" s="1"/>
  <c r="B38" i="2"/>
  <c r="B25" i="2"/>
  <c r="B26" i="2" s="1"/>
  <c r="B27" i="2"/>
  <c r="B28" i="2" s="1"/>
  <c r="B36" i="2"/>
  <c r="B34" i="2"/>
  <c r="A35" i="16"/>
  <c r="G3" i="8"/>
  <c r="G159" i="8" s="1"/>
  <c r="G158" i="8" s="1"/>
  <c r="G157" i="8" s="1"/>
  <c r="G156" i="8" s="1"/>
  <c r="G155" i="8" s="1"/>
  <c r="G154" i="8" s="1"/>
  <c r="G153" i="8" s="1"/>
  <c r="G152" i="8" s="1"/>
  <c r="G151" i="8" s="1"/>
  <c r="G150" i="8" s="1"/>
  <c r="G149" i="8" s="1"/>
  <c r="G148" i="8" s="1"/>
  <c r="G147" i="8" s="1"/>
  <c r="G146" i="8" s="1"/>
  <c r="G145" i="8" s="1"/>
  <c r="G144" i="8" s="1"/>
  <c r="G143" i="8" s="1"/>
  <c r="G142" i="8" s="1"/>
  <c r="G141" i="8" s="1"/>
  <c r="G140" i="8" s="1"/>
  <c r="G139" i="8" s="1"/>
  <c r="G138" i="8" s="1"/>
  <c r="G137" i="8" s="1"/>
  <c r="G136" i="8" s="1"/>
  <c r="G135" i="8" s="1"/>
  <c r="G134" i="8" s="1"/>
  <c r="G133" i="8" s="1"/>
  <c r="G132" i="8" s="1"/>
  <c r="G131" i="8" s="1"/>
  <c r="G130" i="8" s="1"/>
  <c r="G129" i="8" s="1"/>
  <c r="G128" i="8" s="1"/>
  <c r="G127" i="8" s="1"/>
  <c r="G126" i="8" s="1"/>
  <c r="G125" i="8" s="1"/>
  <c r="G124" i="8" s="1"/>
  <c r="G123" i="8" s="1"/>
  <c r="G122" i="8" s="1"/>
  <c r="G121" i="8" s="1"/>
  <c r="G120" i="8" s="1"/>
  <c r="G119" i="8" s="1"/>
  <c r="G118" i="8" s="1"/>
  <c r="G117" i="8" s="1"/>
  <c r="G116" i="8" s="1"/>
  <c r="G115" i="8" s="1"/>
  <c r="G114" i="8" s="1"/>
  <c r="G113" i="8" s="1"/>
  <c r="G112" i="8" s="1"/>
  <c r="G111" i="8" s="1"/>
  <c r="G110" i="8" s="1"/>
  <c r="G109" i="8" s="1"/>
  <c r="G108" i="8" s="1"/>
  <c r="G107" i="8" s="1"/>
  <c r="G106" i="8" s="1"/>
  <c r="G105" i="8" s="1"/>
  <c r="G104" i="8" s="1"/>
  <c r="G103" i="8" s="1"/>
  <c r="G102" i="8" s="1"/>
  <c r="G101" i="8" s="1"/>
  <c r="G100" i="8" s="1"/>
  <c r="G99" i="8" s="1"/>
  <c r="G98" i="8" s="1"/>
  <c r="G97" i="8" s="1"/>
  <c r="G96" i="8" s="1"/>
  <c r="G95" i="8" s="1"/>
  <c r="G94" i="8" s="1"/>
  <c r="G93" i="8" s="1"/>
  <c r="G92" i="8" s="1"/>
  <c r="G91" i="8" s="1"/>
  <c r="G90" i="8" s="1"/>
  <c r="G89" i="8" s="1"/>
  <c r="G88" i="8" s="1"/>
  <c r="G87" i="8" s="1"/>
  <c r="G86" i="8" s="1"/>
  <c r="G85" i="8" s="1"/>
  <c r="G84" i="8" s="1"/>
  <c r="G83" i="8" s="1"/>
  <c r="G82" i="8" s="1"/>
  <c r="G81" i="8" s="1"/>
  <c r="G80" i="8" s="1"/>
  <c r="G79" i="8" s="1"/>
  <c r="G78" i="8" s="1"/>
  <c r="G77" i="8" s="1"/>
  <c r="G76" i="8" s="1"/>
  <c r="G75" i="8" s="1"/>
  <c r="G74" i="8" s="1"/>
  <c r="G73" i="8" s="1"/>
  <c r="G72" i="8" s="1"/>
  <c r="G71" i="8" s="1"/>
  <c r="G70" i="8" s="1"/>
  <c r="G69" i="8" s="1"/>
  <c r="G68" i="8" s="1"/>
  <c r="G67" i="8" s="1"/>
  <c r="G66" i="8" s="1"/>
  <c r="G65" i="8" s="1"/>
  <c r="G64" i="8" s="1"/>
  <c r="G63" i="8" s="1"/>
  <c r="G62" i="8" s="1"/>
  <c r="G61" i="8" s="1"/>
  <c r="G60" i="8" s="1"/>
  <c r="G59" i="8" s="1"/>
  <c r="G58" i="8" s="1"/>
  <c r="G57" i="8" s="1"/>
  <c r="G56" i="8" s="1"/>
  <c r="G55" i="8" s="1"/>
  <c r="G54" i="8" s="1"/>
  <c r="G53" i="8" s="1"/>
  <c r="G52" i="8" s="1"/>
  <c r="G51" i="8" s="1"/>
  <c r="G50" i="8" s="1"/>
  <c r="G49" i="8" s="1"/>
  <c r="G48" i="8" s="1"/>
  <c r="G47" i="8" s="1"/>
  <c r="G46" i="8" s="1"/>
  <c r="G45" i="8" s="1"/>
  <c r="G44" i="8" s="1"/>
  <c r="G43" i="8" s="1"/>
  <c r="G42" i="8" s="1"/>
  <c r="G41" i="8" s="1"/>
  <c r="G40" i="8" s="1"/>
  <c r="G39" i="8" s="1"/>
  <c r="G38" i="8" s="1"/>
  <c r="G37" i="8" s="1"/>
  <c r="G36" i="8" s="1"/>
  <c r="G35" i="8" s="1"/>
  <c r="G34" i="8" s="1"/>
  <c r="G33" i="8" s="1"/>
  <c r="G32" i="8" s="1"/>
  <c r="G31" i="8" s="1"/>
  <c r="G30" i="8" s="1"/>
  <c r="G29" i="8" s="1"/>
  <c r="G28" i="8" s="1"/>
  <c r="G27" i="8" s="1"/>
  <c r="G26" i="8" s="1"/>
  <c r="G25" i="8" s="1"/>
  <c r="G24" i="8" s="1"/>
  <c r="G23" i="8" s="1"/>
  <c r="G22" i="8" s="1"/>
  <c r="G21" i="8" s="1"/>
  <c r="G20" i="8" s="1"/>
  <c r="G19" i="8" s="1"/>
  <c r="G18" i="8" s="1"/>
  <c r="G17" i="8" s="1"/>
  <c r="G16" i="8" s="1"/>
  <c r="G15" i="8" s="1"/>
  <c r="G14" i="8" s="1"/>
  <c r="G13" i="8" s="1"/>
  <c r="G12" i="8" s="1"/>
  <c r="G11" i="8" s="1"/>
  <c r="G10" i="8" s="1"/>
  <c r="G9" i="8" s="1"/>
  <c r="G8" i="8" s="1"/>
  <c r="G7" i="8" s="1"/>
  <c r="G6" i="8" s="1"/>
  <c r="G4" i="8" s="1"/>
  <c r="B90" i="2"/>
  <c r="B3" i="8" s="1"/>
  <c r="B159" i="8" s="1"/>
  <c r="B158" i="8" s="1"/>
  <c r="B157" i="8" s="1"/>
  <c r="B156" i="8" s="1"/>
  <c r="B155" i="8" s="1"/>
  <c r="B154" i="8" s="1"/>
  <c r="B153" i="8" s="1"/>
  <c r="B152" i="8" s="1"/>
  <c r="B151" i="8" s="1"/>
  <c r="B150" i="8" s="1"/>
  <c r="B149" i="8" s="1"/>
  <c r="B148" i="8" s="1"/>
  <c r="B147" i="8" s="1"/>
  <c r="B146" i="8" s="1"/>
  <c r="B145" i="8" s="1"/>
  <c r="B144" i="8" s="1"/>
  <c r="B143" i="8" s="1"/>
  <c r="B142" i="8" s="1"/>
  <c r="B141" i="8" s="1"/>
  <c r="B140" i="8" s="1"/>
  <c r="B139" i="8" s="1"/>
  <c r="B138" i="8" s="1"/>
  <c r="B137" i="8" s="1"/>
  <c r="B136" i="8" s="1"/>
  <c r="B135" i="8" s="1"/>
  <c r="B134" i="8" s="1"/>
  <c r="B133" i="8" s="1"/>
  <c r="B132" i="8" s="1"/>
  <c r="B131" i="8" s="1"/>
  <c r="B130" i="8" s="1"/>
  <c r="B129" i="8" s="1"/>
  <c r="B128" i="8" s="1"/>
  <c r="B127" i="8" s="1"/>
  <c r="B126" i="8" s="1"/>
  <c r="B125" i="8" s="1"/>
  <c r="B124" i="8" s="1"/>
  <c r="B123" i="8" s="1"/>
  <c r="B122" i="8" s="1"/>
  <c r="B121" i="8" s="1"/>
  <c r="B120" i="8" s="1"/>
  <c r="B119" i="8" s="1"/>
  <c r="B118" i="8" s="1"/>
  <c r="B117" i="8" s="1"/>
  <c r="B116" i="8" s="1"/>
  <c r="B115" i="8" s="1"/>
  <c r="B114" i="8" s="1"/>
  <c r="B113" i="8" s="1"/>
  <c r="B112" i="8" s="1"/>
  <c r="B111" i="8" s="1"/>
  <c r="B110" i="8" s="1"/>
  <c r="B109" i="8" s="1"/>
  <c r="B108" i="8" s="1"/>
  <c r="B107" i="8" s="1"/>
  <c r="B106" i="8" s="1"/>
  <c r="B105" i="8" s="1"/>
  <c r="B104" i="8" s="1"/>
  <c r="B103" i="8" s="1"/>
  <c r="B102" i="8" s="1"/>
  <c r="B101" i="8" s="1"/>
  <c r="B100" i="8" s="1"/>
  <c r="B99" i="8" s="1"/>
  <c r="B98" i="8" s="1"/>
  <c r="B97" i="8" s="1"/>
  <c r="B96" i="8" s="1"/>
  <c r="B95" i="8" s="1"/>
  <c r="B94" i="8" s="1"/>
  <c r="B93" i="8" s="1"/>
  <c r="B92" i="8" s="1"/>
  <c r="B91" i="8" s="1"/>
  <c r="B90" i="8" s="1"/>
  <c r="B89" i="8" s="1"/>
  <c r="B88" i="8" s="1"/>
  <c r="B87" i="8" s="1"/>
  <c r="B86" i="8" s="1"/>
  <c r="B85" i="8" s="1"/>
  <c r="B84" i="8" s="1"/>
  <c r="B83" i="8" s="1"/>
  <c r="B82" i="8" s="1"/>
  <c r="B81" i="8" s="1"/>
  <c r="B80" i="8" s="1"/>
  <c r="B79" i="8" s="1"/>
  <c r="B78" i="8" s="1"/>
  <c r="B77" i="8" s="1"/>
  <c r="B76" i="8" s="1"/>
  <c r="B75" i="8" s="1"/>
  <c r="B74" i="8" s="1"/>
  <c r="B73" i="8" s="1"/>
  <c r="B72" i="8" s="1"/>
  <c r="B71" i="8" s="1"/>
  <c r="B70" i="8" s="1"/>
  <c r="B69" i="8" s="1"/>
  <c r="B68" i="8" s="1"/>
  <c r="B67" i="8" s="1"/>
  <c r="B66" i="8" s="1"/>
  <c r="B65" i="8" s="1"/>
  <c r="B64" i="8" s="1"/>
  <c r="B63" i="8" s="1"/>
  <c r="B62" i="8" s="1"/>
  <c r="B61" i="8" s="1"/>
  <c r="B60" i="8" s="1"/>
  <c r="B59" i="8" s="1"/>
  <c r="B58" i="8" s="1"/>
  <c r="B57" i="8" s="1"/>
  <c r="B56" i="8" s="1"/>
  <c r="B55" i="8" s="1"/>
  <c r="B54" i="8" s="1"/>
  <c r="B53" i="8" s="1"/>
  <c r="B52" i="8" s="1"/>
  <c r="B51" i="8" s="1"/>
  <c r="B50" i="8" s="1"/>
  <c r="B49" i="8" s="1"/>
  <c r="B48" i="8" s="1"/>
  <c r="B47" i="8" s="1"/>
  <c r="B46" i="8" s="1"/>
  <c r="B45" i="8" s="1"/>
  <c r="B44" i="8" s="1"/>
  <c r="B43" i="8" s="1"/>
  <c r="B42" i="8" s="1"/>
  <c r="B41" i="8" s="1"/>
  <c r="B40" i="8" s="1"/>
  <c r="B39" i="8" s="1"/>
  <c r="B38" i="8" s="1"/>
  <c r="B37" i="8" s="1"/>
  <c r="B36" i="8" s="1"/>
  <c r="B35" i="8" s="1"/>
  <c r="B34" i="8" s="1"/>
  <c r="B33" i="8" s="1"/>
  <c r="B32" i="8" s="1"/>
  <c r="B31" i="8" s="1"/>
  <c r="B30" i="8" s="1"/>
  <c r="B29" i="8" s="1"/>
  <c r="B28" i="8" s="1"/>
  <c r="B27" i="8" s="1"/>
  <c r="B26" i="8" s="1"/>
  <c r="B25" i="8" s="1"/>
  <c r="B24" i="8" s="1"/>
  <c r="B23" i="8" s="1"/>
  <c r="B22" i="8" s="1"/>
  <c r="B21" i="8" s="1"/>
  <c r="B20" i="8" s="1"/>
  <c r="B19" i="8" s="1"/>
  <c r="B18" i="8" s="1"/>
  <c r="B17" i="8" s="1"/>
  <c r="B16" i="8" s="1"/>
  <c r="B15" i="8" s="1"/>
  <c r="B14" i="8" s="1"/>
  <c r="B13" i="8" s="1"/>
  <c r="B12" i="8" s="1"/>
  <c r="B11" i="8" s="1"/>
  <c r="B10" i="8" s="1"/>
  <c r="B9" i="8" s="1"/>
  <c r="B8" i="8" s="1"/>
  <c r="B7" i="8" s="1"/>
  <c r="B6" i="8" s="1"/>
  <c r="B4" i="8" s="1"/>
  <c r="B131" i="2"/>
  <c r="J136" i="3" s="1"/>
  <c r="AK10" i="4"/>
  <c r="AL10" i="4"/>
  <c r="B19" i="4"/>
  <c r="B34" i="3"/>
  <c r="AR34" i="3"/>
  <c r="AQ34" i="3"/>
  <c r="AQ24" i="3"/>
  <c r="B248" i="2"/>
  <c r="B18" i="4"/>
  <c r="AK24" i="4"/>
  <c r="AJ173" i="3"/>
  <c r="AJ565" i="3"/>
  <c r="AK57" i="4"/>
  <c r="C273" i="2"/>
  <c r="AJ19" i="3"/>
  <c r="AJ175" i="3"/>
  <c r="AJ150" i="3"/>
  <c r="R4" i="8"/>
  <c r="S4" i="8" s="1"/>
  <c r="E13" i="1" s="1"/>
  <c r="B23" i="2"/>
  <c r="B85" i="2" s="1"/>
  <c r="AJ264" i="3"/>
  <c r="AJ522" i="3"/>
  <c r="AJ512" i="3"/>
  <c r="AJ71" i="3"/>
  <c r="AJ553" i="3"/>
  <c r="AJ136" i="3"/>
  <c r="AJ545" i="3"/>
  <c r="AJ195" i="3"/>
  <c r="AJ281" i="3"/>
  <c r="AJ634" i="3"/>
  <c r="AJ384" i="3"/>
  <c r="AJ475" i="3"/>
  <c r="AJ322" i="3"/>
  <c r="AJ434" i="3"/>
  <c r="AL39" i="4"/>
  <c r="AJ463" i="3"/>
  <c r="AJ328" i="3"/>
  <c r="AJ200" i="3"/>
  <c r="AJ72" i="3"/>
  <c r="AJ241" i="3"/>
  <c r="AJ639" i="3"/>
  <c r="AJ394" i="3"/>
  <c r="AJ511" i="3"/>
  <c r="AJ105" i="3"/>
  <c r="AJ437" i="3"/>
  <c r="AJ666" i="3"/>
  <c r="AJ576" i="3"/>
  <c r="AJ448" i="3"/>
  <c r="AJ303" i="3"/>
  <c r="AJ603" i="3"/>
  <c r="AJ347" i="3"/>
  <c r="AJ236" i="3"/>
  <c r="AJ66" i="3"/>
  <c r="AJ18" i="3"/>
  <c r="AJ606" i="3"/>
  <c r="AJ187" i="3"/>
  <c r="AJ253" i="3"/>
  <c r="AJ296" i="3"/>
  <c r="AJ232" i="3"/>
  <c r="AJ168" i="3"/>
  <c r="AJ104" i="3"/>
  <c r="AJ40" i="3"/>
  <c r="AJ85" i="3"/>
  <c r="AJ417" i="3"/>
  <c r="AJ671" i="3"/>
  <c r="AJ586" i="3"/>
  <c r="AJ458" i="3"/>
  <c r="AJ323" i="3"/>
  <c r="R10" i="8"/>
  <c r="S10" i="8" s="1"/>
  <c r="AJ383" i="3"/>
  <c r="AJ41" i="3"/>
  <c r="AJ153" i="3"/>
  <c r="AJ373" i="3"/>
  <c r="AJ501" i="3"/>
  <c r="AJ674" i="3"/>
  <c r="AJ650" i="3"/>
  <c r="AJ608" i="3"/>
  <c r="AJ544" i="3"/>
  <c r="AJ480" i="3"/>
  <c r="AJ416" i="3"/>
  <c r="AJ352" i="3"/>
  <c r="AJ239" i="3"/>
  <c r="AJ91" i="3"/>
  <c r="AJ539" i="3"/>
  <c r="AJ411" i="3"/>
  <c r="AJ229" i="3"/>
  <c r="AJ278" i="3"/>
  <c r="AJ194" i="3"/>
  <c r="AJ108" i="3"/>
  <c r="AJ28" i="3"/>
  <c r="AJ377" i="3"/>
  <c r="AJ659" i="3"/>
  <c r="AJ518" i="3"/>
  <c r="AJ141" i="3"/>
  <c r="AJ688" i="3"/>
  <c r="AK25" i="4"/>
  <c r="AL23" i="4"/>
  <c r="F63" i="1"/>
  <c r="N159" i="8"/>
  <c r="N158" i="8" s="1"/>
  <c r="N157" i="8" s="1"/>
  <c r="N156" i="8" s="1"/>
  <c r="N155" i="8" s="1"/>
  <c r="N154" i="8" s="1"/>
  <c r="N153" i="8" s="1"/>
  <c r="N152" i="8" s="1"/>
  <c r="N151" i="8" s="1"/>
  <c r="N150" i="8" s="1"/>
  <c r="N149" i="8" s="1"/>
  <c r="N148" i="8" s="1"/>
  <c r="N147" i="8" s="1"/>
  <c r="N146" i="8" s="1"/>
  <c r="N145" i="8" s="1"/>
  <c r="N144" i="8" s="1"/>
  <c r="N143" i="8" s="1"/>
  <c r="N142" i="8" s="1"/>
  <c r="N141" i="8" s="1"/>
  <c r="N140" i="8" s="1"/>
  <c r="N139" i="8" s="1"/>
  <c r="N138" i="8" s="1"/>
  <c r="N137" i="8" s="1"/>
  <c r="N136" i="8" s="1"/>
  <c r="N135" i="8" s="1"/>
  <c r="N134" i="8" s="1"/>
  <c r="N133" i="8" s="1"/>
  <c r="N132" i="8" s="1"/>
  <c r="N131" i="8" s="1"/>
  <c r="N130" i="8" s="1"/>
  <c r="N129" i="8" s="1"/>
  <c r="N128" i="8" s="1"/>
  <c r="N127" i="8" s="1"/>
  <c r="N126" i="8" s="1"/>
  <c r="N125" i="8" s="1"/>
  <c r="N124" i="8" s="1"/>
  <c r="N123" i="8" s="1"/>
  <c r="N122" i="8" s="1"/>
  <c r="N121" i="8" s="1"/>
  <c r="N120" i="8" s="1"/>
  <c r="N119" i="8" s="1"/>
  <c r="N118" i="8" s="1"/>
  <c r="N117" i="8" s="1"/>
  <c r="N116" i="8" s="1"/>
  <c r="N115" i="8" s="1"/>
  <c r="N114" i="8" s="1"/>
  <c r="N113" i="8" s="1"/>
  <c r="N112" i="8" s="1"/>
  <c r="N111" i="8" s="1"/>
  <c r="N110" i="8" s="1"/>
  <c r="N109" i="8" s="1"/>
  <c r="N108" i="8" s="1"/>
  <c r="N107" i="8" s="1"/>
  <c r="N106" i="8" s="1"/>
  <c r="N105" i="8" s="1"/>
  <c r="N104" i="8" s="1"/>
  <c r="N103" i="8" s="1"/>
  <c r="N102" i="8" s="1"/>
  <c r="N101" i="8" s="1"/>
  <c r="N100" i="8" s="1"/>
  <c r="N99" i="8" s="1"/>
  <c r="N98" i="8" s="1"/>
  <c r="N97" i="8" s="1"/>
  <c r="N96" i="8" s="1"/>
  <c r="N95" i="8" s="1"/>
  <c r="N94" i="8" s="1"/>
  <c r="N93" i="8" s="1"/>
  <c r="N92" i="8" s="1"/>
  <c r="N91" i="8" s="1"/>
  <c r="N90" i="8" s="1"/>
  <c r="N89" i="8" s="1"/>
  <c r="N88" i="8" s="1"/>
  <c r="N87" i="8" s="1"/>
  <c r="N86" i="8" s="1"/>
  <c r="N85" i="8" s="1"/>
  <c r="N84" i="8" s="1"/>
  <c r="N83" i="8" s="1"/>
  <c r="N82" i="8" s="1"/>
  <c r="N81" i="8" s="1"/>
  <c r="N80" i="8" s="1"/>
  <c r="N79" i="8" s="1"/>
  <c r="N78" i="8" s="1"/>
  <c r="N77" i="8" s="1"/>
  <c r="N76" i="8" s="1"/>
  <c r="N75" i="8" s="1"/>
  <c r="N74" i="8" s="1"/>
  <c r="N73" i="8" s="1"/>
  <c r="N72" i="8" s="1"/>
  <c r="N71" i="8" s="1"/>
  <c r="N70" i="8" s="1"/>
  <c r="N69" i="8" s="1"/>
  <c r="N68" i="8" s="1"/>
  <c r="N67" i="8" s="1"/>
  <c r="N66" i="8" s="1"/>
  <c r="N65" i="8" s="1"/>
  <c r="N64" i="8" s="1"/>
  <c r="N63" i="8" s="1"/>
  <c r="N62" i="8" s="1"/>
  <c r="N61" i="8" s="1"/>
  <c r="N60" i="8" s="1"/>
  <c r="N59" i="8" s="1"/>
  <c r="N58" i="8" s="1"/>
  <c r="N57" i="8" s="1"/>
  <c r="N56" i="8" s="1"/>
  <c r="N55" i="8" s="1"/>
  <c r="N54" i="8" s="1"/>
  <c r="N53" i="8" s="1"/>
  <c r="N52" i="8" s="1"/>
  <c r="N51" i="8" s="1"/>
  <c r="N50" i="8" s="1"/>
  <c r="N49" i="8" s="1"/>
  <c r="N48" i="8" s="1"/>
  <c r="N47" i="8" s="1"/>
  <c r="N46" i="8" s="1"/>
  <c r="N45" i="8" s="1"/>
  <c r="N44" i="8" s="1"/>
  <c r="N43" i="8" s="1"/>
  <c r="N42" i="8" s="1"/>
  <c r="N41" i="8" s="1"/>
  <c r="N40" i="8" s="1"/>
  <c r="N39" i="8" s="1"/>
  <c r="N38" i="8" s="1"/>
  <c r="N37" i="8" s="1"/>
  <c r="N36" i="8" s="1"/>
  <c r="N35" i="8" s="1"/>
  <c r="N34" i="8" s="1"/>
  <c r="N33" i="8" s="1"/>
  <c r="N32" i="8" s="1"/>
  <c r="N31" i="8" s="1"/>
  <c r="N30" i="8" s="1"/>
  <c r="N29" i="8" s="1"/>
  <c r="N28" i="8" s="1"/>
  <c r="N27" i="8" s="1"/>
  <c r="N26" i="8" s="1"/>
  <c r="N25" i="8" s="1"/>
  <c r="N24" i="8" s="1"/>
  <c r="N23" i="8" s="1"/>
  <c r="N22" i="8" s="1"/>
  <c r="N21" i="8" s="1"/>
  <c r="N20" i="8" s="1"/>
  <c r="N19" i="8" s="1"/>
  <c r="N18" i="8" s="1"/>
  <c r="N17" i="8" s="1"/>
  <c r="N16" i="8" s="1"/>
  <c r="N15" i="8" s="1"/>
  <c r="N14" i="8" s="1"/>
  <c r="N13" i="8" s="1"/>
  <c r="N12" i="8" s="1"/>
  <c r="N11" i="8" s="1"/>
  <c r="N10" i="8" s="1"/>
  <c r="N9" i="8" s="1"/>
  <c r="N8" i="8" s="1"/>
  <c r="N7" i="8" s="1"/>
  <c r="N6" i="8" s="1"/>
  <c r="AL46" i="4"/>
  <c r="B53" i="4"/>
  <c r="B22" i="4"/>
  <c r="B194" i="2"/>
  <c r="B45" i="4" s="1"/>
  <c r="B14" i="4"/>
  <c r="AL96" i="4"/>
  <c r="AL107" i="4"/>
  <c r="AJ375" i="3"/>
  <c r="AJ551" i="3"/>
  <c r="B127" i="2"/>
  <c r="B153" i="2" s="1"/>
  <c r="B146" i="2" s="1"/>
  <c r="AJ312" i="3"/>
  <c r="AJ280" i="3"/>
  <c r="AJ248" i="3"/>
  <c r="AJ216" i="3"/>
  <c r="AJ184" i="3"/>
  <c r="AJ152" i="3"/>
  <c r="AJ120" i="3"/>
  <c r="AJ88" i="3"/>
  <c r="AJ56" i="3"/>
  <c r="AJ29" i="3"/>
  <c r="AJ16" i="3"/>
  <c r="AJ95" i="3"/>
  <c r="AJ353" i="3"/>
  <c r="AJ481" i="3"/>
  <c r="AJ609" i="3"/>
  <c r="AJ655" i="3"/>
  <c r="AJ618" i="3"/>
  <c r="AJ554" i="3"/>
  <c r="AJ490" i="3"/>
  <c r="AJ426" i="3"/>
  <c r="AJ362" i="3"/>
  <c r="AJ259" i="3"/>
  <c r="AJ131" i="3"/>
  <c r="AJ575" i="3"/>
  <c r="AJ447" i="3"/>
  <c r="AJ301" i="3"/>
  <c r="AL57" i="4"/>
  <c r="AJ73" i="3"/>
  <c r="AJ47" i="3"/>
  <c r="AJ217" i="3"/>
  <c r="AJ341" i="3"/>
  <c r="AJ405" i="3"/>
  <c r="AJ469" i="3"/>
  <c r="AJ533" i="3"/>
  <c r="AJ597" i="3"/>
  <c r="AJ687" i="3"/>
  <c r="AJ658" i="3"/>
  <c r="AJ642" i="3"/>
  <c r="AJ624" i="3"/>
  <c r="AJ592" i="3"/>
  <c r="AJ560" i="3"/>
  <c r="AJ528" i="3"/>
  <c r="AJ496" i="3"/>
  <c r="AJ464" i="3"/>
  <c r="AJ432" i="3"/>
  <c r="AJ400" i="3"/>
  <c r="AJ368" i="3"/>
  <c r="AJ335" i="3"/>
  <c r="AJ271" i="3"/>
  <c r="AJ207" i="3"/>
  <c r="AJ143" i="3"/>
  <c r="AJ14" i="3"/>
  <c r="AJ571" i="3"/>
  <c r="AJ507" i="3"/>
  <c r="AJ443" i="3"/>
  <c r="AJ379" i="3"/>
  <c r="AJ293" i="3"/>
  <c r="AJ165" i="3"/>
  <c r="AJ300" i="3"/>
  <c r="AJ258" i="3"/>
  <c r="AJ214" i="3"/>
  <c r="AJ172" i="3"/>
  <c r="AJ130" i="3"/>
  <c r="AJ86" i="3"/>
  <c r="AJ44" i="3"/>
  <c r="AJ13" i="3"/>
  <c r="AJ61" i="3"/>
  <c r="AJ257" i="3"/>
  <c r="AJ465" i="3"/>
  <c r="AJ675" i="3"/>
  <c r="AJ637" i="3"/>
  <c r="AJ562" i="3"/>
  <c r="AJ478" i="3"/>
  <c r="AJ390" i="3"/>
  <c r="AJ275" i="3"/>
  <c r="AJ83" i="3"/>
  <c r="AK67" i="4"/>
  <c r="AK89" i="4"/>
  <c r="AL19" i="4"/>
  <c r="AK15" i="4"/>
  <c r="AJ583" i="3"/>
  <c r="B25" i="4"/>
  <c r="B171" i="2"/>
  <c r="AL47" i="4"/>
  <c r="AL38" i="4"/>
  <c r="AL70" i="4"/>
  <c r="AL68" i="4"/>
  <c r="AL26" i="4"/>
  <c r="AL92" i="4"/>
  <c r="AJ333" i="3"/>
  <c r="AJ423" i="3"/>
  <c r="AJ503" i="3"/>
  <c r="AJ591" i="3"/>
  <c r="AJ336" i="3"/>
  <c r="AJ320" i="3"/>
  <c r="AJ304" i="3"/>
  <c r="AJ288" i="3"/>
  <c r="AJ272" i="3"/>
  <c r="AJ256" i="3"/>
  <c r="AJ240" i="3"/>
  <c r="AJ224" i="3"/>
  <c r="AJ208" i="3"/>
  <c r="AJ192" i="3"/>
  <c r="AJ176" i="3"/>
  <c r="AJ160" i="3"/>
  <c r="AJ144" i="3"/>
  <c r="AJ128" i="3"/>
  <c r="AJ112" i="3"/>
  <c r="AJ96" i="3"/>
  <c r="AJ80" i="3"/>
  <c r="AJ64" i="3"/>
  <c r="AJ48" i="3"/>
  <c r="AJ35" i="3"/>
  <c r="AJ24" i="3"/>
  <c r="AJ11" i="3"/>
  <c r="AJ53" i="3"/>
  <c r="AJ117" i="3"/>
  <c r="AJ177" i="3"/>
  <c r="AJ305" i="3"/>
  <c r="AJ385" i="3"/>
  <c r="AJ449" i="3"/>
  <c r="AJ513" i="3"/>
  <c r="AJ577" i="3"/>
  <c r="AJ682" i="3"/>
  <c r="AJ663" i="3"/>
  <c r="AJ647" i="3"/>
  <c r="AJ631" i="3"/>
  <c r="AJ602" i="3"/>
  <c r="AJ570" i="3"/>
  <c r="AJ538" i="3"/>
  <c r="AJ506" i="3"/>
  <c r="AJ474" i="3"/>
  <c r="AJ442" i="3"/>
  <c r="AJ410" i="3"/>
  <c r="AJ378" i="3"/>
  <c r="AJ346" i="3"/>
  <c r="AJ291" i="3"/>
  <c r="AJ227" i="3"/>
  <c r="AJ163" i="3"/>
  <c r="AJ67" i="3"/>
  <c r="AJ607" i="3"/>
  <c r="AJ543" i="3"/>
  <c r="AJ479" i="3"/>
  <c r="AJ415" i="3"/>
  <c r="AJ351" i="3"/>
  <c r="AJ237" i="3"/>
  <c r="AJ87" i="3"/>
  <c r="AL45" i="4"/>
  <c r="AJ57" i="3"/>
  <c r="AJ89" i="3"/>
  <c r="AJ121" i="3"/>
  <c r="AJ111" i="3"/>
  <c r="AJ185" i="3"/>
  <c r="AJ249" i="3"/>
  <c r="AJ313" i="3"/>
  <c r="AJ357" i="3"/>
  <c r="AJ389" i="3"/>
  <c r="AJ421" i="3"/>
  <c r="AJ453" i="3"/>
  <c r="AJ485" i="3"/>
  <c r="AJ517" i="3"/>
  <c r="AJ549" i="3"/>
  <c r="AJ581" i="3"/>
  <c r="AJ613" i="3"/>
  <c r="AJ683" i="3"/>
  <c r="AJ670" i="3"/>
  <c r="AJ662" i="3"/>
  <c r="AJ654" i="3"/>
  <c r="AJ646" i="3"/>
  <c r="AJ638" i="3"/>
  <c r="AJ630" i="3"/>
  <c r="AJ616" i="3"/>
  <c r="AJ600" i="3"/>
  <c r="AJ584" i="3"/>
  <c r="AJ568" i="3"/>
  <c r="AJ552" i="3"/>
  <c r="AJ536" i="3"/>
  <c r="AJ520" i="3"/>
  <c r="AJ504" i="3"/>
  <c r="AJ488" i="3"/>
  <c r="AJ472" i="3"/>
  <c r="AJ456" i="3"/>
  <c r="AJ440" i="3"/>
  <c r="AJ424" i="3"/>
  <c r="AJ408" i="3"/>
  <c r="AJ392" i="3"/>
  <c r="AJ376" i="3"/>
  <c r="AJ360" i="3"/>
  <c r="AJ344" i="3"/>
  <c r="AJ319" i="3"/>
  <c r="AJ287" i="3"/>
  <c r="AJ255" i="3"/>
  <c r="AJ223" i="3"/>
  <c r="AJ191" i="3"/>
  <c r="AJ159" i="3"/>
  <c r="AJ123" i="3"/>
  <c r="AJ59" i="3"/>
  <c r="AJ619" i="3"/>
  <c r="AJ587" i="3"/>
  <c r="AJ555" i="3"/>
  <c r="AJ523" i="3"/>
  <c r="AJ491" i="3"/>
  <c r="AJ459" i="3"/>
  <c r="AJ427" i="3"/>
  <c r="AJ395" i="3"/>
  <c r="AJ363" i="3"/>
  <c r="AJ325" i="3"/>
  <c r="AJ261" i="3"/>
  <c r="AJ197" i="3"/>
  <c r="AJ133" i="3"/>
  <c r="AJ34" i="3"/>
  <c r="AK98" i="4"/>
  <c r="AJ332" i="3"/>
  <c r="AJ310" i="3"/>
  <c r="AJ290" i="3"/>
  <c r="AJ268" i="3"/>
  <c r="AJ246" i="3"/>
  <c r="AJ226" i="3"/>
  <c r="AJ204" i="3"/>
  <c r="AJ182" i="3"/>
  <c r="AJ162" i="3"/>
  <c r="AJ140" i="3"/>
  <c r="AJ118" i="3"/>
  <c r="AJ98" i="3"/>
  <c r="AJ76" i="3"/>
  <c r="AJ54" i="3"/>
  <c r="AJ36" i="3"/>
  <c r="AJ21" i="3"/>
  <c r="AL79" i="4"/>
  <c r="AJ101" i="3"/>
  <c r="AJ161" i="3"/>
  <c r="AJ337" i="3"/>
  <c r="AJ425" i="3"/>
  <c r="AJ505" i="3"/>
  <c r="AJ593" i="3"/>
  <c r="AJ669" i="3"/>
  <c r="AJ649" i="3"/>
  <c r="AJ626" i="3"/>
  <c r="AJ582" i="3"/>
  <c r="AJ542" i="3"/>
  <c r="AJ498" i="3"/>
  <c r="AJ454" i="3"/>
  <c r="AJ414" i="3"/>
  <c r="AJ370" i="3"/>
  <c r="AJ315" i="3"/>
  <c r="AJ235" i="3"/>
  <c r="AJ147" i="3"/>
  <c r="AK77" i="4"/>
  <c r="AK45" i="4"/>
  <c r="AK90" i="4"/>
  <c r="AK78" i="4"/>
  <c r="AK36" i="4"/>
  <c r="AJ359" i="3"/>
  <c r="AJ471" i="3"/>
  <c r="AL40" i="4"/>
  <c r="AL11" i="4"/>
  <c r="AL72" i="4"/>
  <c r="AL42" i="4"/>
  <c r="AL27" i="4"/>
  <c r="AL30" i="4"/>
  <c r="AK106" i="4"/>
  <c r="AL21" i="4"/>
  <c r="AL86" i="4"/>
  <c r="AK38" i="4"/>
  <c r="AK108" i="4"/>
  <c r="AK14" i="4"/>
  <c r="AK35" i="4"/>
  <c r="AK56" i="4"/>
  <c r="AK79" i="4"/>
  <c r="AK100" i="4"/>
  <c r="AK42" i="4"/>
  <c r="AK34" i="4"/>
  <c r="AK96" i="4"/>
  <c r="AK68" i="4"/>
  <c r="AK47" i="4"/>
  <c r="AL90" i="4"/>
  <c r="AL66" i="4"/>
  <c r="AL35" i="4"/>
  <c r="AL29" i="4"/>
  <c r="AL106" i="4"/>
  <c r="AL105" i="4"/>
  <c r="AL59" i="4"/>
  <c r="AL12" i="4"/>
  <c r="AL74" i="4"/>
  <c r="AL78" i="4"/>
  <c r="AL61" i="4"/>
  <c r="AL85" i="4"/>
  <c r="AL44" i="4"/>
  <c r="AL36" i="4"/>
  <c r="AL48" i="4"/>
  <c r="AL9" i="4"/>
  <c r="AL76" i="4"/>
  <c r="AL17" i="4"/>
  <c r="AL98" i="4"/>
  <c r="AL37" i="4"/>
  <c r="AL95" i="4"/>
  <c r="AL64" i="4"/>
  <c r="AL102" i="4"/>
  <c r="AL104" i="4"/>
  <c r="AL28" i="4"/>
  <c r="AL13" i="4"/>
  <c r="AL33" i="4"/>
  <c r="AL69" i="4"/>
  <c r="AL18" i="4"/>
  <c r="AL100" i="4"/>
  <c r="AL73" i="4"/>
  <c r="AL82" i="4"/>
  <c r="AL67" i="4"/>
  <c r="AL56" i="4"/>
  <c r="AL49" i="4"/>
  <c r="AL53" i="4"/>
  <c r="AL83" i="4"/>
  <c r="AL62" i="4"/>
  <c r="AL94" i="4"/>
  <c r="AL24" i="4"/>
  <c r="AL25" i="4"/>
  <c r="AL71" i="4"/>
  <c r="AL99" i="4"/>
  <c r="AL109" i="4"/>
  <c r="AL75" i="4"/>
  <c r="AL81" i="4"/>
  <c r="AL89" i="4"/>
  <c r="AL60" i="4"/>
  <c r="AL41" i="4"/>
  <c r="AL52" i="4"/>
  <c r="AL84" i="4"/>
  <c r="AL31" i="4"/>
  <c r="B54" i="4"/>
  <c r="B224" i="2"/>
  <c r="B39" i="4"/>
  <c r="B77" i="4"/>
  <c r="B223" i="2"/>
  <c r="AJ55" i="3"/>
  <c r="AJ205" i="3"/>
  <c r="AJ317" i="3"/>
  <c r="AJ391" i="3"/>
  <c r="AJ439" i="3"/>
  <c r="AJ495" i="3"/>
  <c r="AJ559" i="3"/>
  <c r="AJ615" i="3"/>
  <c r="AJ26" i="3"/>
  <c r="AJ115" i="3"/>
  <c r="AJ171" i="3"/>
  <c r="AJ211" i="3"/>
  <c r="AJ251" i="3"/>
  <c r="AJ299" i="3"/>
  <c r="AJ338" i="3"/>
  <c r="AJ358" i="3"/>
  <c r="AJ382" i="3"/>
  <c r="AJ402" i="3"/>
  <c r="AJ422" i="3"/>
  <c r="AJ446" i="3"/>
  <c r="AJ466" i="3"/>
  <c r="AJ486" i="3"/>
  <c r="AJ510" i="3"/>
  <c r="AJ530" i="3"/>
  <c r="AJ550" i="3"/>
  <c r="AJ574" i="3"/>
  <c r="AJ594" i="3"/>
  <c r="AJ614" i="3"/>
  <c r="AJ633" i="3"/>
  <c r="AJ643" i="3"/>
  <c r="AJ653" i="3"/>
  <c r="AJ665" i="3"/>
  <c r="AJ686" i="3"/>
  <c r="AJ617" i="3"/>
  <c r="AJ569" i="3"/>
  <c r="AJ529" i="3"/>
  <c r="AJ489" i="3"/>
  <c r="AJ441" i="3"/>
  <c r="AJ401" i="3"/>
  <c r="AJ361" i="3"/>
  <c r="AJ289" i="3"/>
  <c r="AJ209" i="3"/>
  <c r="AJ127" i="3"/>
  <c r="AJ125" i="3"/>
  <c r="AJ77" i="3"/>
  <c r="AJ30" i="3"/>
  <c r="AJ17" i="3"/>
  <c r="AJ25" i="3"/>
  <c r="AJ32" i="3"/>
  <c r="AJ38" i="3"/>
  <c r="AJ50" i="3"/>
  <c r="AJ60" i="3"/>
  <c r="AJ70" i="3"/>
  <c r="AJ82" i="3"/>
  <c r="AJ92" i="3"/>
  <c r="AJ102" i="3"/>
  <c r="AJ114" i="3"/>
  <c r="AJ124" i="3"/>
  <c r="AJ134" i="3"/>
  <c r="AJ146" i="3"/>
  <c r="AJ156" i="3"/>
  <c r="AJ166" i="3"/>
  <c r="AJ178" i="3"/>
  <c r="AJ188" i="3"/>
  <c r="AJ198" i="3"/>
  <c r="AJ210" i="3"/>
  <c r="AJ220" i="3"/>
  <c r="AJ230" i="3"/>
  <c r="AJ242" i="3"/>
  <c r="AJ252" i="3"/>
  <c r="AJ262" i="3"/>
  <c r="AJ274" i="3"/>
  <c r="AJ284" i="3"/>
  <c r="AJ294" i="3"/>
  <c r="AJ306" i="3"/>
  <c r="AJ316" i="3"/>
  <c r="AJ326" i="3"/>
  <c r="AJ39" i="3"/>
  <c r="AJ103" i="3"/>
  <c r="AJ149" i="3"/>
  <c r="AJ181" i="3"/>
  <c r="AJ213" i="3"/>
  <c r="AJ245" i="3"/>
  <c r="AJ277" i="3"/>
  <c r="AJ309" i="3"/>
  <c r="AJ339" i="3"/>
  <c r="AJ355" i="3"/>
  <c r="AJ371" i="3"/>
  <c r="AJ387" i="3"/>
  <c r="AJ403" i="3"/>
  <c r="AJ419" i="3"/>
  <c r="AJ435" i="3"/>
  <c r="AJ451" i="3"/>
  <c r="AJ467" i="3"/>
  <c r="AJ483" i="3"/>
  <c r="AJ499" i="3"/>
  <c r="AJ515" i="3"/>
  <c r="AJ531" i="3"/>
  <c r="AJ547" i="3"/>
  <c r="AJ563" i="3"/>
  <c r="AJ579" i="3"/>
  <c r="AJ595" i="3"/>
  <c r="AJ611" i="3"/>
  <c r="AJ627" i="3"/>
  <c r="AJ43" i="3"/>
  <c r="AJ75" i="3"/>
  <c r="AJ107" i="3"/>
  <c r="AJ135" i="3"/>
  <c r="AJ151" i="3"/>
  <c r="AJ167" i="3"/>
  <c r="AJ183" i="3"/>
  <c r="AJ199" i="3"/>
  <c r="AJ215" i="3"/>
  <c r="AJ231" i="3"/>
  <c r="AJ247" i="3"/>
  <c r="AJ263" i="3"/>
  <c r="AJ279" i="3"/>
  <c r="AJ295" i="3"/>
  <c r="AJ311" i="3"/>
  <c r="AJ327" i="3"/>
  <c r="AJ340" i="3"/>
  <c r="AJ348" i="3"/>
  <c r="AJ356" i="3"/>
  <c r="AJ364" i="3"/>
  <c r="AJ372" i="3"/>
  <c r="AJ380" i="3"/>
  <c r="AJ388" i="3"/>
  <c r="AJ396" i="3"/>
  <c r="AJ404" i="3"/>
  <c r="AJ412" i="3"/>
  <c r="AJ420" i="3"/>
  <c r="AJ428" i="3"/>
  <c r="AJ436" i="3"/>
  <c r="AJ444" i="3"/>
  <c r="AJ452" i="3"/>
  <c r="AJ460" i="3"/>
  <c r="AJ468" i="3"/>
  <c r="AJ476" i="3"/>
  <c r="AJ484" i="3"/>
  <c r="AJ492" i="3"/>
  <c r="AJ500" i="3"/>
  <c r="AJ508" i="3"/>
  <c r="AJ516" i="3"/>
  <c r="AJ524" i="3"/>
  <c r="AJ532" i="3"/>
  <c r="AJ540" i="3"/>
  <c r="AJ548" i="3"/>
  <c r="AJ556" i="3"/>
  <c r="AJ564" i="3"/>
  <c r="AJ572" i="3"/>
  <c r="AJ580" i="3"/>
  <c r="AJ588" i="3"/>
  <c r="AJ596" i="3"/>
  <c r="AJ604" i="3"/>
  <c r="AJ612" i="3"/>
  <c r="AJ620" i="3"/>
  <c r="AJ628" i="3"/>
  <c r="AJ632" i="3"/>
  <c r="AJ636" i="3"/>
  <c r="AJ640" i="3"/>
  <c r="AJ644" i="3"/>
  <c r="AJ648" i="3"/>
  <c r="AJ652" i="3"/>
  <c r="AJ656" i="3"/>
  <c r="AJ660" i="3"/>
  <c r="AJ664" i="3"/>
  <c r="AJ668" i="3"/>
  <c r="AJ672" i="3"/>
  <c r="AJ685" i="3"/>
  <c r="AJ676" i="3"/>
  <c r="AJ621" i="3"/>
  <c r="AJ605" i="3"/>
  <c r="AJ589" i="3"/>
  <c r="AJ573" i="3"/>
  <c r="AJ557" i="3"/>
  <c r="AJ541" i="3"/>
  <c r="AJ525" i="3"/>
  <c r="AJ509" i="3"/>
  <c r="AJ493" i="3"/>
  <c r="AJ477" i="3"/>
  <c r="AJ461" i="3"/>
  <c r="AJ445" i="3"/>
  <c r="AJ429" i="3"/>
  <c r="AJ413" i="3"/>
  <c r="AJ397" i="3"/>
  <c r="AJ381" i="3"/>
  <c r="AJ365" i="3"/>
  <c r="AJ349" i="3"/>
  <c r="AJ329" i="3"/>
  <c r="AJ297" i="3"/>
  <c r="AJ265" i="3"/>
  <c r="AJ233" i="3"/>
  <c r="AJ201" i="3"/>
  <c r="AJ169" i="3"/>
  <c r="AJ137" i="3"/>
  <c r="AJ79" i="3"/>
  <c r="AJ129" i="3"/>
  <c r="AJ113" i="3"/>
  <c r="AJ97" i="3"/>
  <c r="AJ81" i="3"/>
  <c r="AJ65" i="3"/>
  <c r="AJ49" i="3"/>
  <c r="AK74" i="4"/>
  <c r="AK20" i="4"/>
  <c r="AK31" i="4"/>
  <c r="AK41" i="4"/>
  <c r="AK52" i="4"/>
  <c r="AK63" i="4"/>
  <c r="AK73" i="4"/>
  <c r="AK84" i="4"/>
  <c r="AK101" i="4"/>
  <c r="AK58" i="4"/>
  <c r="AK18" i="4"/>
  <c r="AK22" i="4"/>
  <c r="AK82" i="4"/>
  <c r="AK107" i="4"/>
  <c r="AK95" i="4"/>
  <c r="AK83" i="4"/>
  <c r="AK72" i="4"/>
  <c r="AK61" i="4"/>
  <c r="AK51" i="4"/>
  <c r="AK40" i="4"/>
  <c r="AK29" i="4"/>
  <c r="AK19" i="4"/>
  <c r="AK103" i="4"/>
  <c r="AL58" i="4"/>
  <c r="AL22" i="4"/>
  <c r="AK104" i="4"/>
  <c r="AK87" i="4"/>
  <c r="AK66" i="4"/>
  <c r="AL65" i="4"/>
  <c r="AL77" i="4"/>
  <c r="AL16" i="4"/>
  <c r="AL88" i="4"/>
  <c r="AL43" i="4"/>
  <c r="AL103" i="4"/>
  <c r="AL14" i="4"/>
  <c r="AL55" i="4"/>
  <c r="AL54" i="4"/>
  <c r="AL20" i="4"/>
  <c r="AN20" i="4" s="1"/>
  <c r="AL32" i="4"/>
  <c r="AL50" i="4"/>
  <c r="AL97" i="4"/>
  <c r="D145" i="2"/>
  <c r="B24" i="4"/>
  <c r="B12" i="4"/>
  <c r="AJ527" i="3"/>
  <c r="AJ407" i="3"/>
  <c r="AJ269" i="3"/>
  <c r="M159" i="8"/>
  <c r="M158" i="8" s="1"/>
  <c r="M157" i="8" s="1"/>
  <c r="M156" i="8" s="1"/>
  <c r="M155" i="8" s="1"/>
  <c r="M154" i="8" s="1"/>
  <c r="M153" i="8" s="1"/>
  <c r="M152" i="8" s="1"/>
  <c r="M151" i="8" s="1"/>
  <c r="M150" i="8" s="1"/>
  <c r="M149" i="8" s="1"/>
  <c r="M148" i="8" s="1"/>
  <c r="M147" i="8" s="1"/>
  <c r="M146" i="8" s="1"/>
  <c r="M145" i="8" s="1"/>
  <c r="M144" i="8" s="1"/>
  <c r="M143" i="8" s="1"/>
  <c r="M142" i="8" s="1"/>
  <c r="M141" i="8" s="1"/>
  <c r="M140" i="8" s="1"/>
  <c r="M139" i="8" s="1"/>
  <c r="M138" i="8" s="1"/>
  <c r="M137" i="8" s="1"/>
  <c r="M136" i="8" s="1"/>
  <c r="M135" i="8" s="1"/>
  <c r="M134" i="8" s="1"/>
  <c r="M133" i="8" s="1"/>
  <c r="M132" i="8" s="1"/>
  <c r="M131" i="8" s="1"/>
  <c r="M130" i="8" s="1"/>
  <c r="M129" i="8" s="1"/>
  <c r="M128" i="8" s="1"/>
  <c r="M127" i="8" s="1"/>
  <c r="M126" i="8" s="1"/>
  <c r="M125" i="8" s="1"/>
  <c r="M124" i="8" s="1"/>
  <c r="M123" i="8" s="1"/>
  <c r="M122" i="8" s="1"/>
  <c r="M121" i="8" s="1"/>
  <c r="M120" i="8" s="1"/>
  <c r="M119" i="8" s="1"/>
  <c r="M118" i="8" s="1"/>
  <c r="M117" i="8" s="1"/>
  <c r="M116" i="8" s="1"/>
  <c r="M115" i="8" s="1"/>
  <c r="M114" i="8" s="1"/>
  <c r="M113" i="8" s="1"/>
  <c r="M112" i="8" s="1"/>
  <c r="M111" i="8" s="1"/>
  <c r="M110" i="8" s="1"/>
  <c r="M109" i="8" s="1"/>
  <c r="M108" i="8" s="1"/>
  <c r="M107" i="8" s="1"/>
  <c r="M106" i="8" s="1"/>
  <c r="M105" i="8" s="1"/>
  <c r="M104" i="8" s="1"/>
  <c r="M103" i="8" s="1"/>
  <c r="M102" i="8" s="1"/>
  <c r="M101" i="8" s="1"/>
  <c r="M100" i="8" s="1"/>
  <c r="M99" i="8" s="1"/>
  <c r="M98" i="8" s="1"/>
  <c r="M97" i="8" s="1"/>
  <c r="M96" i="8" s="1"/>
  <c r="M95" i="8" s="1"/>
  <c r="M94" i="8" s="1"/>
  <c r="M93" i="8" s="1"/>
  <c r="M92" i="8" s="1"/>
  <c r="M91" i="8" s="1"/>
  <c r="M90" i="8" s="1"/>
  <c r="M89" i="8" s="1"/>
  <c r="M88" i="8" s="1"/>
  <c r="M87" i="8" s="1"/>
  <c r="M86" i="8" s="1"/>
  <c r="M85" i="8" s="1"/>
  <c r="M84" i="8" s="1"/>
  <c r="M83" i="8" s="1"/>
  <c r="M82" i="8" s="1"/>
  <c r="M81" i="8" s="1"/>
  <c r="M80" i="8" s="1"/>
  <c r="M79" i="8" s="1"/>
  <c r="M78" i="8" s="1"/>
  <c r="M77" i="8" s="1"/>
  <c r="M76" i="8" s="1"/>
  <c r="M75" i="8" s="1"/>
  <c r="M74" i="8" s="1"/>
  <c r="M73" i="8" s="1"/>
  <c r="M72" i="8" s="1"/>
  <c r="M71" i="8" s="1"/>
  <c r="M70" i="8" s="1"/>
  <c r="M69" i="8" s="1"/>
  <c r="M68" i="8" s="1"/>
  <c r="M67" i="8" s="1"/>
  <c r="M66" i="8" s="1"/>
  <c r="M65" i="8" s="1"/>
  <c r="M64" i="8" s="1"/>
  <c r="M63" i="8" s="1"/>
  <c r="M62" i="8" s="1"/>
  <c r="M61" i="8" s="1"/>
  <c r="M60" i="8" s="1"/>
  <c r="M59" i="8" s="1"/>
  <c r="M58" i="8" s="1"/>
  <c r="M57" i="8" s="1"/>
  <c r="M56" i="8" s="1"/>
  <c r="M55" i="8" s="1"/>
  <c r="M54" i="8" s="1"/>
  <c r="M53" i="8" s="1"/>
  <c r="M52" i="8" s="1"/>
  <c r="M51" i="8" s="1"/>
  <c r="M50" i="8" s="1"/>
  <c r="M49" i="8" s="1"/>
  <c r="M48" i="8" s="1"/>
  <c r="M47" i="8" s="1"/>
  <c r="M46" i="8" s="1"/>
  <c r="M45" i="8" s="1"/>
  <c r="M44" i="8" s="1"/>
  <c r="M43" i="8" s="1"/>
  <c r="M42" i="8" s="1"/>
  <c r="M41" i="8" s="1"/>
  <c r="M40" i="8" s="1"/>
  <c r="M39" i="8" s="1"/>
  <c r="M38" i="8" s="1"/>
  <c r="M37" i="8" s="1"/>
  <c r="M36" i="8" s="1"/>
  <c r="M35" i="8" s="1"/>
  <c r="M34" i="8" s="1"/>
  <c r="M33" i="8" s="1"/>
  <c r="M32" i="8" s="1"/>
  <c r="M31" i="8" s="1"/>
  <c r="M30" i="8" s="1"/>
  <c r="M29" i="8" s="1"/>
  <c r="M28" i="8" s="1"/>
  <c r="M27" i="8" s="1"/>
  <c r="M26" i="8" s="1"/>
  <c r="M25" i="8" s="1"/>
  <c r="M24" i="8" s="1"/>
  <c r="M23" i="8" s="1"/>
  <c r="M22" i="8" s="1"/>
  <c r="M21" i="8" s="1"/>
  <c r="M20" i="8" s="1"/>
  <c r="M19" i="8" s="1"/>
  <c r="M18" i="8" s="1"/>
  <c r="M17" i="8" s="1"/>
  <c r="M16" i="8" s="1"/>
  <c r="M15" i="8" s="1"/>
  <c r="M14" i="8" s="1"/>
  <c r="M13" i="8" s="1"/>
  <c r="M12" i="8" s="1"/>
  <c r="M11" i="8" s="1"/>
  <c r="M10" i="8" s="1"/>
  <c r="M9" i="8" s="1"/>
  <c r="M8" i="8" s="1"/>
  <c r="M7" i="8" s="1"/>
  <c r="M6" i="8" s="1"/>
  <c r="M4" i="8" s="1"/>
  <c r="J159" i="8"/>
  <c r="J158" i="8" s="1"/>
  <c r="J157" i="8" s="1"/>
  <c r="J156" i="8" s="1"/>
  <c r="J155" i="8" s="1"/>
  <c r="J154" i="8" s="1"/>
  <c r="J153" i="8" s="1"/>
  <c r="J152" i="8" s="1"/>
  <c r="J151" i="8" s="1"/>
  <c r="J150" i="8" s="1"/>
  <c r="J149" i="8" s="1"/>
  <c r="J148" i="8" s="1"/>
  <c r="J147" i="8" s="1"/>
  <c r="J146" i="8" s="1"/>
  <c r="J145" i="8" s="1"/>
  <c r="J144" i="8" s="1"/>
  <c r="J143" i="8" s="1"/>
  <c r="J142" i="8" s="1"/>
  <c r="J141" i="8" s="1"/>
  <c r="J140" i="8" s="1"/>
  <c r="J139" i="8" s="1"/>
  <c r="J138" i="8" s="1"/>
  <c r="J137" i="8" s="1"/>
  <c r="J136" i="8" s="1"/>
  <c r="J135" i="8" s="1"/>
  <c r="J134" i="8" s="1"/>
  <c r="J133" i="8" s="1"/>
  <c r="J132" i="8" s="1"/>
  <c r="J131" i="8" s="1"/>
  <c r="J130" i="8" s="1"/>
  <c r="J129" i="8" s="1"/>
  <c r="J128" i="8" s="1"/>
  <c r="J127" i="8" s="1"/>
  <c r="J126" i="8" s="1"/>
  <c r="J125" i="8" s="1"/>
  <c r="J124" i="8" s="1"/>
  <c r="J123" i="8" s="1"/>
  <c r="J122" i="8" s="1"/>
  <c r="J121" i="8" s="1"/>
  <c r="J120" i="8" s="1"/>
  <c r="J119" i="8" s="1"/>
  <c r="J118" i="8" s="1"/>
  <c r="J117" i="8" s="1"/>
  <c r="J116" i="8" s="1"/>
  <c r="J115" i="8" s="1"/>
  <c r="J114" i="8" s="1"/>
  <c r="J113" i="8" s="1"/>
  <c r="J112" i="8" s="1"/>
  <c r="J111" i="8" s="1"/>
  <c r="J110" i="8" s="1"/>
  <c r="J109" i="8" s="1"/>
  <c r="J108" i="8" s="1"/>
  <c r="J107" i="8" s="1"/>
  <c r="J106" i="8" s="1"/>
  <c r="J105" i="8" s="1"/>
  <c r="J104" i="8" s="1"/>
  <c r="J103" i="8" s="1"/>
  <c r="J102" i="8" s="1"/>
  <c r="J101" i="8" s="1"/>
  <c r="J100" i="8" s="1"/>
  <c r="J99" i="8" s="1"/>
  <c r="J98" i="8" s="1"/>
  <c r="J97" i="8" s="1"/>
  <c r="J96" i="8" s="1"/>
  <c r="J95" i="8" s="1"/>
  <c r="J94" i="8" s="1"/>
  <c r="J93" i="8" s="1"/>
  <c r="J92" i="8" s="1"/>
  <c r="J91" i="8" s="1"/>
  <c r="J90" i="8" s="1"/>
  <c r="J89" i="8" s="1"/>
  <c r="J88" i="8" s="1"/>
  <c r="J87" i="8" s="1"/>
  <c r="J86" i="8" s="1"/>
  <c r="J85" i="8" s="1"/>
  <c r="J84" i="8" s="1"/>
  <c r="J83" i="8" s="1"/>
  <c r="J82" i="8" s="1"/>
  <c r="J81" i="8" s="1"/>
  <c r="J80" i="8" s="1"/>
  <c r="J79" i="8" s="1"/>
  <c r="J78" i="8" s="1"/>
  <c r="J77" i="8" s="1"/>
  <c r="J76" i="8" s="1"/>
  <c r="J75" i="8" s="1"/>
  <c r="J74" i="8" s="1"/>
  <c r="J73" i="8" s="1"/>
  <c r="J72" i="8" s="1"/>
  <c r="J71" i="8" s="1"/>
  <c r="J70" i="8" s="1"/>
  <c r="J69" i="8" s="1"/>
  <c r="J68" i="8" s="1"/>
  <c r="J67" i="8" s="1"/>
  <c r="J66" i="8" s="1"/>
  <c r="J65" i="8" s="1"/>
  <c r="J64" i="8" s="1"/>
  <c r="J63" i="8" s="1"/>
  <c r="J62" i="8" s="1"/>
  <c r="J61" i="8" s="1"/>
  <c r="J60" i="8" s="1"/>
  <c r="J59" i="8" s="1"/>
  <c r="J58" i="8" s="1"/>
  <c r="J57" i="8" s="1"/>
  <c r="J56" i="8" s="1"/>
  <c r="J55" i="8" s="1"/>
  <c r="J54" i="8" s="1"/>
  <c r="J53" i="8" s="1"/>
  <c r="J52" i="8" s="1"/>
  <c r="J51" i="8" s="1"/>
  <c r="J50" i="8" s="1"/>
  <c r="J49" i="8" s="1"/>
  <c r="J48" i="8" s="1"/>
  <c r="J47" i="8" s="1"/>
  <c r="J46" i="8" s="1"/>
  <c r="J45" i="8" s="1"/>
  <c r="J44" i="8" s="1"/>
  <c r="J43" i="8" s="1"/>
  <c r="J42" i="8" s="1"/>
  <c r="J41" i="8" s="1"/>
  <c r="J40" i="8" s="1"/>
  <c r="J39" i="8" s="1"/>
  <c r="J38" i="8" s="1"/>
  <c r="J37" i="8" s="1"/>
  <c r="J36" i="8" s="1"/>
  <c r="J35" i="8" s="1"/>
  <c r="J34" i="8" s="1"/>
  <c r="J33" i="8" s="1"/>
  <c r="J32" i="8" s="1"/>
  <c r="J31" i="8" s="1"/>
  <c r="J30" i="8" s="1"/>
  <c r="J29" i="8" s="1"/>
  <c r="J28" i="8" s="1"/>
  <c r="J27" i="8" s="1"/>
  <c r="J26" i="8" s="1"/>
  <c r="J25" i="8" s="1"/>
  <c r="J24" i="8" s="1"/>
  <c r="J23" i="8" s="1"/>
  <c r="J22" i="8" s="1"/>
  <c r="J21" i="8" s="1"/>
  <c r="J20" i="8" s="1"/>
  <c r="J19" i="8" s="1"/>
  <c r="J18" i="8" s="1"/>
  <c r="J17" i="8" s="1"/>
  <c r="J16" i="8" s="1"/>
  <c r="J15" i="8" s="1"/>
  <c r="J14" i="8" s="1"/>
  <c r="J13" i="8" s="1"/>
  <c r="J12" i="8" s="1"/>
  <c r="J11" i="8" s="1"/>
  <c r="J10" i="8" s="1"/>
  <c r="J9" i="8" s="1"/>
  <c r="J8" i="8" s="1"/>
  <c r="J7" i="8" s="1"/>
  <c r="J6" i="8" s="1"/>
  <c r="J4" i="8" s="1"/>
  <c r="L159" i="8"/>
  <c r="L158" i="8" s="1"/>
  <c r="L157" i="8" s="1"/>
  <c r="L156" i="8" s="1"/>
  <c r="L155" i="8" s="1"/>
  <c r="L154" i="8" s="1"/>
  <c r="L153" i="8" s="1"/>
  <c r="L152" i="8" s="1"/>
  <c r="L151" i="8" s="1"/>
  <c r="L150" i="8" s="1"/>
  <c r="L149" i="8" s="1"/>
  <c r="L148" i="8" s="1"/>
  <c r="L147" i="8" s="1"/>
  <c r="L146" i="8" s="1"/>
  <c r="L145" i="8" s="1"/>
  <c r="L144" i="8" s="1"/>
  <c r="L143" i="8" s="1"/>
  <c r="L142" i="8" s="1"/>
  <c r="L141" i="8" s="1"/>
  <c r="L140" i="8" s="1"/>
  <c r="L139" i="8" s="1"/>
  <c r="L138" i="8" s="1"/>
  <c r="L137" i="8" s="1"/>
  <c r="L136" i="8" s="1"/>
  <c r="L135" i="8" s="1"/>
  <c r="L134" i="8" s="1"/>
  <c r="L133" i="8" s="1"/>
  <c r="L132" i="8" s="1"/>
  <c r="L131" i="8" s="1"/>
  <c r="L130" i="8" s="1"/>
  <c r="L129" i="8" s="1"/>
  <c r="L128" i="8" s="1"/>
  <c r="L127" i="8" s="1"/>
  <c r="L126" i="8" s="1"/>
  <c r="L125" i="8" s="1"/>
  <c r="L124" i="8" s="1"/>
  <c r="L123" i="8" s="1"/>
  <c r="L122" i="8" s="1"/>
  <c r="L121" i="8" s="1"/>
  <c r="L120" i="8" s="1"/>
  <c r="L119" i="8" s="1"/>
  <c r="L118" i="8" s="1"/>
  <c r="L117" i="8" s="1"/>
  <c r="L116" i="8" s="1"/>
  <c r="L115" i="8" s="1"/>
  <c r="L114" i="8" s="1"/>
  <c r="L113" i="8" s="1"/>
  <c r="L112" i="8" s="1"/>
  <c r="L111" i="8" s="1"/>
  <c r="L110" i="8" s="1"/>
  <c r="L109" i="8" s="1"/>
  <c r="L108" i="8" s="1"/>
  <c r="L107" i="8" s="1"/>
  <c r="L106" i="8" s="1"/>
  <c r="L105" i="8" s="1"/>
  <c r="L104" i="8" s="1"/>
  <c r="L103" i="8" s="1"/>
  <c r="L102" i="8" s="1"/>
  <c r="L101" i="8" s="1"/>
  <c r="L100" i="8" s="1"/>
  <c r="L99" i="8" s="1"/>
  <c r="L98" i="8" s="1"/>
  <c r="L97" i="8" s="1"/>
  <c r="L96" i="8" s="1"/>
  <c r="L95" i="8" s="1"/>
  <c r="L94" i="8" s="1"/>
  <c r="L93" i="8" s="1"/>
  <c r="L92" i="8" s="1"/>
  <c r="L91" i="8" s="1"/>
  <c r="L90" i="8" s="1"/>
  <c r="L89" i="8" s="1"/>
  <c r="L88" i="8" s="1"/>
  <c r="L87" i="8" s="1"/>
  <c r="L86" i="8" s="1"/>
  <c r="L85" i="8" s="1"/>
  <c r="L84" i="8" s="1"/>
  <c r="L83" i="8" s="1"/>
  <c r="L82" i="8" s="1"/>
  <c r="L81" i="8" s="1"/>
  <c r="L80" i="8" s="1"/>
  <c r="L79" i="8" s="1"/>
  <c r="L78" i="8" s="1"/>
  <c r="L77" i="8" s="1"/>
  <c r="L76" i="8" s="1"/>
  <c r="L75" i="8" s="1"/>
  <c r="L74" i="8" s="1"/>
  <c r="L73" i="8" s="1"/>
  <c r="L72" i="8" s="1"/>
  <c r="L71" i="8" s="1"/>
  <c r="L70" i="8" s="1"/>
  <c r="L69" i="8" s="1"/>
  <c r="L68" i="8" s="1"/>
  <c r="L67" i="8" s="1"/>
  <c r="L66" i="8" s="1"/>
  <c r="L65" i="8" s="1"/>
  <c r="L64" i="8" s="1"/>
  <c r="L63" i="8" s="1"/>
  <c r="L62" i="8" s="1"/>
  <c r="L61" i="8" s="1"/>
  <c r="L60" i="8" s="1"/>
  <c r="L59" i="8" s="1"/>
  <c r="L58" i="8" s="1"/>
  <c r="L57" i="8" s="1"/>
  <c r="L56" i="8" s="1"/>
  <c r="L55" i="8" s="1"/>
  <c r="L54" i="8" s="1"/>
  <c r="L53" i="8" s="1"/>
  <c r="L52" i="8" s="1"/>
  <c r="L51" i="8" s="1"/>
  <c r="L50" i="8" s="1"/>
  <c r="L49" i="8" s="1"/>
  <c r="L48" i="8" s="1"/>
  <c r="L47" i="8" s="1"/>
  <c r="L46" i="8" s="1"/>
  <c r="L45" i="8" s="1"/>
  <c r="L44" i="8" s="1"/>
  <c r="L43" i="8" s="1"/>
  <c r="L42" i="8" s="1"/>
  <c r="L41" i="8" s="1"/>
  <c r="L40" i="8" s="1"/>
  <c r="L39" i="8" s="1"/>
  <c r="L38" i="8" s="1"/>
  <c r="L37" i="8" s="1"/>
  <c r="L36" i="8" s="1"/>
  <c r="L35" i="8" s="1"/>
  <c r="L34" i="8" s="1"/>
  <c r="L33" i="8" s="1"/>
  <c r="L32" i="8" s="1"/>
  <c r="L31" i="8" s="1"/>
  <c r="L30" i="8" s="1"/>
  <c r="L29" i="8" s="1"/>
  <c r="L28" i="8" s="1"/>
  <c r="L27" i="8" s="1"/>
  <c r="L26" i="8" s="1"/>
  <c r="L25" i="8" s="1"/>
  <c r="L24" i="8" s="1"/>
  <c r="L23" i="8" s="1"/>
  <c r="L22" i="8" s="1"/>
  <c r="L21" i="8" s="1"/>
  <c r="L20" i="8" s="1"/>
  <c r="L19" i="8" s="1"/>
  <c r="L18" i="8" s="1"/>
  <c r="L17" i="8" s="1"/>
  <c r="L16" i="8" s="1"/>
  <c r="L15" i="8" s="1"/>
  <c r="L14" i="8" s="1"/>
  <c r="L13" i="8" s="1"/>
  <c r="L12" i="8" s="1"/>
  <c r="L11" i="8" s="1"/>
  <c r="L10" i="8" s="1"/>
  <c r="L9" i="8" s="1"/>
  <c r="L8" i="8" s="1"/>
  <c r="L7" i="8" s="1"/>
  <c r="L6" i="8" s="1"/>
  <c r="L4" i="8" s="1"/>
  <c r="I159" i="8"/>
  <c r="I158" i="8" s="1"/>
  <c r="I157" i="8" s="1"/>
  <c r="I156" i="8" s="1"/>
  <c r="I155" i="8" s="1"/>
  <c r="I154" i="8" s="1"/>
  <c r="I153" i="8" s="1"/>
  <c r="I152" i="8" s="1"/>
  <c r="I151" i="8" s="1"/>
  <c r="I150" i="8" s="1"/>
  <c r="I149" i="8" s="1"/>
  <c r="I148" i="8" s="1"/>
  <c r="I147" i="8" s="1"/>
  <c r="I146" i="8" s="1"/>
  <c r="I145" i="8" s="1"/>
  <c r="I144" i="8" s="1"/>
  <c r="I143" i="8" s="1"/>
  <c r="I142" i="8" s="1"/>
  <c r="I141" i="8" s="1"/>
  <c r="I140" i="8" s="1"/>
  <c r="I139" i="8" s="1"/>
  <c r="I138" i="8" s="1"/>
  <c r="I137" i="8" s="1"/>
  <c r="I136" i="8" s="1"/>
  <c r="I135" i="8" s="1"/>
  <c r="I134" i="8" s="1"/>
  <c r="I133" i="8" s="1"/>
  <c r="I132" i="8" s="1"/>
  <c r="I131" i="8" s="1"/>
  <c r="I130" i="8" s="1"/>
  <c r="I129" i="8" s="1"/>
  <c r="I128" i="8" s="1"/>
  <c r="I127" i="8" s="1"/>
  <c r="I126" i="8" s="1"/>
  <c r="I125" i="8" s="1"/>
  <c r="I124" i="8" s="1"/>
  <c r="I123" i="8" s="1"/>
  <c r="I122" i="8" s="1"/>
  <c r="I121" i="8" s="1"/>
  <c r="I120" i="8" s="1"/>
  <c r="I119" i="8" s="1"/>
  <c r="I118" i="8" s="1"/>
  <c r="I117" i="8" s="1"/>
  <c r="I116" i="8" s="1"/>
  <c r="I115" i="8" s="1"/>
  <c r="I114" i="8" s="1"/>
  <c r="I113" i="8" s="1"/>
  <c r="I112" i="8" s="1"/>
  <c r="I111" i="8" s="1"/>
  <c r="I110" i="8" s="1"/>
  <c r="I109" i="8" s="1"/>
  <c r="I108" i="8" s="1"/>
  <c r="I107" i="8" s="1"/>
  <c r="I106" i="8" s="1"/>
  <c r="I105" i="8" s="1"/>
  <c r="I104" i="8" s="1"/>
  <c r="I103" i="8" s="1"/>
  <c r="I102" i="8" s="1"/>
  <c r="I101" i="8" s="1"/>
  <c r="I100" i="8" s="1"/>
  <c r="I99" i="8" s="1"/>
  <c r="I98" i="8" s="1"/>
  <c r="I97" i="8" s="1"/>
  <c r="I96" i="8" s="1"/>
  <c r="I95" i="8" s="1"/>
  <c r="I94" i="8" s="1"/>
  <c r="I93" i="8" s="1"/>
  <c r="I92" i="8" s="1"/>
  <c r="I91" i="8" s="1"/>
  <c r="I90" i="8" s="1"/>
  <c r="I89" i="8" s="1"/>
  <c r="I88" i="8" s="1"/>
  <c r="I87" i="8" s="1"/>
  <c r="I86" i="8" s="1"/>
  <c r="I85" i="8" s="1"/>
  <c r="I84" i="8" s="1"/>
  <c r="I83" i="8" s="1"/>
  <c r="I82" i="8" s="1"/>
  <c r="I81" i="8" s="1"/>
  <c r="I80" i="8" s="1"/>
  <c r="I79" i="8" s="1"/>
  <c r="I78" i="8" s="1"/>
  <c r="I77" i="8" s="1"/>
  <c r="I76" i="8" s="1"/>
  <c r="I75" i="8" s="1"/>
  <c r="I74" i="8" s="1"/>
  <c r="I73" i="8" s="1"/>
  <c r="I72" i="8" s="1"/>
  <c r="I71" i="8" s="1"/>
  <c r="I70" i="8" s="1"/>
  <c r="I69" i="8" s="1"/>
  <c r="I68" i="8" s="1"/>
  <c r="I67" i="8" s="1"/>
  <c r="I66" i="8" s="1"/>
  <c r="I65" i="8" s="1"/>
  <c r="I64" i="8" s="1"/>
  <c r="I63" i="8" s="1"/>
  <c r="I62" i="8" s="1"/>
  <c r="I61" i="8" s="1"/>
  <c r="I60" i="8" s="1"/>
  <c r="I59" i="8" s="1"/>
  <c r="I58" i="8" s="1"/>
  <c r="I57" i="8" s="1"/>
  <c r="I56" i="8" s="1"/>
  <c r="I55" i="8" s="1"/>
  <c r="I54" i="8" s="1"/>
  <c r="I53" i="8" s="1"/>
  <c r="I52" i="8" s="1"/>
  <c r="I51" i="8" s="1"/>
  <c r="I50" i="8" s="1"/>
  <c r="I49" i="8" s="1"/>
  <c r="I48" i="8" s="1"/>
  <c r="I47" i="8" s="1"/>
  <c r="I46" i="8" s="1"/>
  <c r="I45" i="8" s="1"/>
  <c r="I44" i="8" s="1"/>
  <c r="I43" i="8" s="1"/>
  <c r="I42" i="8" s="1"/>
  <c r="I41" i="8" s="1"/>
  <c r="I40" i="8" s="1"/>
  <c r="I39" i="8" s="1"/>
  <c r="I38" i="8" s="1"/>
  <c r="I37" i="8" s="1"/>
  <c r="I36" i="8" s="1"/>
  <c r="I35" i="8" s="1"/>
  <c r="I34" i="8" s="1"/>
  <c r="I33" i="8" s="1"/>
  <c r="I32" i="8" s="1"/>
  <c r="I31" i="8" s="1"/>
  <c r="I30" i="8" s="1"/>
  <c r="I29" i="8" s="1"/>
  <c r="I28" i="8" s="1"/>
  <c r="I27" i="8" s="1"/>
  <c r="I26" i="8" s="1"/>
  <c r="I25" i="8" s="1"/>
  <c r="I24" i="8" s="1"/>
  <c r="I23" i="8" s="1"/>
  <c r="I22" i="8" s="1"/>
  <c r="I21" i="8" s="1"/>
  <c r="I20" i="8" s="1"/>
  <c r="I19" i="8" s="1"/>
  <c r="I18" i="8" s="1"/>
  <c r="I17" i="8" s="1"/>
  <c r="I16" i="8" s="1"/>
  <c r="I15" i="8" s="1"/>
  <c r="I14" i="8" s="1"/>
  <c r="I13" i="8" s="1"/>
  <c r="I12" i="8" s="1"/>
  <c r="I11" i="8" s="1"/>
  <c r="I10" i="8" s="1"/>
  <c r="I9" i="8" s="1"/>
  <c r="I8" i="8" s="1"/>
  <c r="I7" i="8" s="1"/>
  <c r="I6" i="8" s="1"/>
  <c r="I4" i="8" s="1"/>
  <c r="K159" i="8"/>
  <c r="K158" i="8" s="1"/>
  <c r="K157" i="8" s="1"/>
  <c r="K156" i="8" s="1"/>
  <c r="K155" i="8" s="1"/>
  <c r="K154" i="8" s="1"/>
  <c r="K153" i="8" s="1"/>
  <c r="K152" i="8" s="1"/>
  <c r="K151" i="8" s="1"/>
  <c r="K150" i="8" s="1"/>
  <c r="K149" i="8" s="1"/>
  <c r="K148" i="8" s="1"/>
  <c r="K147" i="8" s="1"/>
  <c r="K146" i="8" s="1"/>
  <c r="K145" i="8" s="1"/>
  <c r="K144" i="8" s="1"/>
  <c r="K143" i="8" s="1"/>
  <c r="K142" i="8" s="1"/>
  <c r="K141" i="8" s="1"/>
  <c r="K140" i="8" s="1"/>
  <c r="K139" i="8" s="1"/>
  <c r="K138" i="8" s="1"/>
  <c r="K137" i="8" s="1"/>
  <c r="K136" i="8" s="1"/>
  <c r="K135" i="8" s="1"/>
  <c r="K134" i="8" s="1"/>
  <c r="K133" i="8" s="1"/>
  <c r="K132" i="8" s="1"/>
  <c r="K131" i="8" s="1"/>
  <c r="K130" i="8" s="1"/>
  <c r="K129" i="8" s="1"/>
  <c r="K128" i="8" s="1"/>
  <c r="K127" i="8" s="1"/>
  <c r="K126" i="8" s="1"/>
  <c r="K125" i="8" s="1"/>
  <c r="K124" i="8" s="1"/>
  <c r="K123" i="8" s="1"/>
  <c r="K122" i="8" s="1"/>
  <c r="K121" i="8" s="1"/>
  <c r="K120" i="8" s="1"/>
  <c r="K119" i="8" s="1"/>
  <c r="K118" i="8" s="1"/>
  <c r="K117" i="8" s="1"/>
  <c r="K116" i="8" s="1"/>
  <c r="K115" i="8" s="1"/>
  <c r="K114" i="8" s="1"/>
  <c r="K113" i="8" s="1"/>
  <c r="K112" i="8" s="1"/>
  <c r="K111" i="8" s="1"/>
  <c r="K110" i="8" s="1"/>
  <c r="K109" i="8" s="1"/>
  <c r="K108" i="8" s="1"/>
  <c r="K107" i="8" s="1"/>
  <c r="K106" i="8" s="1"/>
  <c r="K105" i="8" s="1"/>
  <c r="K104" i="8" s="1"/>
  <c r="K103" i="8" s="1"/>
  <c r="K102" i="8" s="1"/>
  <c r="K101" i="8" s="1"/>
  <c r="K100" i="8" s="1"/>
  <c r="K99" i="8" s="1"/>
  <c r="K98" i="8" s="1"/>
  <c r="K97" i="8" s="1"/>
  <c r="K96" i="8" s="1"/>
  <c r="K95" i="8" s="1"/>
  <c r="K94" i="8" s="1"/>
  <c r="K93" i="8" s="1"/>
  <c r="K92" i="8" s="1"/>
  <c r="K91" i="8" s="1"/>
  <c r="K90" i="8" s="1"/>
  <c r="K89" i="8" s="1"/>
  <c r="K88" i="8" s="1"/>
  <c r="K87" i="8" s="1"/>
  <c r="K86" i="8" s="1"/>
  <c r="K85" i="8" s="1"/>
  <c r="K84" i="8" s="1"/>
  <c r="K83" i="8" s="1"/>
  <c r="K82" i="8" s="1"/>
  <c r="K81" i="8" s="1"/>
  <c r="K80" i="8" s="1"/>
  <c r="K79" i="8" s="1"/>
  <c r="K78" i="8" s="1"/>
  <c r="K77" i="8" s="1"/>
  <c r="K76" i="8" s="1"/>
  <c r="K75" i="8" s="1"/>
  <c r="K74" i="8" s="1"/>
  <c r="K73" i="8" s="1"/>
  <c r="K72" i="8" s="1"/>
  <c r="K71" i="8" s="1"/>
  <c r="K70" i="8" s="1"/>
  <c r="K69" i="8" s="1"/>
  <c r="K68" i="8" s="1"/>
  <c r="K67" i="8" s="1"/>
  <c r="K66" i="8" s="1"/>
  <c r="K65" i="8" s="1"/>
  <c r="K64" i="8" s="1"/>
  <c r="K63" i="8" s="1"/>
  <c r="K62" i="8" s="1"/>
  <c r="K61" i="8" s="1"/>
  <c r="K60" i="8" s="1"/>
  <c r="K59" i="8" s="1"/>
  <c r="K58" i="8" s="1"/>
  <c r="K57" i="8" s="1"/>
  <c r="K56" i="8" s="1"/>
  <c r="K55" i="8" s="1"/>
  <c r="K54" i="8" s="1"/>
  <c r="K53" i="8" s="1"/>
  <c r="K52" i="8" s="1"/>
  <c r="K51" i="8" s="1"/>
  <c r="K50" i="8" s="1"/>
  <c r="K49" i="8" s="1"/>
  <c r="K48" i="8" s="1"/>
  <c r="K47" i="8" s="1"/>
  <c r="K46" i="8" s="1"/>
  <c r="K45" i="8" s="1"/>
  <c r="K44" i="8" s="1"/>
  <c r="K43" i="8" s="1"/>
  <c r="K42" i="8" s="1"/>
  <c r="K41" i="8" s="1"/>
  <c r="K40" i="8" s="1"/>
  <c r="K39" i="8" s="1"/>
  <c r="K38" i="8" s="1"/>
  <c r="K37" i="8" s="1"/>
  <c r="K36" i="8" s="1"/>
  <c r="K35" i="8" s="1"/>
  <c r="K34" i="8" s="1"/>
  <c r="K33" i="8" s="1"/>
  <c r="K32" i="8" s="1"/>
  <c r="K31" i="8" s="1"/>
  <c r="K30" i="8" s="1"/>
  <c r="K29" i="8" s="1"/>
  <c r="K28" i="8" s="1"/>
  <c r="K27" i="8" s="1"/>
  <c r="K26" i="8" s="1"/>
  <c r="K25" i="8" s="1"/>
  <c r="K24" i="8" s="1"/>
  <c r="K23" i="8" s="1"/>
  <c r="K22" i="8" s="1"/>
  <c r="K21" i="8" s="1"/>
  <c r="K20" i="8" s="1"/>
  <c r="K19" i="8" s="1"/>
  <c r="K18" i="8" s="1"/>
  <c r="K17" i="8" s="1"/>
  <c r="K16" i="8" s="1"/>
  <c r="K15" i="8" s="1"/>
  <c r="K14" i="8" s="1"/>
  <c r="K13" i="8" s="1"/>
  <c r="K12" i="8" s="1"/>
  <c r="K11" i="8" s="1"/>
  <c r="K10" i="8" s="1"/>
  <c r="K9" i="8" s="1"/>
  <c r="K8" i="8" s="1"/>
  <c r="K7" i="8" s="1"/>
  <c r="K6" i="8" s="1"/>
  <c r="K4" i="8" s="1"/>
  <c r="AJ157" i="3"/>
  <c r="AJ119" i="3"/>
  <c r="AJ189" i="3"/>
  <c r="AJ221" i="3"/>
  <c r="AJ285" i="3"/>
  <c r="AJ343" i="3"/>
  <c r="AJ367" i="3"/>
  <c r="AJ399" i="3"/>
  <c r="AJ431" i="3"/>
  <c r="AJ455" i="3"/>
  <c r="AJ487" i="3"/>
  <c r="AJ519" i="3"/>
  <c r="AJ535" i="3"/>
  <c r="AJ567" i="3"/>
  <c r="AJ599" i="3"/>
  <c r="AJ623" i="3"/>
  <c r="AJ12" i="3"/>
  <c r="AJ51" i="3"/>
  <c r="AJ99" i="3"/>
  <c r="AJ139" i="3"/>
  <c r="AJ155" i="3"/>
  <c r="AJ179" i="3"/>
  <c r="AJ203" i="3"/>
  <c r="AJ219" i="3"/>
  <c r="AJ243" i="3"/>
  <c r="AJ267" i="3"/>
  <c r="AJ283" i="3"/>
  <c r="AJ307" i="3"/>
  <c r="AJ331" i="3"/>
  <c r="AJ342" i="3"/>
  <c r="AJ354" i="3"/>
  <c r="AJ366" i="3"/>
  <c r="AJ374" i="3"/>
  <c r="AJ386" i="3"/>
  <c r="AJ398" i="3"/>
  <c r="AJ406" i="3"/>
  <c r="AJ418" i="3"/>
  <c r="AJ430" i="3"/>
  <c r="AJ438" i="3"/>
  <c r="AJ450" i="3"/>
  <c r="AJ462" i="3"/>
  <c r="AJ470" i="3"/>
  <c r="AJ482" i="3"/>
  <c r="AJ494" i="3"/>
  <c r="AJ502" i="3"/>
  <c r="AJ514" i="3"/>
  <c r="AJ526" i="3"/>
  <c r="AJ534" i="3"/>
  <c r="AJ546" i="3"/>
  <c r="AJ558" i="3"/>
  <c r="AJ566" i="3"/>
  <c r="AJ578" i="3"/>
  <c r="AJ590" i="3"/>
  <c r="AJ598" i="3"/>
  <c r="AJ610" i="3"/>
  <c r="AJ622" i="3"/>
  <c r="AJ629" i="3"/>
  <c r="AJ635" i="3"/>
  <c r="AJ641" i="3"/>
  <c r="AJ645" i="3"/>
  <c r="AJ651" i="3"/>
  <c r="AJ657" i="3"/>
  <c r="AJ661" i="3"/>
  <c r="AJ667" i="3"/>
  <c r="AJ673" i="3"/>
  <c r="AJ684" i="3"/>
  <c r="AJ625" i="3"/>
  <c r="AJ601" i="3"/>
  <c r="AJ585" i="3"/>
  <c r="AJ561" i="3"/>
  <c r="AJ537" i="3"/>
  <c r="AJ521" i="3"/>
  <c r="AJ497" i="3"/>
  <c r="AJ473" i="3"/>
  <c r="AJ457" i="3"/>
  <c r="AJ433" i="3"/>
  <c r="AJ409" i="3"/>
  <c r="AJ393" i="3"/>
  <c r="AJ369" i="3"/>
  <c r="AJ345" i="3"/>
  <c r="AJ321" i="3"/>
  <c r="AJ273" i="3"/>
  <c r="AJ225" i="3"/>
  <c r="AJ193" i="3"/>
  <c r="AJ145" i="3"/>
  <c r="AJ63" i="3"/>
  <c r="AJ109" i="3"/>
  <c r="AJ93" i="3"/>
  <c r="AJ69" i="3"/>
  <c r="AJ45" i="3"/>
  <c r="AJ22" i="3"/>
  <c r="AJ10" i="3"/>
  <c r="AJ15" i="3"/>
  <c r="AJ20" i="3"/>
  <c r="AJ23" i="3"/>
  <c r="AJ27" i="3"/>
  <c r="AJ31" i="3"/>
  <c r="AJ33" i="3"/>
  <c r="AJ37" i="3"/>
  <c r="AJ42" i="3"/>
  <c r="AJ46" i="3"/>
  <c r="AJ52" i="3"/>
  <c r="AJ58" i="3"/>
  <c r="AJ62" i="3"/>
  <c r="AJ68" i="3"/>
  <c r="AJ74" i="3"/>
  <c r="AJ78" i="3"/>
  <c r="AJ84" i="3"/>
  <c r="AJ90" i="3"/>
  <c r="AJ94" i="3"/>
  <c r="AJ100" i="3"/>
  <c r="AJ106" i="3"/>
  <c r="AJ110" i="3"/>
  <c r="AJ116" i="3"/>
  <c r="AJ122" i="3"/>
  <c r="AJ126" i="3"/>
  <c r="AJ132" i="3"/>
  <c r="AJ138" i="3"/>
  <c r="AJ142" i="3"/>
  <c r="AJ148" i="3"/>
  <c r="AJ154" i="3"/>
  <c r="AJ158" i="3"/>
  <c r="AJ164" i="3"/>
  <c r="AJ170" i="3"/>
  <c r="AJ174" i="3"/>
  <c r="AJ180" i="3"/>
  <c r="AJ186" i="3"/>
  <c r="AJ190" i="3"/>
  <c r="AJ196" i="3"/>
  <c r="AJ202" i="3"/>
  <c r="AJ206" i="3"/>
  <c r="AJ212" i="3"/>
  <c r="AJ218" i="3"/>
  <c r="AJ222" i="3"/>
  <c r="AJ228" i="3"/>
  <c r="AJ234" i="3"/>
  <c r="AJ238" i="3"/>
  <c r="AJ244" i="3"/>
  <c r="AJ250" i="3"/>
  <c r="AJ254" i="3"/>
  <c r="AJ260" i="3"/>
  <c r="AJ266" i="3"/>
  <c r="AJ270" i="3"/>
  <c r="AJ276" i="3"/>
  <c r="AJ282" i="3"/>
  <c r="AJ286" i="3"/>
  <c r="AJ292" i="3"/>
  <c r="AJ298" i="3"/>
  <c r="AJ302" i="3"/>
  <c r="AJ308" i="3"/>
  <c r="AJ314" i="3"/>
  <c r="AJ318" i="3"/>
  <c r="AJ324" i="3"/>
  <c r="AJ330" i="3"/>
  <c r="AJ334" i="3"/>
  <c r="AK93" i="4"/>
  <c r="B280" i="2"/>
  <c r="AK9" i="4"/>
  <c r="AK17" i="4"/>
  <c r="AK23" i="4"/>
  <c r="AK28" i="4"/>
  <c r="AK33" i="4"/>
  <c r="AK39" i="4"/>
  <c r="AK44" i="4"/>
  <c r="AK49" i="4"/>
  <c r="AK55" i="4"/>
  <c r="AK60" i="4"/>
  <c r="AK65" i="4"/>
  <c r="AK71" i="4"/>
  <c r="AK76" i="4"/>
  <c r="AK80" i="4"/>
  <c r="AK94" i="4"/>
  <c r="AK99" i="4"/>
  <c r="AL108" i="4"/>
  <c r="AK62" i="4"/>
  <c r="AK46" i="4"/>
  <c r="AK26" i="4"/>
  <c r="AK12" i="4"/>
  <c r="AK13" i="4"/>
  <c r="AK30" i="4"/>
  <c r="AL51" i="4"/>
  <c r="AL15" i="4"/>
  <c r="B11" i="4"/>
  <c r="AK102" i="4"/>
  <c r="AK97" i="4"/>
  <c r="AL93" i="4"/>
  <c r="AK85" i="4"/>
  <c r="AK81" i="4"/>
  <c r="AK75" i="4"/>
  <c r="AK69" i="4"/>
  <c r="AK64" i="4"/>
  <c r="AK59" i="4"/>
  <c r="AK53" i="4"/>
  <c r="AK48" i="4"/>
  <c r="AK43" i="4"/>
  <c r="AK37" i="4"/>
  <c r="AK32" i="4"/>
  <c r="AK27" i="4"/>
  <c r="AK21" i="4"/>
  <c r="AK16" i="4"/>
  <c r="AK109" i="4"/>
  <c r="AK92" i="4"/>
  <c r="AK54" i="4"/>
  <c r="AL87" i="4"/>
  <c r="AL34" i="4"/>
  <c r="AL80" i="4"/>
  <c r="AK105" i="4"/>
  <c r="AL101" i="4"/>
  <c r="AK88" i="4"/>
  <c r="AK86" i="4"/>
  <c r="AK70" i="4"/>
  <c r="AK50" i="4"/>
  <c r="AK11" i="4"/>
  <c r="AL63" i="4"/>
  <c r="B78" i="4"/>
  <c r="B4" i="6"/>
  <c r="B12" i="6" s="1"/>
  <c r="B13" i="6" s="1"/>
  <c r="B13" i="4"/>
  <c r="AJ9" i="3"/>
  <c r="AM10" i="4"/>
  <c r="B44" i="2"/>
  <c r="B42" i="4"/>
  <c r="B43" i="2"/>
  <c r="AK91" i="4"/>
  <c r="B148" i="2"/>
  <c r="E68" i="1" s="1"/>
  <c r="B89" i="2"/>
  <c r="F3" i="8"/>
  <c r="F159" i="8" s="1"/>
  <c r="F158" i="8" s="1"/>
  <c r="F157" i="8" s="1"/>
  <c r="F156" i="8" s="1"/>
  <c r="F155" i="8" s="1"/>
  <c r="F154" i="8" s="1"/>
  <c r="F153" i="8" s="1"/>
  <c r="F152" i="8" s="1"/>
  <c r="F151" i="8" s="1"/>
  <c r="F150" i="8" s="1"/>
  <c r="F149" i="8" s="1"/>
  <c r="F148" i="8" s="1"/>
  <c r="F147" i="8" s="1"/>
  <c r="F146" i="8" s="1"/>
  <c r="F145" i="8" s="1"/>
  <c r="F144" i="8" s="1"/>
  <c r="F143" i="8" s="1"/>
  <c r="F142" i="8" s="1"/>
  <c r="F141" i="8" s="1"/>
  <c r="F140" i="8" s="1"/>
  <c r="F139" i="8" s="1"/>
  <c r="F138" i="8" s="1"/>
  <c r="F137" i="8" s="1"/>
  <c r="F136" i="8" s="1"/>
  <c r="F135" i="8" s="1"/>
  <c r="F134" i="8" s="1"/>
  <c r="F133" i="8" s="1"/>
  <c r="F132" i="8" s="1"/>
  <c r="F131" i="8" s="1"/>
  <c r="F130" i="8" s="1"/>
  <c r="F129" i="8" s="1"/>
  <c r="F128" i="8" s="1"/>
  <c r="F127" i="8" s="1"/>
  <c r="F126" i="8" s="1"/>
  <c r="F125" i="8" s="1"/>
  <c r="F124" i="8" s="1"/>
  <c r="F123" i="8" s="1"/>
  <c r="F122" i="8" s="1"/>
  <c r="F121" i="8" s="1"/>
  <c r="F120" i="8" s="1"/>
  <c r="F119" i="8" s="1"/>
  <c r="F118" i="8" s="1"/>
  <c r="F117" i="8" s="1"/>
  <c r="F116" i="8" s="1"/>
  <c r="F115" i="8" s="1"/>
  <c r="F114" i="8" s="1"/>
  <c r="F113" i="8" s="1"/>
  <c r="F112" i="8" s="1"/>
  <c r="F111" i="8" s="1"/>
  <c r="F110" i="8" s="1"/>
  <c r="F109" i="8" s="1"/>
  <c r="F108" i="8" s="1"/>
  <c r="F107" i="8" s="1"/>
  <c r="F106" i="8" s="1"/>
  <c r="F105" i="8" s="1"/>
  <c r="F104" i="8" s="1"/>
  <c r="F103" i="8" s="1"/>
  <c r="F102" i="8" s="1"/>
  <c r="F101" i="8" s="1"/>
  <c r="F100" i="8" s="1"/>
  <c r="F99" i="8" s="1"/>
  <c r="F98" i="8" s="1"/>
  <c r="F97" i="8" s="1"/>
  <c r="F96" i="8" s="1"/>
  <c r="F95" i="8" s="1"/>
  <c r="F94" i="8" s="1"/>
  <c r="F93" i="8" s="1"/>
  <c r="F92" i="8" s="1"/>
  <c r="F91" i="8" s="1"/>
  <c r="F90" i="8" s="1"/>
  <c r="F89" i="8" s="1"/>
  <c r="F88" i="8" s="1"/>
  <c r="F87" i="8" s="1"/>
  <c r="F86" i="8" s="1"/>
  <c r="F85" i="8" s="1"/>
  <c r="F84" i="8" s="1"/>
  <c r="F83" i="8" s="1"/>
  <c r="F82" i="8" s="1"/>
  <c r="F81" i="8" s="1"/>
  <c r="F80" i="8" s="1"/>
  <c r="F79" i="8" s="1"/>
  <c r="F78" i="8" s="1"/>
  <c r="F77" i="8" s="1"/>
  <c r="F76" i="8" s="1"/>
  <c r="F75" i="8" s="1"/>
  <c r="F74" i="8" s="1"/>
  <c r="F73" i="8" s="1"/>
  <c r="F72" i="8" s="1"/>
  <c r="F71" i="8" s="1"/>
  <c r="F70" i="8" s="1"/>
  <c r="F69" i="8" s="1"/>
  <c r="F68" i="8" s="1"/>
  <c r="F67" i="8" s="1"/>
  <c r="F66" i="8" s="1"/>
  <c r="F65" i="8" s="1"/>
  <c r="F64" i="8" s="1"/>
  <c r="F63" i="8" s="1"/>
  <c r="F62" i="8" s="1"/>
  <c r="F61" i="8" s="1"/>
  <c r="F60" i="8" s="1"/>
  <c r="F59" i="8" s="1"/>
  <c r="F58" i="8" s="1"/>
  <c r="F57" i="8" s="1"/>
  <c r="F56" i="8" s="1"/>
  <c r="F55" i="8" s="1"/>
  <c r="F54" i="8" s="1"/>
  <c r="F53" i="8" s="1"/>
  <c r="F52" i="8" s="1"/>
  <c r="F51" i="8" s="1"/>
  <c r="F50" i="8" s="1"/>
  <c r="F49" i="8" s="1"/>
  <c r="F48" i="8" s="1"/>
  <c r="F47" i="8" s="1"/>
  <c r="F46" i="8" s="1"/>
  <c r="F45" i="8" s="1"/>
  <c r="F44" i="8" s="1"/>
  <c r="F43" i="8" s="1"/>
  <c r="F42" i="8" s="1"/>
  <c r="F41" i="8" s="1"/>
  <c r="F40" i="8" s="1"/>
  <c r="F39" i="8" s="1"/>
  <c r="F38" i="8" s="1"/>
  <c r="F37" i="8" s="1"/>
  <c r="F36" i="8" s="1"/>
  <c r="F35" i="8" s="1"/>
  <c r="F34" i="8" s="1"/>
  <c r="F33" i="8" s="1"/>
  <c r="F32" i="8" s="1"/>
  <c r="F31" i="8" s="1"/>
  <c r="F30" i="8" s="1"/>
  <c r="F29" i="8" s="1"/>
  <c r="F28" i="8" s="1"/>
  <c r="F27" i="8" s="1"/>
  <c r="F26" i="8" s="1"/>
  <c r="F25" i="8" s="1"/>
  <c r="F24" i="8" s="1"/>
  <c r="F23" i="8" s="1"/>
  <c r="F22" i="8" s="1"/>
  <c r="F21" i="8" s="1"/>
  <c r="F20" i="8" s="1"/>
  <c r="F19" i="8" s="1"/>
  <c r="F18" i="8" s="1"/>
  <c r="F17" i="8" s="1"/>
  <c r="F16" i="8" s="1"/>
  <c r="F15" i="8" s="1"/>
  <c r="F14" i="8" s="1"/>
  <c r="F13" i="8" s="1"/>
  <c r="F12" i="8" s="1"/>
  <c r="F11" i="8" s="1"/>
  <c r="F10" i="8" s="1"/>
  <c r="F9" i="8" s="1"/>
  <c r="F8" i="8" s="1"/>
  <c r="F7" i="8" s="1"/>
  <c r="F6" i="8" s="1"/>
  <c r="F4" i="8" s="1"/>
  <c r="AL91" i="4"/>
  <c r="AQ37" i="3"/>
  <c r="A38" i="3"/>
  <c r="B37" i="3"/>
  <c r="AR29" i="3"/>
  <c r="B29" i="3"/>
  <c r="AQ31" i="3"/>
  <c r="AR31" i="3"/>
  <c r="AR36" i="3"/>
  <c r="B36" i="3"/>
  <c r="B27" i="3"/>
  <c r="AJ157" i="4" l="1"/>
  <c r="AJ204" i="4"/>
  <c r="I132" i="4"/>
  <c r="J132" i="4" s="1"/>
  <c r="K132" i="4" s="1"/>
  <c r="AP138" i="4"/>
  <c r="AJ186" i="4"/>
  <c r="AP157" i="4"/>
  <c r="AJ208" i="4"/>
  <c r="I202" i="4"/>
  <c r="J202" i="4" s="1"/>
  <c r="AJ115" i="4"/>
  <c r="AP173" i="4"/>
  <c r="AP127" i="4"/>
  <c r="AJ122" i="4"/>
  <c r="AJ170" i="4"/>
  <c r="AP125" i="4"/>
  <c r="E66" i="1"/>
  <c r="E67" i="1"/>
  <c r="AJ192" i="4"/>
  <c r="AJ118" i="4"/>
  <c r="I166" i="4"/>
  <c r="J166" i="4" s="1"/>
  <c r="K166" i="4" s="1"/>
  <c r="AJ120" i="4"/>
  <c r="AP150" i="4"/>
  <c r="AP124" i="4"/>
  <c r="AJ188" i="4"/>
  <c r="I184" i="4"/>
  <c r="J184" i="4" s="1"/>
  <c r="K184" i="4" s="1"/>
  <c r="I180" i="4"/>
  <c r="J180" i="4" s="1"/>
  <c r="AJ166" i="4"/>
  <c r="AJ153" i="4"/>
  <c r="I201" i="4"/>
  <c r="J201" i="4" s="1"/>
  <c r="K201" i="4" s="1"/>
  <c r="AJ171" i="4"/>
  <c r="I198" i="4"/>
  <c r="J198" i="4" s="1"/>
  <c r="K198" i="4" s="1"/>
  <c r="I207" i="4"/>
  <c r="J207" i="4" s="1"/>
  <c r="AJ184" i="4"/>
  <c r="I153" i="4"/>
  <c r="J153" i="4" s="1"/>
  <c r="K153" i="4" s="1"/>
  <c r="AP166" i="4"/>
  <c r="AP134" i="4"/>
  <c r="AP192" i="4"/>
  <c r="AP116" i="4"/>
  <c r="AJ151" i="4"/>
  <c r="AJ134" i="4"/>
  <c r="I116" i="4"/>
  <c r="J116" i="4" s="1"/>
  <c r="AJ179" i="4"/>
  <c r="AJ137" i="4"/>
  <c r="AP179" i="4"/>
  <c r="AP180" i="4"/>
  <c r="AP151" i="4"/>
  <c r="I151" i="4"/>
  <c r="J151" i="4" s="1"/>
  <c r="AJ198" i="4"/>
  <c r="AJ169" i="4"/>
  <c r="AJ207" i="4"/>
  <c r="I121" i="4"/>
  <c r="J121" i="4" s="1"/>
  <c r="K121" i="4" s="1"/>
  <c r="I169" i="4"/>
  <c r="J169" i="4" s="1"/>
  <c r="I192" i="4"/>
  <c r="J192" i="4" s="1"/>
  <c r="K192" i="4" s="1"/>
  <c r="AJ116" i="4"/>
  <c r="AP121" i="4"/>
  <c r="AP129" i="4"/>
  <c r="AP132" i="4"/>
  <c r="AJ177" i="4"/>
  <c r="AJ167" i="4"/>
  <c r="AN137" i="4"/>
  <c r="AN185" i="4"/>
  <c r="AN191" i="4"/>
  <c r="I127" i="4"/>
  <c r="J127" i="4" s="1"/>
  <c r="K127" i="4" s="1"/>
  <c r="I186" i="4"/>
  <c r="J186" i="4" s="1"/>
  <c r="K186" i="4" s="1"/>
  <c r="AJ125" i="4"/>
  <c r="AJ196" i="4"/>
  <c r="AJ200" i="4"/>
  <c r="I138" i="4"/>
  <c r="J138" i="4" s="1"/>
  <c r="K138" i="4" s="1"/>
  <c r="I208" i="4"/>
  <c r="J208" i="4" s="1"/>
  <c r="K208" i="4" s="1"/>
  <c r="I200" i="4"/>
  <c r="J200" i="4" s="1"/>
  <c r="K200" i="4" s="1"/>
  <c r="I154" i="4"/>
  <c r="J154" i="4" s="1"/>
  <c r="K154" i="4" s="1"/>
  <c r="I141" i="4"/>
  <c r="J141" i="4" s="1"/>
  <c r="K141" i="4" s="1"/>
  <c r="AJ144" i="4"/>
  <c r="AP186" i="4"/>
  <c r="AP205" i="4"/>
  <c r="AP183" i="4"/>
  <c r="AP208" i="4"/>
  <c r="I173" i="4"/>
  <c r="J173" i="4" s="1"/>
  <c r="I170" i="4"/>
  <c r="J170" i="4" s="1"/>
  <c r="K170" i="4" s="1"/>
  <c r="I183" i="4"/>
  <c r="J183" i="4" s="1"/>
  <c r="K183" i="4" s="1"/>
  <c r="I157" i="4"/>
  <c r="J157" i="4" s="1"/>
  <c r="I125" i="4"/>
  <c r="J125" i="4" s="1"/>
  <c r="K125" i="4" s="1"/>
  <c r="AP170" i="4"/>
  <c r="AP144" i="4"/>
  <c r="AP196" i="4"/>
  <c r="AN139" i="4"/>
  <c r="AN163" i="4"/>
  <c r="AN192" i="4"/>
  <c r="AN132" i="4"/>
  <c r="I171" i="4"/>
  <c r="J171" i="4" s="1"/>
  <c r="K171" i="4" s="1"/>
  <c r="I150" i="4"/>
  <c r="J150" i="4" s="1"/>
  <c r="K150" i="4" s="1"/>
  <c r="I118" i="4"/>
  <c r="J118" i="4" s="1"/>
  <c r="K118" i="4" s="1"/>
  <c r="AJ185" i="4"/>
  <c r="AJ150" i="4"/>
  <c r="AJ182" i="4"/>
  <c r="I110" i="4"/>
  <c r="J110" i="4" s="1"/>
  <c r="K110" i="4" s="1"/>
  <c r="AJ201" i="4"/>
  <c r="AJ124" i="4"/>
  <c r="I185" i="4"/>
  <c r="J185" i="4" s="1"/>
  <c r="AJ180" i="4"/>
  <c r="I120" i="4"/>
  <c r="J120" i="4" s="1"/>
  <c r="AP153" i="4"/>
  <c r="AP169" i="4"/>
  <c r="AP171" i="4"/>
  <c r="AP185" i="4"/>
  <c r="AP139" i="4"/>
  <c r="AP207" i="4"/>
  <c r="AP184" i="4"/>
  <c r="I134" i="4"/>
  <c r="J134" i="4" s="1"/>
  <c r="K134" i="4" s="1"/>
  <c r="AJ121" i="4"/>
  <c r="I139" i="4"/>
  <c r="J139" i="4" s="1"/>
  <c r="K139" i="4" s="1"/>
  <c r="AJ139" i="4"/>
  <c r="I188" i="4"/>
  <c r="J188" i="4" s="1"/>
  <c r="K188" i="4" s="1"/>
  <c r="I179" i="4"/>
  <c r="J179" i="4" s="1"/>
  <c r="K179" i="4" s="1"/>
  <c r="I137" i="4"/>
  <c r="J137" i="4" s="1"/>
  <c r="I182" i="4"/>
  <c r="J182" i="4" s="1"/>
  <c r="AJ128" i="4"/>
  <c r="AJ119" i="4"/>
  <c r="I128" i="4"/>
  <c r="J128" i="4" s="1"/>
  <c r="K128" i="4" s="1"/>
  <c r="I119" i="4"/>
  <c r="J119" i="4" s="1"/>
  <c r="K119" i="4" s="1"/>
  <c r="AP118" i="4"/>
  <c r="AP198" i="4"/>
  <c r="AP201" i="4"/>
  <c r="AP182" i="4"/>
  <c r="AP128" i="4"/>
  <c r="AP119" i="4"/>
  <c r="AP137" i="4"/>
  <c r="AP188" i="4"/>
  <c r="AP165" i="4"/>
  <c r="AP120" i="4"/>
  <c r="AN129" i="4"/>
  <c r="AN187" i="4"/>
  <c r="AN167" i="4"/>
  <c r="AN136" i="4"/>
  <c r="AN177" i="4"/>
  <c r="AN118" i="4"/>
  <c r="AN135" i="4"/>
  <c r="AJ159" i="4"/>
  <c r="AJ147" i="4"/>
  <c r="AJ138" i="4"/>
  <c r="I159" i="4"/>
  <c r="J159" i="4" s="1"/>
  <c r="K159" i="4" s="1"/>
  <c r="AJ202" i="4"/>
  <c r="AJ141" i="4"/>
  <c r="I178" i="4"/>
  <c r="J178" i="4" s="1"/>
  <c r="K178" i="4" s="1"/>
  <c r="I189" i="4"/>
  <c r="J189" i="4" s="1"/>
  <c r="K189" i="4" s="1"/>
  <c r="AJ183" i="4"/>
  <c r="I140" i="4"/>
  <c r="J140" i="4" s="1"/>
  <c r="I204" i="4"/>
  <c r="J204" i="4" s="1"/>
  <c r="K204" i="4" s="1"/>
  <c r="I144" i="4"/>
  <c r="J144" i="4" s="1"/>
  <c r="K144" i="4" s="1"/>
  <c r="AJ140" i="4"/>
  <c r="I115" i="4"/>
  <c r="J115" i="4" s="1"/>
  <c r="K115" i="4" s="1"/>
  <c r="AJ132" i="4"/>
  <c r="AP159" i="4"/>
  <c r="AP122" i="4"/>
  <c r="AP189" i="4"/>
  <c r="AP141" i="4"/>
  <c r="AP147" i="4"/>
  <c r="AP115" i="4"/>
  <c r="I187" i="4"/>
  <c r="J187" i="4" s="1"/>
  <c r="K187" i="4" s="1"/>
  <c r="I205" i="4"/>
  <c r="J205" i="4" s="1"/>
  <c r="K205" i="4" s="1"/>
  <c r="AJ205" i="4"/>
  <c r="I122" i="4"/>
  <c r="J122" i="4" s="1"/>
  <c r="AJ187" i="4"/>
  <c r="AJ154" i="4"/>
  <c r="I196" i="4"/>
  <c r="J196" i="4" s="1"/>
  <c r="K196" i="4" s="1"/>
  <c r="I147" i="4"/>
  <c r="J147" i="4" s="1"/>
  <c r="K147" i="4" s="1"/>
  <c r="AJ189" i="4"/>
  <c r="AJ173" i="4"/>
  <c r="I136" i="4"/>
  <c r="J136" i="4" s="1"/>
  <c r="K136" i="4" s="1"/>
  <c r="AJ127" i="4"/>
  <c r="AJ136" i="4"/>
  <c r="AP154" i="4"/>
  <c r="AP187" i="4"/>
  <c r="AP202" i="4"/>
  <c r="AN200" i="4"/>
  <c r="AN119" i="4"/>
  <c r="AJ145" i="4"/>
  <c r="AJ158" i="4"/>
  <c r="I124" i="4"/>
  <c r="J124" i="4" s="1"/>
  <c r="AP123" i="4"/>
  <c r="AJ129" i="4"/>
  <c r="I129" i="4"/>
  <c r="J129" i="4" s="1"/>
  <c r="K129" i="4" s="1"/>
  <c r="I190" i="4"/>
  <c r="J190" i="4" s="1"/>
  <c r="AJ209" i="4"/>
  <c r="AP174" i="4"/>
  <c r="AP167" i="4"/>
  <c r="AP113" i="4"/>
  <c r="AP135" i="4"/>
  <c r="I193" i="4"/>
  <c r="J193" i="4" s="1"/>
  <c r="K193" i="4" s="1"/>
  <c r="I126" i="4"/>
  <c r="J126" i="4" s="1"/>
  <c r="AJ191" i="4"/>
  <c r="AP152" i="4"/>
  <c r="AN150" i="4"/>
  <c r="AN123" i="4"/>
  <c r="AN208" i="4"/>
  <c r="AN126" i="4"/>
  <c r="AN166" i="4"/>
  <c r="AN196" i="4"/>
  <c r="AN209" i="4"/>
  <c r="AN138" i="4"/>
  <c r="AN149" i="4"/>
  <c r="AN140" i="4"/>
  <c r="AN110" i="4"/>
  <c r="AN124" i="4"/>
  <c r="AP204" i="4"/>
  <c r="AP148" i="4"/>
  <c r="AN197" i="4"/>
  <c r="AN158" i="4"/>
  <c r="AN113" i="4"/>
  <c r="AN127" i="4"/>
  <c r="AP175" i="4"/>
  <c r="AN193" i="4"/>
  <c r="AN199" i="4"/>
  <c r="I199" i="4"/>
  <c r="J199" i="4" s="1"/>
  <c r="K199" i="4" s="1"/>
  <c r="AJ113" i="4"/>
  <c r="AJ206" i="4"/>
  <c r="I165" i="4"/>
  <c r="J165" i="4" s="1"/>
  <c r="I177" i="4"/>
  <c r="J177" i="4" s="1"/>
  <c r="I113" i="4"/>
  <c r="J113" i="4" s="1"/>
  <c r="I172" i="4"/>
  <c r="J172" i="4" s="1"/>
  <c r="AJ195" i="4"/>
  <c r="AJ123" i="4"/>
  <c r="I123" i="4"/>
  <c r="J123" i="4" s="1"/>
  <c r="AP161" i="4"/>
  <c r="AP190" i="4"/>
  <c r="AP206" i="4"/>
  <c r="AP209" i="4"/>
  <c r="AP156" i="4"/>
  <c r="AP140" i="4"/>
  <c r="I164" i="4"/>
  <c r="J164" i="4" s="1"/>
  <c r="K164" i="4" s="1"/>
  <c r="AJ130" i="4"/>
  <c r="AJ174" i="4"/>
  <c r="I130" i="4"/>
  <c r="J130" i="4" s="1"/>
  <c r="I167" i="4"/>
  <c r="J167" i="4" s="1"/>
  <c r="I197" i="4"/>
  <c r="J197" i="4" s="1"/>
  <c r="K197" i="4" s="1"/>
  <c r="AJ156" i="4"/>
  <c r="I145" i="4"/>
  <c r="J145" i="4" s="1"/>
  <c r="I206" i="4"/>
  <c r="J206" i="4" s="1"/>
  <c r="K206" i="4" s="1"/>
  <c r="AJ142" i="4"/>
  <c r="I191" i="4"/>
  <c r="J191" i="4" s="1"/>
  <c r="I152" i="4"/>
  <c r="J152" i="4" s="1"/>
  <c r="AJ148" i="4"/>
  <c r="AP111" i="4"/>
  <c r="AP191" i="4"/>
  <c r="AP195" i="4"/>
  <c r="AP145" i="4"/>
  <c r="AN207" i="4"/>
  <c r="AN203" i="4"/>
  <c r="AN154" i="4"/>
  <c r="AN186" i="4"/>
  <c r="AN134" i="4"/>
  <c r="AN143" i="4"/>
  <c r="AN184" i="4"/>
  <c r="AN147" i="4"/>
  <c r="AN195" i="4"/>
  <c r="AN182" i="4"/>
  <c r="AN202" i="4"/>
  <c r="AN157" i="4"/>
  <c r="AN175" i="4"/>
  <c r="AN116" i="4"/>
  <c r="AN148" i="4"/>
  <c r="AN190" i="4"/>
  <c r="AN179" i="4"/>
  <c r="AN156" i="4"/>
  <c r="AN206" i="4"/>
  <c r="AN201" i="4"/>
  <c r="AN194" i="4"/>
  <c r="AN174" i="4"/>
  <c r="AN159" i="4"/>
  <c r="AN152" i="4"/>
  <c r="AN170" i="4"/>
  <c r="AN131" i="4"/>
  <c r="AN115" i="4"/>
  <c r="AN180" i="4"/>
  <c r="AN155" i="4"/>
  <c r="AN205" i="4"/>
  <c r="AN142" i="4"/>
  <c r="AN122" i="4"/>
  <c r="AJ114" i="4"/>
  <c r="AJ117" i="4"/>
  <c r="AJ199" i="4"/>
  <c r="I149" i="4"/>
  <c r="J149" i="4" s="1"/>
  <c r="AJ194" i="4"/>
  <c r="AP197" i="4"/>
  <c r="AP181" i="4"/>
  <c r="AJ160" i="4"/>
  <c r="I117" i="4"/>
  <c r="J117" i="4" s="1"/>
  <c r="K117" i="4" s="1"/>
  <c r="AJ163" i="4"/>
  <c r="AJ178" i="4"/>
  <c r="I163" i="4"/>
  <c r="J163" i="4" s="1"/>
  <c r="I160" i="4"/>
  <c r="J160" i="4" s="1"/>
  <c r="I143" i="4"/>
  <c r="J143" i="4" s="1"/>
  <c r="AJ190" i="4"/>
  <c r="I162" i="4"/>
  <c r="J162" i="4" s="1"/>
  <c r="X162" i="4" s="1"/>
  <c r="Y162" i="4" s="1"/>
  <c r="I209" i="4"/>
  <c r="J209" i="4" s="1"/>
  <c r="AJ162" i="4"/>
  <c r="AJ203" i="4"/>
  <c r="I203" i="4"/>
  <c r="J203" i="4" s="1"/>
  <c r="AJ176" i="4"/>
  <c r="AJ172" i="4"/>
  <c r="AJ168" i="4"/>
  <c r="AJ164" i="4"/>
  <c r="I148" i="4"/>
  <c r="J148" i="4" s="1"/>
  <c r="K148" i="4" s="1"/>
  <c r="I135" i="4"/>
  <c r="J135" i="4" s="1"/>
  <c r="I131" i="4"/>
  <c r="J131" i="4" s="1"/>
  <c r="I111" i="4"/>
  <c r="J111" i="4" s="1"/>
  <c r="L111" i="4" s="1"/>
  <c r="AP163" i="4"/>
  <c r="AP155" i="4"/>
  <c r="AP126" i="4"/>
  <c r="AP110" i="4"/>
  <c r="AP158" i="4"/>
  <c r="AP177" i="4"/>
  <c r="AP162" i="4"/>
  <c r="AP133" i="4"/>
  <c r="AP193" i="4"/>
  <c r="AP112" i="4"/>
  <c r="AP164" i="4"/>
  <c r="AP172" i="4"/>
  <c r="AP200" i="4"/>
  <c r="AP136" i="4"/>
  <c r="I114" i="4"/>
  <c r="J114" i="4" s="1"/>
  <c r="R114" i="4" s="1"/>
  <c r="S114" i="4" s="1"/>
  <c r="T114" i="4" s="1"/>
  <c r="AJ143" i="4"/>
  <c r="I175" i="4"/>
  <c r="J175" i="4" s="1"/>
  <c r="AJ149" i="4"/>
  <c r="I181" i="4"/>
  <c r="J181" i="4" s="1"/>
  <c r="I176" i="4"/>
  <c r="J176" i="4" s="1"/>
  <c r="K176" i="4" s="1"/>
  <c r="I168" i="4"/>
  <c r="J168" i="4" s="1"/>
  <c r="AJ165" i="4"/>
  <c r="AJ112" i="4"/>
  <c r="AP114" i="4"/>
  <c r="AP199" i="4"/>
  <c r="AP143" i="4"/>
  <c r="I133" i="4"/>
  <c r="J133" i="4" s="1"/>
  <c r="AJ193" i="4"/>
  <c r="AJ110" i="4"/>
  <c r="I155" i="4"/>
  <c r="J155" i="4" s="1"/>
  <c r="K155" i="4" s="1"/>
  <c r="I174" i="4"/>
  <c r="J174" i="4" s="1"/>
  <c r="K174" i="4" s="1"/>
  <c r="AJ126" i="4"/>
  <c r="I146" i="4"/>
  <c r="J146" i="4" s="1"/>
  <c r="AJ146" i="4"/>
  <c r="I156" i="4"/>
  <c r="J156" i="4" s="1"/>
  <c r="K156" i="4" s="1"/>
  <c r="AJ197" i="4"/>
  <c r="I194" i="4"/>
  <c r="J194" i="4" s="1"/>
  <c r="AJ133" i="4"/>
  <c r="AJ175" i="4"/>
  <c r="I142" i="4"/>
  <c r="J142" i="4" s="1"/>
  <c r="K142" i="4" s="1"/>
  <c r="AJ161" i="4"/>
  <c r="I158" i="4"/>
  <c r="J158" i="4" s="1"/>
  <c r="AJ181" i="4"/>
  <c r="AJ155" i="4"/>
  <c r="I161" i="4"/>
  <c r="J161" i="4" s="1"/>
  <c r="K161" i="4" s="1"/>
  <c r="I195" i="4"/>
  <c r="J195" i="4" s="1"/>
  <c r="AJ152" i="4"/>
  <c r="AJ131" i="4"/>
  <c r="AJ135" i="4"/>
  <c r="I112" i="4"/>
  <c r="J112" i="4" s="1"/>
  <c r="AJ111" i="4"/>
  <c r="AP117" i="4"/>
  <c r="AP203" i="4"/>
  <c r="AP146" i="4"/>
  <c r="AP142" i="4"/>
  <c r="AP130" i="4"/>
  <c r="AP160" i="4"/>
  <c r="AP149" i="4"/>
  <c r="AP178" i="4"/>
  <c r="AP194" i="4"/>
  <c r="AP131" i="4"/>
  <c r="AP176" i="4"/>
  <c r="AP168" i="4"/>
  <c r="C243" i="2"/>
  <c r="F243" i="2" s="1"/>
  <c r="C44" i="16" s="1"/>
  <c r="B244" i="2"/>
  <c r="D44" i="16" s="1"/>
  <c r="D242" i="2"/>
  <c r="B245" i="2" s="1"/>
  <c r="D243" i="2" s="1"/>
  <c r="AN120" i="4"/>
  <c r="AN173" i="4"/>
  <c r="AN165" i="4"/>
  <c r="AN172" i="4"/>
  <c r="AN161" i="4"/>
  <c r="AN183" i="4"/>
  <c r="AN178" i="4"/>
  <c r="AN160" i="4"/>
  <c r="AN153" i="4"/>
  <c r="AN146" i="4"/>
  <c r="AN141" i="4"/>
  <c r="AN128" i="4"/>
  <c r="AN125" i="4"/>
  <c r="AN112" i="4"/>
  <c r="AN204" i="4"/>
  <c r="AN130" i="4"/>
  <c r="AN181" i="4"/>
  <c r="AN176" i="4"/>
  <c r="AN198" i="4"/>
  <c r="AN145" i="4"/>
  <c r="AN114" i="4"/>
  <c r="AN111" i="4"/>
  <c r="AN189" i="4"/>
  <c r="AN168" i="4"/>
  <c r="AN171" i="4"/>
  <c r="AN144" i="4"/>
  <c r="AN164" i="4"/>
  <c r="AN188" i="4"/>
  <c r="AN169" i="4"/>
  <c r="AN162" i="4"/>
  <c r="AN151" i="4"/>
  <c r="AN121" i="4"/>
  <c r="AN117" i="4"/>
  <c r="AN133" i="4"/>
  <c r="AJ43" i="4"/>
  <c r="AP98" i="4"/>
  <c r="AJ13" i="4"/>
  <c r="AJ80" i="4"/>
  <c r="AP109" i="4"/>
  <c r="AJ78" i="4"/>
  <c r="AJ40" i="4"/>
  <c r="AJ97" i="4"/>
  <c r="AJ19" i="4"/>
  <c r="AJ61" i="4"/>
  <c r="AP22" i="4"/>
  <c r="AP85" i="4"/>
  <c r="AI38" i="4"/>
  <c r="AP73" i="4"/>
  <c r="AJ84" i="4"/>
  <c r="AI86" i="4"/>
  <c r="AJ29" i="4"/>
  <c r="I107" i="4"/>
  <c r="J107" i="4" s="1"/>
  <c r="K107" i="4" s="1"/>
  <c r="AI25" i="4"/>
  <c r="I30" i="4"/>
  <c r="J30" i="4" s="1"/>
  <c r="K30" i="4" s="1"/>
  <c r="AJ94" i="4"/>
  <c r="AP88" i="4"/>
  <c r="AI26" i="4"/>
  <c r="I37" i="4"/>
  <c r="J37" i="4" s="1"/>
  <c r="K37" i="4" s="1"/>
  <c r="AJ41" i="4"/>
  <c r="AP66" i="4"/>
  <c r="AJ39" i="4"/>
  <c r="AP76" i="4"/>
  <c r="I51" i="4"/>
  <c r="J51" i="4" s="1"/>
  <c r="K51" i="4" s="1"/>
  <c r="AP12" i="4"/>
  <c r="AP17" i="4"/>
  <c r="AI70" i="4"/>
  <c r="I16" i="4"/>
  <c r="J16" i="4" s="1"/>
  <c r="K16" i="4" s="1"/>
  <c r="AP104" i="4"/>
  <c r="AJ87" i="4"/>
  <c r="AJ52" i="4"/>
  <c r="AP15" i="4"/>
  <c r="AI100" i="4"/>
  <c r="AP18" i="4"/>
  <c r="AJ67" i="4"/>
  <c r="AJ45" i="4"/>
  <c r="AP62" i="4"/>
  <c r="AP56" i="4"/>
  <c r="I20" i="4"/>
  <c r="J20" i="4" s="1"/>
  <c r="K20" i="4" s="1"/>
  <c r="AI34" i="4"/>
  <c r="AI103" i="4"/>
  <c r="AJ44" i="4"/>
  <c r="AI21" i="4"/>
  <c r="AP31" i="4"/>
  <c r="AP69" i="4"/>
  <c r="AJ42" i="4"/>
  <c r="AP49" i="4"/>
  <c r="I99" i="4"/>
  <c r="J99" i="4" s="1"/>
  <c r="K99" i="4" s="1"/>
  <c r="AP24" i="4"/>
  <c r="AJ64" i="4"/>
  <c r="AI28" i="4"/>
  <c r="AP53" i="4"/>
  <c r="AJ96" i="4"/>
  <c r="AP68" i="4"/>
  <c r="AI32" i="4"/>
  <c r="AP106" i="4"/>
  <c r="AP11" i="4"/>
  <c r="AI9" i="4"/>
  <c r="I75" i="4"/>
  <c r="J75" i="4" s="1"/>
  <c r="K75" i="4" s="1"/>
  <c r="AI82" i="4"/>
  <c r="AP92" i="4"/>
  <c r="AI48" i="4"/>
  <c r="AP23" i="4"/>
  <c r="I27" i="4"/>
  <c r="J27" i="4" s="1"/>
  <c r="K27" i="4" s="1"/>
  <c r="AI89" i="4"/>
  <c r="AJ91" i="4"/>
  <c r="AP58" i="4"/>
  <c r="AI10" i="4"/>
  <c r="I33" i="4"/>
  <c r="J33" i="4" s="1"/>
  <c r="K33" i="4" s="1"/>
  <c r="AP105" i="4"/>
  <c r="AJ79" i="4"/>
  <c r="AI46" i="4"/>
  <c r="I72" i="4"/>
  <c r="J72" i="4" s="1"/>
  <c r="K72" i="4" s="1"/>
  <c r="AJ101" i="4"/>
  <c r="AJ50" i="4"/>
  <c r="AJ71" i="4"/>
  <c r="AI81" i="4"/>
  <c r="AI60" i="4"/>
  <c r="AJ83" i="4"/>
  <c r="AJ57" i="4"/>
  <c r="AJ95" i="4"/>
  <c r="AI102" i="4"/>
  <c r="AI59" i="4"/>
  <c r="I74" i="4"/>
  <c r="J74" i="4" s="1"/>
  <c r="K74" i="4" s="1"/>
  <c r="AP93" i="4"/>
  <c r="AP35" i="4"/>
  <c r="AP77" i="4"/>
  <c r="AI90" i="4"/>
  <c r="AJ36" i="4"/>
  <c r="AJ54" i="4"/>
  <c r="I55" i="4"/>
  <c r="J55" i="4" s="1"/>
  <c r="K55" i="4" s="1"/>
  <c r="AP63" i="4"/>
  <c r="AI14" i="4"/>
  <c r="L66" i="2"/>
  <c r="G243" i="2" s="1"/>
  <c r="B39" i="2"/>
  <c r="B17" i="2"/>
  <c r="B37" i="2"/>
  <c r="B18" i="2" s="1"/>
  <c r="B62" i="2"/>
  <c r="R14" i="8" s="1"/>
  <c r="AP10" i="4"/>
  <c r="B125" i="2"/>
  <c r="B132" i="2" s="1"/>
  <c r="I10" i="4"/>
  <c r="J10" i="4" s="1"/>
  <c r="K10" i="4" s="1"/>
  <c r="AJ10" i="4"/>
  <c r="AI18" i="4"/>
  <c r="B273" i="2"/>
  <c r="I28" i="4"/>
  <c r="J28" i="4" s="1"/>
  <c r="K28" i="4" s="1"/>
  <c r="AP45" i="4"/>
  <c r="AN10" i="4"/>
  <c r="AI16" i="4"/>
  <c r="AN93" i="4"/>
  <c r="AN24" i="4"/>
  <c r="I45" i="4"/>
  <c r="J45" i="4" s="1"/>
  <c r="K45" i="4" s="1"/>
  <c r="AI45" i="4"/>
  <c r="B80" i="2"/>
  <c r="E40" i="1" s="1"/>
  <c r="B30" i="2"/>
  <c r="E16" i="1" s="1"/>
  <c r="I104" i="4"/>
  <c r="J104" i="4" s="1"/>
  <c r="K104" i="4" s="1"/>
  <c r="AP28" i="4"/>
  <c r="I58" i="4"/>
  <c r="J58" i="4" s="1"/>
  <c r="K58" i="4" s="1"/>
  <c r="AP91" i="4"/>
  <c r="AI104" i="4"/>
  <c r="AI55" i="4"/>
  <c r="AI96" i="4"/>
  <c r="I36" i="4"/>
  <c r="J36" i="4" s="1"/>
  <c r="K36" i="4" s="1"/>
  <c r="J668" i="3"/>
  <c r="AN57" i="4"/>
  <c r="I77" i="4"/>
  <c r="J77" i="4" s="1"/>
  <c r="K77" i="4" s="1"/>
  <c r="J640" i="3"/>
  <c r="J95" i="3"/>
  <c r="AJ93" i="4"/>
  <c r="AJ32" i="4"/>
  <c r="I68" i="4"/>
  <c r="J68" i="4" s="1"/>
  <c r="K68" i="4" s="1"/>
  <c r="AP36" i="4"/>
  <c r="J526" i="3"/>
  <c r="J660" i="3"/>
  <c r="AP44" i="4"/>
  <c r="AI20" i="4"/>
  <c r="AJ27" i="4"/>
  <c r="AI74" i="4"/>
  <c r="AJ51" i="4"/>
  <c r="I32" i="4"/>
  <c r="J32" i="4" s="1"/>
  <c r="K32" i="4" s="1"/>
  <c r="J265" i="3"/>
  <c r="J393" i="3"/>
  <c r="J300" i="3"/>
  <c r="J665" i="3"/>
  <c r="AP67" i="4"/>
  <c r="J409" i="3"/>
  <c r="B24" i="2"/>
  <c r="AP89" i="4"/>
  <c r="AN23" i="4"/>
  <c r="J13" i="3"/>
  <c r="J317" i="3"/>
  <c r="AJ88" i="4"/>
  <c r="AJ74" i="4"/>
  <c r="J173" i="3"/>
  <c r="J643" i="3"/>
  <c r="J267" i="3"/>
  <c r="J537" i="3"/>
  <c r="J140" i="3"/>
  <c r="J480" i="3"/>
  <c r="J233" i="3"/>
  <c r="J19" i="3"/>
  <c r="J332" i="3"/>
  <c r="J286" i="3"/>
  <c r="J397" i="3"/>
  <c r="J511" i="3"/>
  <c r="AJ48" i="4"/>
  <c r="AI95" i="4"/>
  <c r="AP94" i="4"/>
  <c r="I91" i="4"/>
  <c r="J91" i="4" s="1"/>
  <c r="K91" i="4" s="1"/>
  <c r="I54" i="4"/>
  <c r="J54" i="4" s="1"/>
  <c r="K54" i="4" s="1"/>
  <c r="AJ55" i="4"/>
  <c r="I64" i="4"/>
  <c r="J64" i="4" s="1"/>
  <c r="K64" i="4" s="1"/>
  <c r="J423" i="3"/>
  <c r="J110" i="3"/>
  <c r="J280" i="3"/>
  <c r="J106" i="3"/>
  <c r="J309" i="3"/>
  <c r="J179" i="3"/>
  <c r="J621" i="3"/>
  <c r="J463" i="3"/>
  <c r="J174" i="3"/>
  <c r="J224" i="3"/>
  <c r="J354" i="3"/>
  <c r="J552" i="3"/>
  <c r="J197" i="3"/>
  <c r="J384" i="3"/>
  <c r="J111" i="3"/>
  <c r="J636" i="3"/>
  <c r="J395" i="3"/>
  <c r="AI63" i="4"/>
  <c r="J337" i="3"/>
  <c r="J427" i="3"/>
  <c r="J125" i="3"/>
  <c r="J687" i="3"/>
  <c r="J604" i="3"/>
  <c r="J595" i="3"/>
  <c r="J346" i="3"/>
  <c r="AP42" i="4"/>
  <c r="AP54" i="4"/>
  <c r="AI54" i="4"/>
  <c r="I96" i="4"/>
  <c r="J96" i="4" s="1"/>
  <c r="K96" i="4" s="1"/>
  <c r="AI101" i="4"/>
  <c r="I92" i="4"/>
  <c r="J92" i="4" s="1"/>
  <c r="K92" i="4" s="1"/>
  <c r="I9" i="4"/>
  <c r="J9" i="4" s="1"/>
  <c r="K9" i="4" s="1"/>
  <c r="I87" i="4"/>
  <c r="J87" i="4" s="1"/>
  <c r="K87" i="4" s="1"/>
  <c r="I19" i="4"/>
  <c r="J19" i="4" s="1"/>
  <c r="K19" i="4" s="1"/>
  <c r="I53" i="4"/>
  <c r="J53" i="4" s="1"/>
  <c r="K53" i="4" s="1"/>
  <c r="I42" i="4"/>
  <c r="J42" i="4" s="1"/>
  <c r="K42" i="4" s="1"/>
  <c r="AP78" i="4"/>
  <c r="AI53" i="4"/>
  <c r="AI52" i="4"/>
  <c r="I24" i="4"/>
  <c r="J24" i="4" s="1"/>
  <c r="K24" i="4" s="1"/>
  <c r="AJ15" i="4"/>
  <c r="AI67" i="4"/>
  <c r="I52" i="4"/>
  <c r="J52" i="4" s="1"/>
  <c r="K52" i="4" s="1"/>
  <c r="AI22" i="4"/>
  <c r="I76" i="4"/>
  <c r="J76" i="4" s="1"/>
  <c r="K76" i="4" s="1"/>
  <c r="AP21" i="4"/>
  <c r="I12" i="4"/>
  <c r="J12" i="4" s="1"/>
  <c r="K12" i="4" s="1"/>
  <c r="AP55" i="4"/>
  <c r="I93" i="4"/>
  <c r="J93" i="4" s="1"/>
  <c r="K93" i="4" s="1"/>
  <c r="AI91" i="4"/>
  <c r="AJ90" i="4"/>
  <c r="AJ58" i="4"/>
  <c r="I21" i="4"/>
  <c r="J21" i="4" s="1"/>
  <c r="K21" i="4" s="1"/>
  <c r="AI98" i="4"/>
  <c r="I94" i="4"/>
  <c r="J94" i="4" s="1"/>
  <c r="K94" i="4" s="1"/>
  <c r="I102" i="4"/>
  <c r="J102" i="4" s="1"/>
  <c r="K102" i="4" s="1"/>
  <c r="I39" i="4"/>
  <c r="J39" i="4" s="1"/>
  <c r="K39" i="4" s="1"/>
  <c r="I90" i="4"/>
  <c r="J90" i="4" s="1"/>
  <c r="K90" i="4" s="1"/>
  <c r="AJ35" i="4"/>
  <c r="I35" i="4"/>
  <c r="J35" i="4" s="1"/>
  <c r="K35" i="4" s="1"/>
  <c r="AJ98" i="4"/>
  <c r="AN70" i="4"/>
  <c r="AN39" i="4"/>
  <c r="AJ12" i="4"/>
  <c r="AI77" i="4"/>
  <c r="AI27" i="4"/>
  <c r="I63" i="4"/>
  <c r="J63" i="4" s="1"/>
  <c r="K63" i="4" s="1"/>
  <c r="B275" i="2"/>
  <c r="AJ17" i="4"/>
  <c r="AJ14" i="4"/>
  <c r="I81" i="4"/>
  <c r="J81" i="4" s="1"/>
  <c r="K81" i="4" s="1"/>
  <c r="AP16" i="4"/>
  <c r="AP96" i="4"/>
  <c r="AJ18" i="4"/>
  <c r="AI61" i="4"/>
  <c r="AJ22" i="4"/>
  <c r="AP83" i="4"/>
  <c r="AJ85" i="4"/>
  <c r="AP40" i="4"/>
  <c r="AP32" i="4"/>
  <c r="I80" i="4"/>
  <c r="J80" i="4" s="1"/>
  <c r="J113" i="3"/>
  <c r="J11" i="3"/>
  <c r="J307" i="3"/>
  <c r="J533" i="3"/>
  <c r="J146" i="3"/>
  <c r="J440" i="3"/>
  <c r="J611" i="3"/>
  <c r="J437" i="3"/>
  <c r="J353" i="3"/>
  <c r="J658" i="3"/>
  <c r="J223" i="3"/>
  <c r="J139" i="3"/>
  <c r="J24" i="3"/>
  <c r="J577" i="3"/>
  <c r="J507" i="3"/>
  <c r="J388" i="3"/>
  <c r="J254" i="3"/>
  <c r="J50" i="3"/>
  <c r="J184" i="3"/>
  <c r="J268" i="3"/>
  <c r="J310" i="3"/>
  <c r="J418" i="3"/>
  <c r="J524" i="3"/>
  <c r="J594" i="3"/>
  <c r="J14" i="3"/>
  <c r="J407" i="3"/>
  <c r="I49" i="4"/>
  <c r="J49" i="4" s="1"/>
  <c r="K49" i="4" s="1"/>
  <c r="I57" i="4"/>
  <c r="J57" i="4" s="1"/>
  <c r="K57" i="4" s="1"/>
  <c r="I67" i="4"/>
  <c r="J67" i="4" s="1"/>
  <c r="K67" i="4" s="1"/>
  <c r="I14" i="4"/>
  <c r="J14" i="4" s="1"/>
  <c r="K14" i="4" s="1"/>
  <c r="I18" i="4"/>
  <c r="J18" i="4" s="1"/>
  <c r="K18" i="4" s="1"/>
  <c r="AI99" i="4"/>
  <c r="J109" i="3"/>
  <c r="J505" i="3"/>
  <c r="J18" i="3"/>
  <c r="J553" i="3"/>
  <c r="J124" i="3"/>
  <c r="J422" i="3"/>
  <c r="J598" i="3"/>
  <c r="J225" i="3"/>
  <c r="AI49" i="4"/>
  <c r="AJ106" i="4"/>
  <c r="AI24" i="4"/>
  <c r="AP70" i="4"/>
  <c r="J241" i="3"/>
  <c r="J664" i="3"/>
  <c r="J663" i="3"/>
  <c r="J656" i="3"/>
  <c r="J183" i="3"/>
  <c r="J166" i="3"/>
  <c r="J490" i="3"/>
  <c r="J48" i="3"/>
  <c r="J227" i="3"/>
  <c r="J291" i="3"/>
  <c r="J81" i="3"/>
  <c r="AN15" i="4"/>
  <c r="AN46" i="4"/>
  <c r="J615" i="3"/>
  <c r="J582" i="3"/>
  <c r="J403" i="3"/>
  <c r="J467" i="3"/>
  <c r="J67" i="3"/>
  <c r="AJ68" i="4"/>
  <c r="AJ69" i="4"/>
  <c r="J182" i="3"/>
  <c r="J509" i="3"/>
  <c r="J287" i="3"/>
  <c r="I69" i="4"/>
  <c r="J69" i="4" s="1"/>
  <c r="K69" i="4" s="1"/>
  <c r="AP14" i="4"/>
  <c r="AI80" i="4"/>
  <c r="AI68" i="4"/>
  <c r="AI37" i="4"/>
  <c r="AP90" i="4"/>
  <c r="J683" i="3"/>
  <c r="R11" i="8"/>
  <c r="S11" i="8" s="1"/>
  <c r="B128" i="2" s="1"/>
  <c r="AI64" i="4"/>
  <c r="AJ70" i="4"/>
  <c r="AJ104" i="4"/>
  <c r="AJ28" i="4"/>
  <c r="AJ100" i="4"/>
  <c r="C25" i="3"/>
  <c r="AJ86" i="4"/>
  <c r="AI29" i="4"/>
  <c r="AI58" i="4"/>
  <c r="AJ63" i="4"/>
  <c r="AI93" i="4"/>
  <c r="C55" i="16"/>
  <c r="D55" i="16" s="1"/>
  <c r="AJ89" i="4"/>
  <c r="AP38" i="4"/>
  <c r="AP86" i="4"/>
  <c r="AJ24" i="4"/>
  <c r="AP95" i="4"/>
  <c r="I29" i="4"/>
  <c r="J29" i="4" s="1"/>
  <c r="K29" i="4" s="1"/>
  <c r="I89" i="4"/>
  <c r="J89" i="4" s="1"/>
  <c r="K89" i="4" s="1"/>
  <c r="I23" i="4"/>
  <c r="J23" i="4" s="1"/>
  <c r="K23" i="4" s="1"/>
  <c r="AP46" i="4"/>
  <c r="AP27" i="4"/>
  <c r="AJ59" i="4"/>
  <c r="AI73" i="4"/>
  <c r="AP71" i="4"/>
  <c r="AP81" i="4"/>
  <c r="AJ60" i="4"/>
  <c r="AJ9" i="4"/>
  <c r="AP72" i="4"/>
  <c r="AI57" i="4"/>
  <c r="AP29" i="4"/>
  <c r="I50" i="4"/>
  <c r="J50" i="4" s="1"/>
  <c r="K50" i="4" s="1"/>
  <c r="AP48" i="4"/>
  <c r="AP97" i="4"/>
  <c r="I97" i="4"/>
  <c r="J97" i="4" s="1"/>
  <c r="K97" i="4" s="1"/>
  <c r="I84" i="4"/>
  <c r="J84" i="4" s="1"/>
  <c r="K84" i="4" s="1"/>
  <c r="AI36" i="4"/>
  <c r="I78" i="4"/>
  <c r="J78" i="4" s="1"/>
  <c r="K78" i="4" s="1"/>
  <c r="I86" i="4"/>
  <c r="J86" i="4" s="1"/>
  <c r="K86" i="4" s="1"/>
  <c r="I61" i="4"/>
  <c r="J61" i="4" s="1"/>
  <c r="K61" i="4" s="1"/>
  <c r="AP82" i="4"/>
  <c r="AI19" i="4"/>
  <c r="AN63" i="4"/>
  <c r="AN34" i="4"/>
  <c r="AN109" i="4"/>
  <c r="AN21" i="4"/>
  <c r="AN85" i="4"/>
  <c r="AN71" i="4"/>
  <c r="AN60" i="4"/>
  <c r="AP79" i="4"/>
  <c r="AP102" i="4"/>
  <c r="AP74" i="4"/>
  <c r="AP84" i="4"/>
  <c r="AI35" i="4"/>
  <c r="AJ77" i="4"/>
  <c r="AJ38" i="4"/>
  <c r="AN25" i="4"/>
  <c r="AI84" i="4"/>
  <c r="AN45" i="4"/>
  <c r="AJ102" i="4"/>
  <c r="AI44" i="4"/>
  <c r="AJ56" i="4"/>
  <c r="AI94" i="4"/>
  <c r="AJ31" i="4"/>
  <c r="AJ76" i="4"/>
  <c r="AP51" i="4"/>
  <c r="AP80" i="4"/>
  <c r="AP87" i="4"/>
  <c r="AP64" i="4"/>
  <c r="AJ37" i="4"/>
  <c r="AP20" i="4"/>
  <c r="AI39" i="4"/>
  <c r="I103" i="4"/>
  <c r="J103" i="4" s="1"/>
  <c r="K103" i="4" s="1"/>
  <c r="AI51" i="4"/>
  <c r="AI56" i="4"/>
  <c r="I26" i="4"/>
  <c r="J26" i="4" s="1"/>
  <c r="K26" i="4" s="1"/>
  <c r="AJ16" i="4"/>
  <c r="AJ49" i="4"/>
  <c r="I15" i="4"/>
  <c r="J15" i="4" s="1"/>
  <c r="K15" i="4" s="1"/>
  <c r="I13" i="4"/>
  <c r="J13" i="4" s="1"/>
  <c r="K13" i="4" s="1"/>
  <c r="I34" i="4"/>
  <c r="J34" i="4" s="1"/>
  <c r="K34" i="4" s="1"/>
  <c r="J477" i="3"/>
  <c r="J273" i="3"/>
  <c r="J493" i="3"/>
  <c r="J93" i="3"/>
  <c r="J269" i="3"/>
  <c r="J387" i="3"/>
  <c r="J599" i="3"/>
  <c r="J416" i="3"/>
  <c r="J138" i="3"/>
  <c r="J226" i="3"/>
  <c r="J360" i="3"/>
  <c r="J497" i="3"/>
  <c r="J563" i="3"/>
  <c r="J53" i="3"/>
  <c r="J457" i="3"/>
  <c r="J417" i="3"/>
  <c r="J373" i="3"/>
  <c r="J329" i="3"/>
  <c r="J289" i="3"/>
  <c r="J26" i="3"/>
  <c r="J243" i="3"/>
  <c r="J203" i="3"/>
  <c r="J159" i="3"/>
  <c r="J115" i="3"/>
  <c r="J75" i="3"/>
  <c r="J685" i="3"/>
  <c r="J601" i="3"/>
  <c r="J557" i="3"/>
  <c r="J527" i="3"/>
  <c r="J487" i="3"/>
  <c r="J428" i="3"/>
  <c r="J340" i="3"/>
  <c r="J648" i="3"/>
  <c r="J214" i="3"/>
  <c r="J126" i="3"/>
  <c r="J116" i="3"/>
  <c r="J160" i="3"/>
  <c r="J204" i="3"/>
  <c r="J248" i="3"/>
  <c r="J29" i="3"/>
  <c r="J290" i="3"/>
  <c r="J334" i="3"/>
  <c r="J374" i="3"/>
  <c r="J460" i="3"/>
  <c r="J502" i="3"/>
  <c r="J671" i="3"/>
  <c r="J574" i="3"/>
  <c r="J616" i="3"/>
  <c r="J39" i="3"/>
  <c r="J331" i="3"/>
  <c r="J27" i="3"/>
  <c r="J97" i="3"/>
  <c r="J74" i="3"/>
  <c r="I31" i="4"/>
  <c r="J31" i="4" s="1"/>
  <c r="K31" i="4" s="1"/>
  <c r="I100" i="4"/>
  <c r="J100" i="4" s="1"/>
  <c r="K100" i="4" s="1"/>
  <c r="AI43" i="4"/>
  <c r="AI42" i="4"/>
  <c r="AI12" i="4"/>
  <c r="AP99" i="4"/>
  <c r="AP52" i="4"/>
  <c r="I17" i="4"/>
  <c r="J17" i="4" s="1"/>
  <c r="K17" i="4" s="1"/>
  <c r="I41" i="4"/>
  <c r="J41" i="4" s="1"/>
  <c r="K41" i="4" s="1"/>
  <c r="J295" i="3"/>
  <c r="J419" i="3"/>
  <c r="J258" i="3"/>
  <c r="J36" i="3"/>
  <c r="J325" i="3"/>
  <c r="J195" i="3"/>
  <c r="J661" i="3"/>
  <c r="J479" i="3"/>
  <c r="J206" i="3"/>
  <c r="J208" i="3"/>
  <c r="J338" i="3"/>
  <c r="J484" i="3"/>
  <c r="J554" i="3"/>
  <c r="J673" i="3"/>
  <c r="J85" i="3"/>
  <c r="J304" i="3"/>
  <c r="AI31" i="4"/>
  <c r="J210" i="3"/>
  <c r="J57" i="3"/>
  <c r="J156" i="3"/>
  <c r="J454" i="3"/>
  <c r="J614" i="3"/>
  <c r="J279" i="3"/>
  <c r="J591" i="3"/>
  <c r="J567" i="3"/>
  <c r="J603" i="3"/>
  <c r="J666" i="3"/>
  <c r="J32" i="3"/>
  <c r="J380" i="3"/>
  <c r="J180" i="3"/>
  <c r="J394" i="3"/>
  <c r="J540" i="3"/>
  <c r="J89" i="3"/>
  <c r="J638" i="3"/>
  <c r="AI15" i="4"/>
  <c r="I98" i="4"/>
  <c r="J98" i="4" s="1"/>
  <c r="K98" i="4" s="1"/>
  <c r="J17" i="3"/>
  <c r="J357" i="3"/>
  <c r="J130" i="3"/>
  <c r="AN105" i="4"/>
  <c r="AN64" i="4"/>
  <c r="AN13" i="4"/>
  <c r="AN26" i="4"/>
  <c r="AN49" i="4"/>
  <c r="J163" i="3"/>
  <c r="J390" i="3"/>
  <c r="J439" i="3"/>
  <c r="J153" i="3"/>
  <c r="J521" i="3"/>
  <c r="J103" i="3"/>
  <c r="J132" i="3"/>
  <c r="J530" i="3"/>
  <c r="J161" i="3"/>
  <c r="AI13" i="4"/>
  <c r="AJ53" i="4"/>
  <c r="AP100" i="4"/>
  <c r="AP43" i="4"/>
  <c r="J237" i="3"/>
  <c r="J560" i="3"/>
  <c r="J62" i="3"/>
  <c r="I70" i="4"/>
  <c r="J70" i="4" s="1"/>
  <c r="K70" i="4" s="1"/>
  <c r="AI87" i="4"/>
  <c r="J263" i="3"/>
  <c r="AJ99" i="4"/>
  <c r="J375" i="3"/>
  <c r="AI69" i="4"/>
  <c r="AP13" i="4"/>
  <c r="AJ26" i="4"/>
  <c r="AJ20" i="4"/>
  <c r="AI17" i="4"/>
  <c r="AP34" i="4"/>
  <c r="J688" i="3"/>
  <c r="I48" i="4"/>
  <c r="J48" i="4" s="1"/>
  <c r="I22" i="4"/>
  <c r="J22" i="4" s="1"/>
  <c r="K22" i="4" s="1"/>
  <c r="AJ46" i="4"/>
  <c r="AP59" i="4"/>
  <c r="AP101" i="4"/>
  <c r="AJ73" i="4"/>
  <c r="I71" i="4"/>
  <c r="J71" i="4" s="1"/>
  <c r="K71" i="4" s="1"/>
  <c r="AP61" i="4"/>
  <c r="AJ81" i="4"/>
  <c r="AI92" i="4"/>
  <c r="AP60" i="4"/>
  <c r="I83" i="4"/>
  <c r="J83" i="4" s="1"/>
  <c r="K83" i="4" s="1"/>
  <c r="I85" i="4"/>
  <c r="J85" i="4" s="1"/>
  <c r="K85" i="4" s="1"/>
  <c r="AP9" i="4"/>
  <c r="I40" i="4"/>
  <c r="J40" i="4" s="1"/>
  <c r="K40" i="4" s="1"/>
  <c r="AP57" i="4"/>
  <c r="I82" i="4"/>
  <c r="J82" i="4" s="1"/>
  <c r="K82" i="4" s="1"/>
  <c r="AP19" i="4"/>
  <c r="AJ82" i="4"/>
  <c r="AJ23" i="4"/>
  <c r="I101" i="4"/>
  <c r="J101" i="4" s="1"/>
  <c r="K101" i="4" s="1"/>
  <c r="I38" i="4"/>
  <c r="J38" i="4" s="1"/>
  <c r="K38" i="4" s="1"/>
  <c r="I46" i="4"/>
  <c r="J46" i="4" s="1"/>
  <c r="K46" i="4" s="1"/>
  <c r="I73" i="4"/>
  <c r="J73" i="4" s="1"/>
  <c r="K73" i="4" s="1"/>
  <c r="AI75" i="4"/>
  <c r="I95" i="4"/>
  <c r="J95" i="4" s="1"/>
  <c r="K95" i="4" s="1"/>
  <c r="I59" i="4"/>
  <c r="J59" i="4" s="1"/>
  <c r="K59" i="4" s="1"/>
  <c r="I105" i="4"/>
  <c r="J105" i="4" s="1"/>
  <c r="K105" i="4" s="1"/>
  <c r="AI50" i="4"/>
  <c r="AI23" i="4"/>
  <c r="AI97" i="4"/>
  <c r="AI83" i="4"/>
  <c r="AP75" i="4"/>
  <c r="AI72" i="4"/>
  <c r="B217" i="2"/>
  <c r="AP50" i="4"/>
  <c r="I60" i="4"/>
  <c r="J60" i="4" s="1"/>
  <c r="K60" i="4" s="1"/>
  <c r="AI40" i="4"/>
  <c r="AJ92" i="4"/>
  <c r="AN82" i="4"/>
  <c r="AN74" i="4"/>
  <c r="AI78" i="4"/>
  <c r="AN96" i="4"/>
  <c r="AN42" i="4"/>
  <c r="AI71" i="4"/>
  <c r="AJ72" i="4"/>
  <c r="AI11" i="4"/>
  <c r="AN68" i="4"/>
  <c r="AN38" i="4"/>
  <c r="AN52" i="4"/>
  <c r="I79" i="4"/>
  <c r="J79" i="4" s="1"/>
  <c r="K79" i="4" s="1"/>
  <c r="AI79" i="4"/>
  <c r="AN89" i="4"/>
  <c r="AJ75" i="4"/>
  <c r="I11" i="4"/>
  <c r="J11" i="4" s="1"/>
  <c r="K11" i="4" s="1"/>
  <c r="AJ11" i="4"/>
  <c r="AN19" i="4"/>
  <c r="AP37" i="4"/>
  <c r="AP39" i="4"/>
  <c r="AJ103" i="4"/>
  <c r="B73" i="4"/>
  <c r="AJ21" i="4"/>
  <c r="I88" i="4"/>
  <c r="J88" i="4" s="1"/>
  <c r="K88" i="4" s="1"/>
  <c r="I56" i="4"/>
  <c r="J56" i="4" s="1"/>
  <c r="K56" i="4" s="1"/>
  <c r="AP26" i="4"/>
  <c r="AI66" i="4"/>
  <c r="I62" i="4"/>
  <c r="J62" i="4" s="1"/>
  <c r="K62" i="4" s="1"/>
  <c r="I44" i="4"/>
  <c r="J44" i="4" s="1"/>
  <c r="K44" i="4" s="1"/>
  <c r="I66" i="4"/>
  <c r="J66" i="4" s="1"/>
  <c r="K66" i="4" s="1"/>
  <c r="AJ34" i="4"/>
  <c r="AI76" i="4"/>
  <c r="AP41" i="4"/>
  <c r="B216" i="2"/>
  <c r="AP103" i="4"/>
  <c r="AJ66" i="4"/>
  <c r="I43" i="4"/>
  <c r="J43" i="4" s="1"/>
  <c r="K43" i="4" s="1"/>
  <c r="AI41" i="4"/>
  <c r="AI88" i="4"/>
  <c r="AJ62" i="4"/>
  <c r="AN107" i="4"/>
  <c r="AJ109" i="4"/>
  <c r="AJ107" i="4"/>
  <c r="AI107" i="4"/>
  <c r="AP107" i="4"/>
  <c r="AJ108" i="4"/>
  <c r="I108" i="4"/>
  <c r="J108" i="4" s="1"/>
  <c r="K108" i="4" s="1"/>
  <c r="J432" i="3"/>
  <c r="J118" i="3"/>
  <c r="J628" i="3"/>
  <c r="J682" i="3"/>
  <c r="J431" i="3"/>
  <c r="J76" i="3"/>
  <c r="J377" i="3"/>
  <c r="J315" i="3"/>
  <c r="J284" i="3"/>
  <c r="J320" i="3"/>
  <c r="J602" i="3"/>
  <c r="J170" i="3"/>
  <c r="J670" i="3"/>
  <c r="J378" i="3"/>
  <c r="J412" i="3"/>
  <c r="J285" i="3"/>
  <c r="J637" i="3"/>
  <c r="J129" i="3"/>
  <c r="J63" i="3"/>
  <c r="J488" i="3"/>
  <c r="J220" i="3"/>
  <c r="J635" i="3"/>
  <c r="J555" i="3"/>
  <c r="J60" i="3"/>
  <c r="J336" i="3"/>
  <c r="J443" i="3"/>
  <c r="J612" i="3"/>
  <c r="J548" i="3"/>
  <c r="J498" i="3"/>
  <c r="J410" i="3"/>
  <c r="J282" i="3"/>
  <c r="J196" i="3"/>
  <c r="J134" i="3"/>
  <c r="J348" i="3"/>
  <c r="J531" i="3"/>
  <c r="J65" i="3"/>
  <c r="J167" i="3"/>
  <c r="J634" i="3"/>
  <c r="J381" i="3"/>
  <c r="J653" i="3"/>
  <c r="J328" i="3"/>
  <c r="J517" i="3"/>
  <c r="J189" i="3"/>
  <c r="J68" i="3"/>
  <c r="J319" i="3"/>
  <c r="J213" i="3"/>
  <c r="J624" i="3"/>
  <c r="J538" i="3"/>
  <c r="J468" i="3"/>
  <c r="J306" i="3"/>
  <c r="J176" i="3"/>
  <c r="J270" i="3"/>
  <c r="J605" i="3"/>
  <c r="J293" i="3"/>
  <c r="J344" i="3"/>
  <c r="J543" i="3"/>
  <c r="J201" i="3"/>
  <c r="J359" i="3"/>
  <c r="J157" i="3"/>
  <c r="J451" i="3"/>
  <c r="J288" i="3"/>
  <c r="J33" i="3"/>
  <c r="J529" i="3"/>
  <c r="J114" i="3"/>
  <c r="J401" i="3"/>
  <c r="J313" i="3"/>
  <c r="J271" i="3"/>
  <c r="J187" i="3"/>
  <c r="J99" i="3"/>
  <c r="J625" i="3"/>
  <c r="J541" i="3"/>
  <c r="J471" i="3"/>
  <c r="J86" i="3"/>
  <c r="J52" i="3"/>
  <c r="J669" i="3"/>
  <c r="J165" i="3"/>
  <c r="J379" i="3"/>
  <c r="J51" i="3"/>
  <c r="J620" i="3"/>
  <c r="J588" i="3"/>
  <c r="J556" i="3"/>
  <c r="J647" i="3"/>
  <c r="J506" i="3"/>
  <c r="J474" i="3"/>
  <c r="J426" i="3"/>
  <c r="J362" i="3"/>
  <c r="J298" i="3"/>
  <c r="J276" i="3"/>
  <c r="J212" i="3"/>
  <c r="J148" i="3"/>
  <c r="J80" i="3"/>
  <c r="J230" i="3"/>
  <c r="J316" i="3"/>
  <c r="J444" i="3"/>
  <c r="J515" i="3"/>
  <c r="J565" i="3"/>
  <c r="J629" i="3"/>
  <c r="J87" i="3"/>
  <c r="J151" i="3"/>
  <c r="J215" i="3"/>
  <c r="J9" i="3"/>
  <c r="J301" i="3"/>
  <c r="J365" i="3"/>
  <c r="J429" i="3"/>
  <c r="J20" i="3"/>
  <c r="J539" i="3"/>
  <c r="J392" i="3"/>
  <c r="J178" i="3"/>
  <c r="J448" i="3"/>
  <c r="J78" i="3"/>
  <c r="J253" i="3"/>
  <c r="J672" i="3"/>
  <c r="J177" i="3"/>
  <c r="J70" i="3"/>
  <c r="J368" i="3"/>
  <c r="J461" i="3"/>
  <c r="J662" i="3"/>
  <c r="J367" i="3"/>
  <c r="J649" i="3"/>
  <c r="J592" i="3"/>
  <c r="J550" i="3"/>
  <c r="J520" i="3"/>
  <c r="J478" i="3"/>
  <c r="J414" i="3"/>
  <c r="J326" i="3"/>
  <c r="J21" i="3"/>
  <c r="J200" i="3"/>
  <c r="J100" i="3"/>
  <c r="J222" i="3"/>
  <c r="J356" i="3"/>
  <c r="J561" i="3"/>
  <c r="J123" i="3"/>
  <c r="J34" i="3"/>
  <c r="J421" i="3"/>
  <c r="J481" i="3"/>
  <c r="J469" i="3"/>
  <c r="J77" i="3"/>
  <c r="J169" i="3"/>
  <c r="J38" i="3"/>
  <c r="J343" i="3"/>
  <c r="J120" i="3"/>
  <c r="J181" i="3"/>
  <c r="J299" i="3"/>
  <c r="J94" i="3"/>
  <c r="J55" i="3"/>
  <c r="J633" i="3"/>
  <c r="J608" i="3"/>
  <c r="J586" i="3"/>
  <c r="J566" i="3"/>
  <c r="J544" i="3"/>
  <c r="J639" i="3"/>
  <c r="J516" i="3"/>
  <c r="J494" i="3"/>
  <c r="J472" i="3"/>
  <c r="J446" i="3"/>
  <c r="J402" i="3"/>
  <c r="J358" i="3"/>
  <c r="J318" i="3"/>
  <c r="J676" i="3"/>
  <c r="J272" i="3"/>
  <c r="J232" i="3"/>
  <c r="J188" i="3"/>
  <c r="J144" i="3"/>
  <c r="J84" i="3"/>
  <c r="J158" i="3"/>
  <c r="J246" i="3"/>
  <c r="J292" i="3"/>
  <c r="J372" i="3"/>
  <c r="J459" i="3"/>
  <c r="J503" i="3"/>
  <c r="J667" i="3"/>
  <c r="J573" i="3"/>
  <c r="J617" i="3"/>
  <c r="J41" i="3"/>
  <c r="J91" i="3"/>
  <c r="J131" i="3"/>
  <c r="J175" i="3"/>
  <c r="J219" i="3"/>
  <c r="J259" i="3"/>
  <c r="J650" i="3"/>
  <c r="J305" i="3"/>
  <c r="J345" i="3"/>
  <c r="J389" i="3"/>
  <c r="J433" i="3"/>
  <c r="J90" i="3"/>
  <c r="J619" i="3"/>
  <c r="J675" i="3"/>
  <c r="J465" i="3"/>
  <c r="J296" i="3"/>
  <c r="J162" i="3"/>
  <c r="J266" i="3"/>
  <c r="J501" i="3"/>
  <c r="J28" i="3"/>
  <c r="J323" i="3"/>
  <c r="J205" i="3"/>
  <c r="J40" i="3"/>
  <c r="J455" i="3"/>
  <c r="J145" i="3"/>
  <c r="J351" i="3"/>
  <c r="J249" i="3"/>
  <c r="J105" i="3"/>
  <c r="J383" i="3"/>
  <c r="J154" i="3"/>
  <c r="J193" i="3"/>
  <c r="J311" i="3"/>
  <c r="J58" i="3"/>
  <c r="J250" i="3"/>
  <c r="J54" i="3"/>
  <c r="J149" i="3"/>
  <c r="J245" i="3"/>
  <c r="J283" i="3"/>
  <c r="J363" i="3"/>
  <c r="J15" i="3"/>
  <c r="J303" i="3"/>
  <c r="J623" i="3"/>
  <c r="J47" i="3"/>
  <c r="J71" i="3"/>
  <c r="J641" i="3"/>
  <c r="J622" i="3"/>
  <c r="J610" i="3"/>
  <c r="J600" i="3"/>
  <c r="J590" i="3"/>
  <c r="J578" i="3"/>
  <c r="J568" i="3"/>
  <c r="J558" i="3"/>
  <c r="J546" i="3"/>
  <c r="J536" i="3"/>
  <c r="J655" i="3"/>
  <c r="J528" i="3"/>
  <c r="J518" i="3"/>
  <c r="J508" i="3"/>
  <c r="J496" i="3"/>
  <c r="J486" i="3"/>
  <c r="J476" i="3"/>
  <c r="J464" i="3"/>
  <c r="J450" i="3"/>
  <c r="J430" i="3"/>
  <c r="J406" i="3"/>
  <c r="J386" i="3"/>
  <c r="AJ47" i="4"/>
  <c r="AP47" i="4"/>
  <c r="AI47" i="4"/>
  <c r="I47" i="4"/>
  <c r="J47" i="4" s="1"/>
  <c r="K47" i="4" s="1"/>
  <c r="AP30" i="4"/>
  <c r="AI30" i="4"/>
  <c r="AJ30" i="4"/>
  <c r="J137" i="3"/>
  <c r="J415" i="3"/>
  <c r="J35" i="3"/>
  <c r="J209" i="3"/>
  <c r="J327" i="3"/>
  <c r="J102" i="3"/>
  <c r="J186" i="3"/>
  <c r="J56" i="3"/>
  <c r="J141" i="3"/>
  <c r="J221" i="3"/>
  <c r="J646" i="3"/>
  <c r="J355" i="3"/>
  <c r="J435" i="3"/>
  <c r="J61" i="3"/>
  <c r="J551" i="3"/>
  <c r="J485" i="3"/>
  <c r="J352" i="3"/>
  <c r="J202" i="3"/>
  <c r="J66" i="3"/>
  <c r="J194" i="3"/>
  <c r="J274" i="3"/>
  <c r="J312" i="3"/>
  <c r="J408" i="3"/>
  <c r="J473" i="3"/>
  <c r="J513" i="3"/>
  <c r="J547" i="3"/>
  <c r="J587" i="3"/>
  <c r="J627" i="3"/>
  <c r="J122" i="3"/>
  <c r="J82" i="3"/>
  <c r="J449" i="3"/>
  <c r="J425" i="3"/>
  <c r="J405" i="3"/>
  <c r="J385" i="3"/>
  <c r="J361" i="3"/>
  <c r="J341" i="3"/>
  <c r="J321" i="3"/>
  <c r="J297" i="3"/>
  <c r="J686" i="3"/>
  <c r="J642" i="3"/>
  <c r="J275" i="3"/>
  <c r="J255" i="3"/>
  <c r="J235" i="3"/>
  <c r="J211" i="3"/>
  <c r="J191" i="3"/>
  <c r="J171" i="3"/>
  <c r="J147" i="3"/>
  <c r="J127" i="3"/>
  <c r="J107" i="3"/>
  <c r="J83" i="3"/>
  <c r="J23" i="3"/>
  <c r="J49" i="3"/>
  <c r="J645" i="3"/>
  <c r="J609" i="3"/>
  <c r="J589" i="3"/>
  <c r="J569" i="3"/>
  <c r="J545" i="3"/>
  <c r="J651" i="3"/>
  <c r="J519" i="3"/>
  <c r="J495" i="3"/>
  <c r="J475" i="3"/>
  <c r="J452" i="3"/>
  <c r="J404" i="3"/>
  <c r="J364" i="3"/>
  <c r="J324" i="3"/>
  <c r="J684" i="3"/>
  <c r="J10" i="3"/>
  <c r="J238" i="3"/>
  <c r="J190" i="3"/>
  <c r="J150" i="3"/>
  <c r="J96" i="3"/>
  <c r="J92" i="3"/>
  <c r="J128" i="3"/>
  <c r="J152" i="3"/>
  <c r="J172" i="3"/>
  <c r="J192" i="3"/>
  <c r="J216" i="3"/>
  <c r="J236" i="3"/>
  <c r="J256" i="3"/>
  <c r="J12" i="3"/>
  <c r="J644" i="3"/>
  <c r="J278" i="3"/>
  <c r="J302" i="3"/>
  <c r="J322" i="3"/>
  <c r="J342" i="3"/>
  <c r="J366" i="3"/>
  <c r="J398" i="3"/>
  <c r="J438" i="3"/>
  <c r="J470" i="3"/>
  <c r="J492" i="3"/>
  <c r="J512" i="3"/>
  <c r="J631" i="3"/>
  <c r="J542" i="3"/>
  <c r="J562" i="3"/>
  <c r="J584" i="3"/>
  <c r="J606" i="3"/>
  <c r="J626" i="3"/>
  <c r="J59" i="3"/>
  <c r="J185" i="3"/>
  <c r="J411" i="3"/>
  <c r="J277" i="3"/>
  <c r="J117" i="3"/>
  <c r="J525" i="3"/>
  <c r="J257" i="3"/>
  <c r="J659" i="3"/>
  <c r="J559" i="3"/>
  <c r="J16" i="3"/>
  <c r="J400" i="3"/>
  <c r="J22" i="3"/>
  <c r="J583" i="3"/>
  <c r="J31" i="3"/>
  <c r="J376" i="3"/>
  <c r="J579" i="3"/>
  <c r="J453" i="3"/>
  <c r="J369" i="3"/>
  <c r="J281" i="3"/>
  <c r="J239" i="3"/>
  <c r="J155" i="3"/>
  <c r="J46" i="3"/>
  <c r="J593" i="3"/>
  <c r="J523" i="3"/>
  <c r="J420" i="3"/>
  <c r="J25" i="3"/>
  <c r="J112" i="3"/>
  <c r="J168" i="3"/>
  <c r="J252" i="3"/>
  <c r="J294" i="3"/>
  <c r="J382" i="3"/>
  <c r="J462" i="3"/>
  <c r="J504" i="3"/>
  <c r="J534" i="3"/>
  <c r="J576" i="3"/>
  <c r="J618" i="3"/>
  <c r="J44" i="3"/>
  <c r="J261" i="3"/>
  <c r="J575" i="3"/>
  <c r="J447" i="3"/>
  <c r="J371" i="3"/>
  <c r="J69" i="3"/>
  <c r="J207" i="3"/>
  <c r="J491" i="3"/>
  <c r="J142" i="3"/>
  <c r="J240" i="3"/>
  <c r="J370" i="3"/>
  <c r="J500" i="3"/>
  <c r="J570" i="3"/>
  <c r="J43" i="3"/>
  <c r="J133" i="3"/>
  <c r="J218" i="3"/>
  <c r="J121" i="3"/>
  <c r="J391" i="3"/>
  <c r="J339" i="3"/>
  <c r="J234" i="3"/>
  <c r="J489" i="3"/>
  <c r="J42" i="3"/>
  <c r="J333" i="3"/>
  <c r="J247" i="3"/>
  <c r="J119" i="3"/>
  <c r="J597" i="3"/>
  <c r="J483" i="3"/>
  <c r="J632" i="3"/>
  <c r="J108" i="3"/>
  <c r="J244" i="3"/>
  <c r="J330" i="3"/>
  <c r="J458" i="3"/>
  <c r="J522" i="3"/>
  <c r="J572" i="3"/>
  <c r="J657" i="3"/>
  <c r="J630" i="3"/>
  <c r="J30" i="3"/>
  <c r="J88" i="3"/>
  <c r="J396" i="3"/>
  <c r="J585" i="3"/>
  <c r="J143" i="3"/>
  <c r="J674" i="3"/>
  <c r="J441" i="3"/>
  <c r="J424" i="3"/>
  <c r="J535" i="3"/>
  <c r="AN54" i="4"/>
  <c r="AN32" i="4"/>
  <c r="AN43" i="4"/>
  <c r="AN97" i="4"/>
  <c r="AN51" i="4"/>
  <c r="AN28" i="4"/>
  <c r="J73" i="3"/>
  <c r="J436" i="3"/>
  <c r="J264" i="3"/>
  <c r="J510" i="3"/>
  <c r="J399" i="3"/>
  <c r="J607" i="3"/>
  <c r="J104" i="3"/>
  <c r="J445" i="3"/>
  <c r="J231" i="3"/>
  <c r="J581" i="3"/>
  <c r="J262" i="3"/>
  <c r="J260" i="3"/>
  <c r="J466" i="3"/>
  <c r="J580" i="3"/>
  <c r="J229" i="3"/>
  <c r="J251" i="3"/>
  <c r="J350" i="3"/>
  <c r="J347" i="3"/>
  <c r="J571" i="3"/>
  <c r="J164" i="3"/>
  <c r="J45" i="3"/>
  <c r="J217" i="3"/>
  <c r="J442" i="3"/>
  <c r="J456" i="3"/>
  <c r="J314" i="3"/>
  <c r="J532" i="3"/>
  <c r="AJ25" i="4"/>
  <c r="AN106" i="4"/>
  <c r="AN35" i="4"/>
  <c r="AN86" i="4"/>
  <c r="AN92" i="4"/>
  <c r="AN108" i="4"/>
  <c r="AN84" i="4"/>
  <c r="AN41" i="4"/>
  <c r="AN67" i="4"/>
  <c r="AI62" i="4"/>
  <c r="AN36" i="4"/>
  <c r="AI105" i="4"/>
  <c r="I109" i="4"/>
  <c r="J109" i="4" s="1"/>
  <c r="K109" i="4" s="1"/>
  <c r="I106" i="4"/>
  <c r="J106" i="4" s="1"/>
  <c r="K106" i="4" s="1"/>
  <c r="AJ105" i="4"/>
  <c r="AN101" i="4"/>
  <c r="AN87" i="4"/>
  <c r="AI109" i="4"/>
  <c r="AN77" i="4"/>
  <c r="AI106" i="4"/>
  <c r="AN90" i="4"/>
  <c r="AN98" i="4"/>
  <c r="J72" i="3"/>
  <c r="J242" i="3"/>
  <c r="J413" i="3"/>
  <c r="J199" i="3"/>
  <c r="J549" i="3"/>
  <c r="J198" i="3"/>
  <c r="J37" i="3"/>
  <c r="J482" i="3"/>
  <c r="J596" i="3"/>
  <c r="J101" i="3"/>
  <c r="J79" i="3"/>
  <c r="J434" i="3"/>
  <c r="J64" i="3"/>
  <c r="J654" i="3"/>
  <c r="J98" i="3"/>
  <c r="J613" i="3"/>
  <c r="J228" i="3"/>
  <c r="J564" i="3"/>
  <c r="J335" i="3"/>
  <c r="J652" i="3"/>
  <c r="J135" i="3"/>
  <c r="J514" i="3"/>
  <c r="J308" i="3"/>
  <c r="J349" i="3"/>
  <c r="J499" i="3"/>
  <c r="AN61" i="4"/>
  <c r="AN78" i="4"/>
  <c r="AN14" i="4"/>
  <c r="AN72" i="4"/>
  <c r="AN47" i="4"/>
  <c r="AN79" i="4"/>
  <c r="AP108" i="4"/>
  <c r="AI108" i="4"/>
  <c r="AP25" i="4"/>
  <c r="I25" i="4"/>
  <c r="J25" i="4" s="1"/>
  <c r="K25" i="4" s="1"/>
  <c r="AN48" i="4"/>
  <c r="AN59" i="4"/>
  <c r="AN30" i="4"/>
  <c r="AN44" i="4"/>
  <c r="AN95" i="4"/>
  <c r="AN65" i="4"/>
  <c r="AN31" i="4"/>
  <c r="AN76" i="4"/>
  <c r="AN29" i="4"/>
  <c r="AN27" i="4"/>
  <c r="AN81" i="4"/>
  <c r="AN12" i="4"/>
  <c r="AN94" i="4"/>
  <c r="AN33" i="4"/>
  <c r="AN9" i="4"/>
  <c r="B221" i="2" s="1"/>
  <c r="B222" i="2" s="1"/>
  <c r="AN103" i="4"/>
  <c r="AN40" i="4"/>
  <c r="AN56" i="4"/>
  <c r="AN100" i="4"/>
  <c r="AN80" i="4"/>
  <c r="AN17" i="4"/>
  <c r="B35" i="2"/>
  <c r="B159" i="2" s="1"/>
  <c r="B42" i="2"/>
  <c r="B51" i="2" s="1"/>
  <c r="AN11" i="4"/>
  <c r="AN88" i="4"/>
  <c r="AN53" i="4"/>
  <c r="AN75" i="4"/>
  <c r="AN62" i="4"/>
  <c r="AN99" i="4"/>
  <c r="AN83" i="4"/>
  <c r="AN18" i="4"/>
  <c r="AN66" i="4"/>
  <c r="AN73" i="4"/>
  <c r="AN69" i="4"/>
  <c r="AN102" i="4"/>
  <c r="AN37" i="4"/>
  <c r="AN16" i="4"/>
  <c r="AN104" i="4"/>
  <c r="AN50" i="4"/>
  <c r="AN55" i="4"/>
  <c r="C34" i="3"/>
  <c r="A683" i="3"/>
  <c r="AN22" i="4"/>
  <c r="AN58" i="4"/>
  <c r="D25" i="3"/>
  <c r="A682" i="3"/>
  <c r="D682" i="3" s="1"/>
  <c r="AP33" i="4"/>
  <c r="AJ33" i="4"/>
  <c r="AI33" i="4"/>
  <c r="D33" i="3"/>
  <c r="D24" i="3"/>
  <c r="E59" i="1"/>
  <c r="C12" i="3"/>
  <c r="D11" i="3"/>
  <c r="C32" i="3"/>
  <c r="D13" i="3"/>
  <c r="C29" i="3"/>
  <c r="C15" i="3"/>
  <c r="AN91" i="4"/>
  <c r="AM76" i="4"/>
  <c r="AM103" i="4"/>
  <c r="AM87" i="4"/>
  <c r="AM69" i="4"/>
  <c r="AM75" i="4"/>
  <c r="AM21" i="4"/>
  <c r="AM73" i="4"/>
  <c r="BG17" i="4"/>
  <c r="AM13" i="4"/>
  <c r="AM91" i="4"/>
  <c r="AM86" i="4"/>
  <c r="AM14" i="4"/>
  <c r="BG11" i="4"/>
  <c r="AM37" i="4"/>
  <c r="AM41" i="4"/>
  <c r="AM51" i="4"/>
  <c r="BG16" i="4"/>
  <c r="AM26" i="4"/>
  <c r="AM54" i="4"/>
  <c r="AM39" i="4"/>
  <c r="AM29" i="4"/>
  <c r="AM109" i="4"/>
  <c r="AM100" i="4"/>
  <c r="AM12" i="4"/>
  <c r="AM45" i="4"/>
  <c r="AM25" i="4"/>
  <c r="AM52" i="4"/>
  <c r="AM97" i="4"/>
  <c r="AM84" i="4"/>
  <c r="AM20" i="4"/>
  <c r="AM30" i="4"/>
  <c r="AM93" i="4"/>
  <c r="AM96" i="4"/>
  <c r="AM58" i="4"/>
  <c r="AM17" i="4"/>
  <c r="AM48" i="4"/>
  <c r="AM92" i="4"/>
  <c r="AM70" i="4"/>
  <c r="AM90" i="4"/>
  <c r="AM79" i="4"/>
  <c r="BG9" i="4"/>
  <c r="AM107" i="4"/>
  <c r="AM67" i="4"/>
  <c r="AM61" i="4"/>
  <c r="AM59" i="4"/>
  <c r="AM62" i="4"/>
  <c r="AM68" i="4"/>
  <c r="AM108" i="4"/>
  <c r="AM56" i="4"/>
  <c r="AM101" i="4"/>
  <c r="AM40" i="4"/>
  <c r="AM50" i="4"/>
  <c r="AM89" i="4"/>
  <c r="AM66" i="4"/>
  <c r="AM38" i="4"/>
  <c r="B72" i="4"/>
  <c r="AM74" i="4"/>
  <c r="AM11" i="4"/>
  <c r="AM15" i="4"/>
  <c r="AM85" i="4"/>
  <c r="AM71" i="4"/>
  <c r="BG15" i="4"/>
  <c r="AM19" i="4"/>
  <c r="AM72" i="4"/>
  <c r="AM88" i="4"/>
  <c r="AM47" i="4"/>
  <c r="BG13" i="4"/>
  <c r="AM16" i="4"/>
  <c r="AM18" i="4"/>
  <c r="BG14" i="4"/>
  <c r="AM44" i="4"/>
  <c r="AM78" i="4"/>
  <c r="AM102" i="4"/>
  <c r="AM46" i="4"/>
  <c r="BG12" i="4"/>
  <c r="AM9" i="4"/>
  <c r="AM77" i="4"/>
  <c r="AM57" i="4"/>
  <c r="AM43" i="4"/>
  <c r="AM34" i="4"/>
  <c r="AM95" i="4"/>
  <c r="AM49" i="4"/>
  <c r="AM55" i="4"/>
  <c r="AM94" i="4"/>
  <c r="AM83" i="4"/>
  <c r="AM23" i="4"/>
  <c r="AM32" i="4"/>
  <c r="AM99" i="4"/>
  <c r="AM24" i="4"/>
  <c r="AM80" i="4"/>
  <c r="AM104" i="4"/>
  <c r="AM31" i="4"/>
  <c r="AM105" i="4"/>
  <c r="AM22" i="4"/>
  <c r="AM81" i="4"/>
  <c r="AM64" i="4"/>
  <c r="AM28" i="4"/>
  <c r="AM42" i="4"/>
  <c r="AM82" i="4"/>
  <c r="AM98" i="4"/>
  <c r="AM65" i="4"/>
  <c r="AM36" i="4"/>
  <c r="AM63" i="4"/>
  <c r="AM27" i="4"/>
  <c r="AM53" i="4"/>
  <c r="AM33" i="4"/>
  <c r="AM60" i="4"/>
  <c r="AM106" i="4"/>
  <c r="AM35" i="4"/>
  <c r="D32" i="3"/>
  <c r="C31" i="3"/>
  <c r="D16" i="3"/>
  <c r="D26" i="3"/>
  <c r="C37" i="3"/>
  <c r="D30" i="3"/>
  <c r="C36" i="3"/>
  <c r="C11" i="3"/>
  <c r="D35" i="3"/>
  <c r="D34" i="3"/>
  <c r="D20" i="3"/>
  <c r="D10" i="3"/>
  <c r="D29" i="3"/>
  <c r="D27" i="3"/>
  <c r="C10" i="3"/>
  <c r="B147" i="2"/>
  <c r="G17" i="3" s="1"/>
  <c r="H17" i="3" s="1"/>
  <c r="E58" i="1"/>
  <c r="AI65" i="4"/>
  <c r="I65" i="4"/>
  <c r="AJ65" i="4"/>
  <c r="AP65" i="4"/>
  <c r="C24" i="3"/>
  <c r="B91" i="2"/>
  <c r="B276" i="2"/>
  <c r="C33" i="3"/>
  <c r="D23" i="3"/>
  <c r="D36" i="3"/>
  <c r="C9" i="3"/>
  <c r="C17" i="3"/>
  <c r="C16" i="3"/>
  <c r="D31" i="3"/>
  <c r="D18" i="3"/>
  <c r="C20" i="3"/>
  <c r="C18" i="3"/>
  <c r="D28" i="3"/>
  <c r="C28" i="3"/>
  <c r="C27" i="3"/>
  <c r="D15" i="3"/>
  <c r="D17" i="3"/>
  <c r="C22" i="3"/>
  <c r="C35" i="3"/>
  <c r="D19" i="3"/>
  <c r="C19" i="3"/>
  <c r="C23" i="3"/>
  <c r="D37" i="3"/>
  <c r="C14" i="3"/>
  <c r="D22" i="3"/>
  <c r="D9" i="3"/>
  <c r="C26" i="3"/>
  <c r="C30" i="3"/>
  <c r="D14" i="3"/>
  <c r="D12" i="3"/>
  <c r="C21" i="3"/>
  <c r="D21" i="3"/>
  <c r="C13" i="3"/>
  <c r="AQ38" i="3"/>
  <c r="A39" i="3"/>
  <c r="B38" i="3"/>
  <c r="AR38" i="3"/>
  <c r="C38" i="3"/>
  <c r="D38" i="3"/>
  <c r="AD132" i="4" l="1"/>
  <c r="L132" i="4"/>
  <c r="Z132" i="4" s="1"/>
  <c r="U132" i="4"/>
  <c r="V132" i="4" s="1"/>
  <c r="W132" i="4" s="1"/>
  <c r="N132" i="4"/>
  <c r="O132" i="4" s="1"/>
  <c r="Q132" i="4" s="1"/>
  <c r="X132" i="4"/>
  <c r="Y132" i="4" s="1"/>
  <c r="R132" i="4"/>
  <c r="S132" i="4" s="1"/>
  <c r="T132" i="4" s="1"/>
  <c r="R198" i="4"/>
  <c r="S198" i="4" s="1"/>
  <c r="T198" i="4" s="1"/>
  <c r="N184" i="4"/>
  <c r="O184" i="4" s="1"/>
  <c r="Q184" i="4" s="1"/>
  <c r="N192" i="4"/>
  <c r="O192" i="4" s="1"/>
  <c r="Q192" i="4" s="1"/>
  <c r="L201" i="4"/>
  <c r="AF201" i="4" s="1"/>
  <c r="X184" i="4"/>
  <c r="Y184" i="4" s="1"/>
  <c r="AD184" i="4"/>
  <c r="AE184" i="4" s="1"/>
  <c r="X201" i="4"/>
  <c r="Y201" i="4" s="1"/>
  <c r="AD192" i="4"/>
  <c r="X192" i="4"/>
  <c r="Y192" i="4" s="1"/>
  <c r="R201" i="4"/>
  <c r="S201" i="4" s="1"/>
  <c r="T201" i="4" s="1"/>
  <c r="R184" i="4"/>
  <c r="S184" i="4" s="1"/>
  <c r="T184" i="4" s="1"/>
  <c r="R192" i="4"/>
  <c r="S192" i="4" s="1"/>
  <c r="T192" i="4" s="1"/>
  <c r="U184" i="4"/>
  <c r="V184" i="4" s="1"/>
  <c r="W184" i="4" s="1"/>
  <c r="U201" i="4"/>
  <c r="V201" i="4" s="1"/>
  <c r="W201" i="4" s="1"/>
  <c r="N201" i="4"/>
  <c r="O201" i="4" s="1"/>
  <c r="Q201" i="4" s="1"/>
  <c r="L184" i="4"/>
  <c r="AB184" i="4" s="1"/>
  <c r="L192" i="4"/>
  <c r="AB192" i="4" s="1"/>
  <c r="U192" i="4"/>
  <c r="V192" i="4" s="1"/>
  <c r="W192" i="4" s="1"/>
  <c r="AD201" i="4"/>
  <c r="AE201" i="4" s="1"/>
  <c r="U198" i="4"/>
  <c r="V198" i="4" s="1"/>
  <c r="W198" i="4" s="1"/>
  <c r="AD121" i="4"/>
  <c r="AE121" i="4" s="1"/>
  <c r="N121" i="4"/>
  <c r="O121" i="4" s="1"/>
  <c r="Q121" i="4" s="1"/>
  <c r="AD166" i="4"/>
  <c r="AE166" i="4" s="1"/>
  <c r="N166" i="4"/>
  <c r="O166" i="4" s="1"/>
  <c r="Q166" i="4" s="1"/>
  <c r="U166" i="4"/>
  <c r="V166" i="4" s="1"/>
  <c r="W166" i="4" s="1"/>
  <c r="R166" i="4"/>
  <c r="S166" i="4" s="1"/>
  <c r="T166" i="4" s="1"/>
  <c r="X166" i="4"/>
  <c r="Y166" i="4" s="1"/>
  <c r="L166" i="4"/>
  <c r="AF166" i="4" s="1"/>
  <c r="AD198" i="4"/>
  <c r="AE198" i="4" s="1"/>
  <c r="R121" i="4"/>
  <c r="S121" i="4" s="1"/>
  <c r="T121" i="4" s="1"/>
  <c r="U121" i="4"/>
  <c r="V121" i="4" s="1"/>
  <c r="W121" i="4" s="1"/>
  <c r="X198" i="4"/>
  <c r="Y198" i="4" s="1"/>
  <c r="L198" i="4"/>
  <c r="Z198" i="4" s="1"/>
  <c r="X121" i="4"/>
  <c r="Y121" i="4" s="1"/>
  <c r="L121" i="4"/>
  <c r="M121" i="4" s="1"/>
  <c r="AA121" i="4" s="1"/>
  <c r="N198" i="4"/>
  <c r="O198" i="4" s="1"/>
  <c r="Q198" i="4" s="1"/>
  <c r="X170" i="4"/>
  <c r="Y170" i="4" s="1"/>
  <c r="X125" i="4"/>
  <c r="Y125" i="4" s="1"/>
  <c r="L125" i="4"/>
  <c r="AF125" i="4" s="1"/>
  <c r="R138" i="4"/>
  <c r="S138" i="4" s="1"/>
  <c r="T138" i="4" s="1"/>
  <c r="R200" i="4"/>
  <c r="S200" i="4" s="1"/>
  <c r="T200" i="4" s="1"/>
  <c r="AD200" i="4"/>
  <c r="AE200" i="4" s="1"/>
  <c r="L200" i="4"/>
  <c r="M200" i="4" s="1"/>
  <c r="AA200" i="4" s="1"/>
  <c r="X200" i="4"/>
  <c r="Y200" i="4" s="1"/>
  <c r="L186" i="4"/>
  <c r="M186" i="4" s="1"/>
  <c r="AA186" i="4" s="1"/>
  <c r="R183" i="4"/>
  <c r="S183" i="4" s="1"/>
  <c r="T183" i="4" s="1"/>
  <c r="N208" i="4"/>
  <c r="O208" i="4" s="1"/>
  <c r="Q208" i="4" s="1"/>
  <c r="U138" i="4"/>
  <c r="V138" i="4" s="1"/>
  <c r="W138" i="4" s="1"/>
  <c r="U208" i="4"/>
  <c r="V208" i="4" s="1"/>
  <c r="W208" i="4" s="1"/>
  <c r="X208" i="4"/>
  <c r="Y208" i="4" s="1"/>
  <c r="L208" i="4"/>
  <c r="AB208" i="4" s="1"/>
  <c r="AD208" i="4"/>
  <c r="AE208" i="4" s="1"/>
  <c r="R208" i="4"/>
  <c r="S208" i="4" s="1"/>
  <c r="T208" i="4" s="1"/>
  <c r="N170" i="4"/>
  <c r="O170" i="4" s="1"/>
  <c r="Q170" i="4" s="1"/>
  <c r="N125" i="4"/>
  <c r="O125" i="4" s="1"/>
  <c r="Q125" i="4" s="1"/>
  <c r="AD138" i="4"/>
  <c r="AE138" i="4" s="1"/>
  <c r="X138" i="4"/>
  <c r="Y138" i="4" s="1"/>
  <c r="N183" i="4"/>
  <c r="O183" i="4" s="1"/>
  <c r="Q183" i="4" s="1"/>
  <c r="N141" i="4"/>
  <c r="O141" i="4" s="1"/>
  <c r="Q141" i="4" s="1"/>
  <c r="X154" i="4"/>
  <c r="Y154" i="4" s="1"/>
  <c r="U186" i="4"/>
  <c r="V186" i="4" s="1"/>
  <c r="W186" i="4" s="1"/>
  <c r="R186" i="4"/>
  <c r="S186" i="4" s="1"/>
  <c r="T186" i="4" s="1"/>
  <c r="AD141" i="4"/>
  <c r="AE141" i="4" s="1"/>
  <c r="U127" i="4"/>
  <c r="V127" i="4" s="1"/>
  <c r="W127" i="4" s="1"/>
  <c r="U183" i="4"/>
  <c r="V183" i="4" s="1"/>
  <c r="W183" i="4" s="1"/>
  <c r="L138" i="4"/>
  <c r="M138" i="4" s="1"/>
  <c r="AA138" i="4" s="1"/>
  <c r="X183" i="4"/>
  <c r="Y183" i="4" s="1"/>
  <c r="R141" i="4"/>
  <c r="S141" i="4" s="1"/>
  <c r="T141" i="4" s="1"/>
  <c r="AD186" i="4"/>
  <c r="AE186" i="4" s="1"/>
  <c r="N186" i="4"/>
  <c r="O186" i="4" s="1"/>
  <c r="Q186" i="4" s="1"/>
  <c r="U141" i="4"/>
  <c r="V141" i="4" s="1"/>
  <c r="W141" i="4" s="1"/>
  <c r="X186" i="4"/>
  <c r="Y186" i="4" s="1"/>
  <c r="R154" i="4"/>
  <c r="S154" i="4" s="1"/>
  <c r="T154" i="4" s="1"/>
  <c r="X141" i="4"/>
  <c r="Y141" i="4" s="1"/>
  <c r="L127" i="4"/>
  <c r="AF127" i="4" s="1"/>
  <c r="AD183" i="4"/>
  <c r="AE183" i="4" s="1"/>
  <c r="N138" i="4"/>
  <c r="O138" i="4" s="1"/>
  <c r="Q138" i="4" s="1"/>
  <c r="L183" i="4"/>
  <c r="M183" i="4" s="1"/>
  <c r="AA183" i="4" s="1"/>
  <c r="L141" i="4"/>
  <c r="Z141" i="4" s="1"/>
  <c r="R170" i="4"/>
  <c r="S170" i="4" s="1"/>
  <c r="T170" i="4" s="1"/>
  <c r="U125" i="4"/>
  <c r="V125" i="4" s="1"/>
  <c r="W125" i="4" s="1"/>
  <c r="N154" i="4"/>
  <c r="O154" i="4" s="1"/>
  <c r="Q154" i="4" s="1"/>
  <c r="U170" i="4"/>
  <c r="V170" i="4" s="1"/>
  <c r="W170" i="4" s="1"/>
  <c r="AD125" i="4"/>
  <c r="AE125" i="4" s="1"/>
  <c r="R127" i="4"/>
  <c r="S127" i="4" s="1"/>
  <c r="T127" i="4" s="1"/>
  <c r="U200" i="4"/>
  <c r="V200" i="4" s="1"/>
  <c r="W200" i="4" s="1"/>
  <c r="N200" i="4"/>
  <c r="O200" i="4" s="1"/>
  <c r="Q200" i="4" s="1"/>
  <c r="AD170" i="4"/>
  <c r="AE170" i="4" s="1"/>
  <c r="U154" i="4"/>
  <c r="V154" i="4" s="1"/>
  <c r="W154" i="4" s="1"/>
  <c r="L154" i="4"/>
  <c r="AB154" i="4" s="1"/>
  <c r="AD127" i="4"/>
  <c r="AE127" i="4" s="1"/>
  <c r="N127" i="4"/>
  <c r="O127" i="4" s="1"/>
  <c r="Q127" i="4" s="1"/>
  <c r="AD154" i="4"/>
  <c r="AE154" i="4" s="1"/>
  <c r="R125" i="4"/>
  <c r="S125" i="4" s="1"/>
  <c r="T125" i="4" s="1"/>
  <c r="X127" i="4"/>
  <c r="Y127" i="4" s="1"/>
  <c r="L170" i="4"/>
  <c r="Z170" i="4" s="1"/>
  <c r="AD134" i="4"/>
  <c r="AE134" i="4" s="1"/>
  <c r="N147" i="4"/>
  <c r="O147" i="4" s="1"/>
  <c r="Q147" i="4" s="1"/>
  <c r="X134" i="4"/>
  <c r="Y134" i="4" s="1"/>
  <c r="AD188" i="4"/>
  <c r="AE188" i="4" s="1"/>
  <c r="N188" i="4"/>
  <c r="O188" i="4" s="1"/>
  <c r="Q188" i="4" s="1"/>
  <c r="R134" i="4"/>
  <c r="S134" i="4" s="1"/>
  <c r="T134" i="4" s="1"/>
  <c r="R188" i="4"/>
  <c r="S188" i="4" s="1"/>
  <c r="T188" i="4" s="1"/>
  <c r="L139" i="4"/>
  <c r="M139" i="4" s="1"/>
  <c r="AA139" i="4" s="1"/>
  <c r="AD150" i="4"/>
  <c r="AE150" i="4" s="1"/>
  <c r="R139" i="4"/>
  <c r="S139" i="4" s="1"/>
  <c r="T139" i="4" s="1"/>
  <c r="L150" i="4"/>
  <c r="AF150" i="4" s="1"/>
  <c r="U139" i="4"/>
  <c r="V139" i="4" s="1"/>
  <c r="W139" i="4" s="1"/>
  <c r="X150" i="4"/>
  <c r="Y150" i="4" s="1"/>
  <c r="AD139" i="4"/>
  <c r="AE139" i="4" s="1"/>
  <c r="U150" i="4"/>
  <c r="V150" i="4" s="1"/>
  <c r="W150" i="4" s="1"/>
  <c r="X139" i="4"/>
  <c r="Y139" i="4" s="1"/>
  <c r="U188" i="4"/>
  <c r="V188" i="4" s="1"/>
  <c r="W188" i="4" s="1"/>
  <c r="R150" i="4"/>
  <c r="S150" i="4" s="1"/>
  <c r="T150" i="4" s="1"/>
  <c r="N134" i="4"/>
  <c r="O134" i="4" s="1"/>
  <c r="Q134" i="4" s="1"/>
  <c r="U134" i="4"/>
  <c r="V134" i="4" s="1"/>
  <c r="W134" i="4" s="1"/>
  <c r="N139" i="4"/>
  <c r="O139" i="4" s="1"/>
  <c r="Q139" i="4" s="1"/>
  <c r="X188" i="4"/>
  <c r="Y188" i="4" s="1"/>
  <c r="N150" i="4"/>
  <c r="O150" i="4" s="1"/>
  <c r="Q150" i="4" s="1"/>
  <c r="L188" i="4"/>
  <c r="M188" i="4" s="1"/>
  <c r="AA188" i="4" s="1"/>
  <c r="L134" i="4"/>
  <c r="Z134" i="4" s="1"/>
  <c r="X118" i="4"/>
  <c r="Y118" i="4" s="1"/>
  <c r="N118" i="4"/>
  <c r="O118" i="4" s="1"/>
  <c r="Q118" i="4" s="1"/>
  <c r="AD205" i="4"/>
  <c r="AE205" i="4" s="1"/>
  <c r="N179" i="4"/>
  <c r="O179" i="4" s="1"/>
  <c r="Q179" i="4" s="1"/>
  <c r="L119" i="4"/>
  <c r="AF119" i="4" s="1"/>
  <c r="N171" i="4"/>
  <c r="O171" i="4" s="1"/>
  <c r="Q171" i="4" s="1"/>
  <c r="R119" i="4"/>
  <c r="S119" i="4" s="1"/>
  <c r="T119" i="4" s="1"/>
  <c r="L118" i="4"/>
  <c r="AB118" i="4" s="1"/>
  <c r="X171" i="4"/>
  <c r="Y171" i="4" s="1"/>
  <c r="L179" i="4"/>
  <c r="AF179" i="4" s="1"/>
  <c r="U119" i="4"/>
  <c r="V119" i="4" s="1"/>
  <c r="W119" i="4" s="1"/>
  <c r="U171" i="4"/>
  <c r="V171" i="4" s="1"/>
  <c r="W171" i="4" s="1"/>
  <c r="X179" i="4"/>
  <c r="Y179" i="4" s="1"/>
  <c r="X119" i="4"/>
  <c r="Y119" i="4" s="1"/>
  <c r="AD118" i="4"/>
  <c r="AE118" i="4" s="1"/>
  <c r="AD119" i="4"/>
  <c r="AE119" i="4" s="1"/>
  <c r="U118" i="4"/>
  <c r="V118" i="4" s="1"/>
  <c r="W118" i="4" s="1"/>
  <c r="R171" i="4"/>
  <c r="S171" i="4" s="1"/>
  <c r="T171" i="4" s="1"/>
  <c r="U179" i="4"/>
  <c r="V179" i="4" s="1"/>
  <c r="W179" i="4" s="1"/>
  <c r="AD179" i="4"/>
  <c r="AE179" i="4" s="1"/>
  <c r="N119" i="4"/>
  <c r="O119" i="4" s="1"/>
  <c r="Q119" i="4" s="1"/>
  <c r="AD171" i="4"/>
  <c r="AE171" i="4" s="1"/>
  <c r="R118" i="4"/>
  <c r="S118" i="4" s="1"/>
  <c r="T118" i="4" s="1"/>
  <c r="L171" i="4"/>
  <c r="AB171" i="4" s="1"/>
  <c r="R179" i="4"/>
  <c r="S179" i="4" s="1"/>
  <c r="T179" i="4" s="1"/>
  <c r="X204" i="4"/>
  <c r="Y204" i="4" s="1"/>
  <c r="U204" i="4"/>
  <c r="V204" i="4" s="1"/>
  <c r="W204" i="4" s="1"/>
  <c r="N204" i="4"/>
  <c r="O204" i="4" s="1"/>
  <c r="Q204" i="4" s="1"/>
  <c r="R205" i="4"/>
  <c r="S205" i="4" s="1"/>
  <c r="T205" i="4" s="1"/>
  <c r="U178" i="4"/>
  <c r="V178" i="4" s="1"/>
  <c r="W178" i="4" s="1"/>
  <c r="R178" i="4"/>
  <c r="S178" i="4" s="1"/>
  <c r="T178" i="4" s="1"/>
  <c r="AD204" i="4"/>
  <c r="AH204" i="4" s="1"/>
  <c r="X178" i="4"/>
  <c r="Y178" i="4" s="1"/>
  <c r="AH208" i="4"/>
  <c r="AH118" i="4"/>
  <c r="AH119" i="4"/>
  <c r="AH198" i="4"/>
  <c r="AH134" i="4"/>
  <c r="AH127" i="4"/>
  <c r="AH179" i="4"/>
  <c r="AH141" i="4"/>
  <c r="AH183" i="4"/>
  <c r="AE192" i="4"/>
  <c r="AH192" i="4"/>
  <c r="AH201" i="4"/>
  <c r="AH121" i="4"/>
  <c r="AH139" i="4"/>
  <c r="AH154" i="4"/>
  <c r="AH200" i="4"/>
  <c r="AH138" i="4"/>
  <c r="AH188" i="4"/>
  <c r="AH205" i="4"/>
  <c r="AH166" i="4"/>
  <c r="AE132" i="4"/>
  <c r="AH132" i="4"/>
  <c r="AH186" i="4"/>
  <c r="AH150" i="4"/>
  <c r="AH171" i="4"/>
  <c r="AH184" i="4"/>
  <c r="AH125" i="4"/>
  <c r="AH170" i="4"/>
  <c r="X189" i="4"/>
  <c r="Y189" i="4" s="1"/>
  <c r="U196" i="4"/>
  <c r="V196" i="4" s="1"/>
  <c r="W196" i="4" s="1"/>
  <c r="X147" i="4"/>
  <c r="Y147" i="4" s="1"/>
  <c r="N196" i="4"/>
  <c r="O196" i="4" s="1"/>
  <c r="Q196" i="4" s="1"/>
  <c r="AD178" i="4"/>
  <c r="L204" i="4"/>
  <c r="AF204" i="4" s="1"/>
  <c r="N205" i="4"/>
  <c r="O205" i="4" s="1"/>
  <c r="Q205" i="4" s="1"/>
  <c r="L178" i="4"/>
  <c r="AB178" i="4" s="1"/>
  <c r="X205" i="4"/>
  <c r="Y205" i="4" s="1"/>
  <c r="R204" i="4"/>
  <c r="S204" i="4" s="1"/>
  <c r="T204" i="4" s="1"/>
  <c r="L205" i="4"/>
  <c r="AF205" i="4" s="1"/>
  <c r="N178" i="4"/>
  <c r="O178" i="4" s="1"/>
  <c r="Q178" i="4" s="1"/>
  <c r="U205" i="4"/>
  <c r="V205" i="4" s="1"/>
  <c r="W205" i="4" s="1"/>
  <c r="X136" i="4"/>
  <c r="Y136" i="4" s="1"/>
  <c r="R189" i="4"/>
  <c r="S189" i="4" s="1"/>
  <c r="T189" i="4" s="1"/>
  <c r="AD147" i="4"/>
  <c r="L147" i="4"/>
  <c r="M147" i="4" s="1"/>
  <c r="AA147" i="4" s="1"/>
  <c r="U147" i="4"/>
  <c r="V147" i="4" s="1"/>
  <c r="W147" i="4" s="1"/>
  <c r="R147" i="4"/>
  <c r="S147" i="4" s="1"/>
  <c r="T147" i="4" s="1"/>
  <c r="L187" i="4"/>
  <c r="AF187" i="4" s="1"/>
  <c r="N187" i="4"/>
  <c r="O187" i="4" s="1"/>
  <c r="Q187" i="4" s="1"/>
  <c r="U187" i="4"/>
  <c r="V187" i="4" s="1"/>
  <c r="W187" i="4" s="1"/>
  <c r="U136" i="4"/>
  <c r="V136" i="4" s="1"/>
  <c r="W136" i="4" s="1"/>
  <c r="L136" i="4"/>
  <c r="AB136" i="4" s="1"/>
  <c r="L196" i="4"/>
  <c r="AB196" i="4" s="1"/>
  <c r="N189" i="4"/>
  <c r="O189" i="4" s="1"/>
  <c r="Q189" i="4" s="1"/>
  <c r="AD136" i="4"/>
  <c r="R187" i="4"/>
  <c r="S187" i="4" s="1"/>
  <c r="T187" i="4" s="1"/>
  <c r="U189" i="4"/>
  <c r="V189" i="4" s="1"/>
  <c r="W189" i="4" s="1"/>
  <c r="AD196" i="4"/>
  <c r="R136" i="4"/>
  <c r="S136" i="4" s="1"/>
  <c r="T136" i="4" s="1"/>
  <c r="AD187" i="4"/>
  <c r="X196" i="4"/>
  <c r="Y196" i="4" s="1"/>
  <c r="L189" i="4"/>
  <c r="Z189" i="4" s="1"/>
  <c r="X187" i="4"/>
  <c r="Y187" i="4" s="1"/>
  <c r="N136" i="4"/>
  <c r="O136" i="4" s="1"/>
  <c r="Q136" i="4" s="1"/>
  <c r="R196" i="4"/>
  <c r="S196" i="4" s="1"/>
  <c r="T196" i="4" s="1"/>
  <c r="AD189" i="4"/>
  <c r="AD193" i="4"/>
  <c r="X199" i="4"/>
  <c r="Y199" i="4" s="1"/>
  <c r="L193" i="4"/>
  <c r="AF193" i="4" s="1"/>
  <c r="N193" i="4"/>
  <c r="O193" i="4" s="1"/>
  <c r="Q193" i="4" s="1"/>
  <c r="X193" i="4"/>
  <c r="Y193" i="4" s="1"/>
  <c r="R193" i="4"/>
  <c r="S193" i="4" s="1"/>
  <c r="T193" i="4" s="1"/>
  <c r="U193" i="4"/>
  <c r="V193" i="4" s="1"/>
  <c r="W193" i="4" s="1"/>
  <c r="U129" i="4"/>
  <c r="V129" i="4" s="1"/>
  <c r="W129" i="4" s="1"/>
  <c r="N206" i="4"/>
  <c r="O206" i="4" s="1"/>
  <c r="Q206" i="4" s="1"/>
  <c r="L129" i="4"/>
  <c r="AB129" i="4" s="1"/>
  <c r="AD129" i="4"/>
  <c r="AD199" i="4"/>
  <c r="N199" i="4"/>
  <c r="O199" i="4" s="1"/>
  <c r="Q199" i="4" s="1"/>
  <c r="R206" i="4"/>
  <c r="S206" i="4" s="1"/>
  <c r="T206" i="4" s="1"/>
  <c r="R142" i="4"/>
  <c r="S142" i="4" s="1"/>
  <c r="T142" i="4" s="1"/>
  <c r="U206" i="4"/>
  <c r="V206" i="4" s="1"/>
  <c r="W206" i="4" s="1"/>
  <c r="L199" i="4"/>
  <c r="AF199" i="4" s="1"/>
  <c r="R129" i="4"/>
  <c r="S129" i="4" s="1"/>
  <c r="T129" i="4" s="1"/>
  <c r="AD206" i="4"/>
  <c r="N129" i="4"/>
  <c r="O129" i="4" s="1"/>
  <c r="Q129" i="4" s="1"/>
  <c r="X206" i="4"/>
  <c r="Y206" i="4" s="1"/>
  <c r="U199" i="4"/>
  <c r="V199" i="4" s="1"/>
  <c r="W199" i="4" s="1"/>
  <c r="R199" i="4"/>
  <c r="S199" i="4" s="1"/>
  <c r="T199" i="4" s="1"/>
  <c r="L206" i="4"/>
  <c r="Z206" i="4" s="1"/>
  <c r="X129" i="4"/>
  <c r="Y129" i="4" s="1"/>
  <c r="R197" i="4"/>
  <c r="S197" i="4" s="1"/>
  <c r="T197" i="4" s="1"/>
  <c r="E243" i="2"/>
  <c r="AD197" i="4"/>
  <c r="N197" i="4"/>
  <c r="O197" i="4" s="1"/>
  <c r="Q197" i="4" s="1"/>
  <c r="L155" i="4"/>
  <c r="AF155" i="4" s="1"/>
  <c r="L197" i="4"/>
  <c r="AB197" i="4" s="1"/>
  <c r="U197" i="4"/>
  <c r="V197" i="4" s="1"/>
  <c r="W197" i="4" s="1"/>
  <c r="X195" i="4"/>
  <c r="Y195" i="4" s="1"/>
  <c r="X197" i="4"/>
  <c r="Y197" i="4" s="1"/>
  <c r="N156" i="4"/>
  <c r="O156" i="4" s="1"/>
  <c r="Q156" i="4" s="1"/>
  <c r="X114" i="4"/>
  <c r="Y114" i="4" s="1"/>
  <c r="AD156" i="4"/>
  <c r="L174" i="4"/>
  <c r="M174" i="4" s="1"/>
  <c r="AA174" i="4" s="1"/>
  <c r="X181" i="4"/>
  <c r="Y181" i="4" s="1"/>
  <c r="AD145" i="4"/>
  <c r="K145" i="4"/>
  <c r="X130" i="4"/>
  <c r="Y130" i="4" s="1"/>
  <c r="K130" i="4"/>
  <c r="X167" i="4"/>
  <c r="Y167" i="4" s="1"/>
  <c r="K167" i="4"/>
  <c r="M111" i="4"/>
  <c r="AA111" i="4" s="1"/>
  <c r="AB111" i="4"/>
  <c r="X180" i="4"/>
  <c r="Y180" i="4" s="1"/>
  <c r="K180" i="4"/>
  <c r="U172" i="4"/>
  <c r="V172" i="4" s="1"/>
  <c r="W172" i="4" s="1"/>
  <c r="K172" i="4"/>
  <c r="U194" i="4"/>
  <c r="V194" i="4" s="1"/>
  <c r="W194" i="4" s="1"/>
  <c r="K194" i="4"/>
  <c r="L203" i="4"/>
  <c r="K203" i="4"/>
  <c r="L163" i="4"/>
  <c r="K163" i="4"/>
  <c r="R149" i="4"/>
  <c r="S149" i="4" s="1"/>
  <c r="T149" i="4" s="1"/>
  <c r="K149" i="4"/>
  <c r="L80" i="4"/>
  <c r="K80" i="4"/>
  <c r="U182" i="4"/>
  <c r="V182" i="4" s="1"/>
  <c r="W182" i="4" s="1"/>
  <c r="K182" i="4"/>
  <c r="U177" i="4"/>
  <c r="V177" i="4" s="1"/>
  <c r="W177" i="4" s="1"/>
  <c r="K177" i="4"/>
  <c r="X133" i="4"/>
  <c r="Y133" i="4" s="1"/>
  <c r="K133" i="4"/>
  <c r="N114" i="4"/>
  <c r="O114" i="4" s="1"/>
  <c r="Q114" i="4" s="1"/>
  <c r="K114" i="4"/>
  <c r="L48" i="4"/>
  <c r="K48" i="4"/>
  <c r="X157" i="4"/>
  <c r="Y157" i="4" s="1"/>
  <c r="K157" i="4"/>
  <c r="U152" i="4"/>
  <c r="V152" i="4" s="1"/>
  <c r="W152" i="4" s="1"/>
  <c r="K152" i="4"/>
  <c r="X202" i="4"/>
  <c r="Y202" i="4" s="1"/>
  <c r="K202" i="4"/>
  <c r="U162" i="4"/>
  <c r="V162" i="4" s="1"/>
  <c r="W162" i="4" s="1"/>
  <c r="AD140" i="4"/>
  <c r="K140" i="4"/>
  <c r="U142" i="4"/>
  <c r="V142" i="4" s="1"/>
  <c r="W142" i="4" s="1"/>
  <c r="AD163" i="4"/>
  <c r="AD151" i="4"/>
  <c r="K151" i="4"/>
  <c r="X168" i="4"/>
  <c r="Y168" i="4" s="1"/>
  <c r="K168" i="4"/>
  <c r="N163" i="4"/>
  <c r="O163" i="4" s="1"/>
  <c r="Q163" i="4" s="1"/>
  <c r="X112" i="4"/>
  <c r="Y112" i="4" s="1"/>
  <c r="K112" i="4"/>
  <c r="R195" i="4"/>
  <c r="S195" i="4" s="1"/>
  <c r="T195" i="4" s="1"/>
  <c r="K195" i="4"/>
  <c r="N158" i="4"/>
  <c r="O158" i="4" s="1"/>
  <c r="Q158" i="4" s="1"/>
  <c r="K158" i="4"/>
  <c r="R135" i="4"/>
  <c r="S135" i="4" s="1"/>
  <c r="T135" i="4" s="1"/>
  <c r="K135" i="4"/>
  <c r="N143" i="4"/>
  <c r="O143" i="4" s="1"/>
  <c r="Q143" i="4" s="1"/>
  <c r="K143" i="4"/>
  <c r="U169" i="4"/>
  <c r="V169" i="4" s="1"/>
  <c r="W169" i="4" s="1"/>
  <c r="K169" i="4"/>
  <c r="X113" i="4"/>
  <c r="Y113" i="4" s="1"/>
  <c r="K113" i="4"/>
  <c r="AD123" i="4"/>
  <c r="K123" i="4"/>
  <c r="N111" i="4"/>
  <c r="O111" i="4" s="1"/>
  <c r="Q111" i="4" s="1"/>
  <c r="K111" i="4"/>
  <c r="AF111" i="4" s="1"/>
  <c r="L162" i="4"/>
  <c r="K162" i="4"/>
  <c r="AD120" i="4"/>
  <c r="K120" i="4"/>
  <c r="U126" i="4"/>
  <c r="V126" i="4" s="1"/>
  <c r="W126" i="4" s="1"/>
  <c r="K126" i="4"/>
  <c r="N181" i="4"/>
  <c r="O181" i="4" s="1"/>
  <c r="Q181" i="4" s="1"/>
  <c r="K181" i="4"/>
  <c r="AD131" i="4"/>
  <c r="K131" i="4"/>
  <c r="X191" i="4"/>
  <c r="Y191" i="4" s="1"/>
  <c r="K191" i="4"/>
  <c r="AD207" i="4"/>
  <c r="K207" i="4"/>
  <c r="U190" i="4"/>
  <c r="V190" i="4" s="1"/>
  <c r="W190" i="4" s="1"/>
  <c r="K190" i="4"/>
  <c r="U122" i="4"/>
  <c r="V122" i="4" s="1"/>
  <c r="W122" i="4" s="1"/>
  <c r="K122" i="4"/>
  <c r="AD203" i="4"/>
  <c r="N203" i="4"/>
  <c r="O203" i="4" s="1"/>
  <c r="Q203" i="4" s="1"/>
  <c r="X124" i="4"/>
  <c r="Y124" i="4" s="1"/>
  <c r="K124" i="4"/>
  <c r="U185" i="4"/>
  <c r="V185" i="4" s="1"/>
  <c r="W185" i="4" s="1"/>
  <c r="K185" i="4"/>
  <c r="AD137" i="4"/>
  <c r="K137" i="4"/>
  <c r="X173" i="4"/>
  <c r="Y173" i="4" s="1"/>
  <c r="K173" i="4"/>
  <c r="R174" i="4"/>
  <c r="S174" i="4" s="1"/>
  <c r="T174" i="4" s="1"/>
  <c r="U111" i="4"/>
  <c r="V111" i="4" s="1"/>
  <c r="W111" i="4" s="1"/>
  <c r="X165" i="4"/>
  <c r="Y165" i="4" s="1"/>
  <c r="K165" i="4"/>
  <c r="AD174" i="4"/>
  <c r="U116" i="4"/>
  <c r="V116" i="4" s="1"/>
  <c r="W116" i="4" s="1"/>
  <c r="K116" i="4"/>
  <c r="R163" i="4"/>
  <c r="S163" i="4" s="1"/>
  <c r="T163" i="4" s="1"/>
  <c r="N146" i="4"/>
  <c r="O146" i="4" s="1"/>
  <c r="Q146" i="4" s="1"/>
  <c r="K146" i="4"/>
  <c r="X175" i="4"/>
  <c r="Y175" i="4" s="1"/>
  <c r="K175" i="4"/>
  <c r="AD209" i="4"/>
  <c r="K209" i="4"/>
  <c r="X160" i="4"/>
  <c r="Y160" i="4" s="1"/>
  <c r="K160" i="4"/>
  <c r="A44" i="16"/>
  <c r="L44" i="16" s="1"/>
  <c r="L65" i="16" s="1"/>
  <c r="N65" i="16" s="1"/>
  <c r="X156" i="4"/>
  <c r="Y156" i="4" s="1"/>
  <c r="L156" i="4"/>
  <c r="L114" i="4"/>
  <c r="X174" i="4"/>
  <c r="Y174" i="4" s="1"/>
  <c r="L181" i="4"/>
  <c r="N174" i="4"/>
  <c r="O174" i="4" s="1"/>
  <c r="Q174" i="4" s="1"/>
  <c r="L135" i="4"/>
  <c r="L158" i="4"/>
  <c r="L143" i="4"/>
  <c r="X135" i="4"/>
  <c r="Y135" i="4" s="1"/>
  <c r="AD148" i="4"/>
  <c r="U146" i="4"/>
  <c r="V146" i="4" s="1"/>
  <c r="W146" i="4" s="1"/>
  <c r="U175" i="4"/>
  <c r="V175" i="4" s="1"/>
  <c r="W175" i="4" s="1"/>
  <c r="AD158" i="4"/>
  <c r="N112" i="4"/>
  <c r="O112" i="4" s="1"/>
  <c r="Q112" i="4" s="1"/>
  <c r="N135" i="4"/>
  <c r="O135" i="4" s="1"/>
  <c r="Q135" i="4" s="1"/>
  <c r="AD112" i="4"/>
  <c r="X143" i="4"/>
  <c r="Y143" i="4" s="1"/>
  <c r="U135" i="4"/>
  <c r="V135" i="4" s="1"/>
  <c r="W135" i="4" s="1"/>
  <c r="X155" i="4"/>
  <c r="Y155" i="4" s="1"/>
  <c r="U155" i="4"/>
  <c r="V155" i="4" s="1"/>
  <c r="W155" i="4" s="1"/>
  <c r="X158" i="4"/>
  <c r="Y158" i="4" s="1"/>
  <c r="AD143" i="4"/>
  <c r="R175" i="4"/>
  <c r="S175" i="4" s="1"/>
  <c r="T175" i="4" s="1"/>
  <c r="AD195" i="4"/>
  <c r="AD135" i="4"/>
  <c r="N195" i="4"/>
  <c r="O195" i="4" s="1"/>
  <c r="Q195" i="4" s="1"/>
  <c r="U112" i="4"/>
  <c r="V112" i="4" s="1"/>
  <c r="W112" i="4" s="1"/>
  <c r="R143" i="4"/>
  <c r="S143" i="4" s="1"/>
  <c r="T143" i="4" s="1"/>
  <c r="R148" i="4"/>
  <c r="S148" i="4" s="1"/>
  <c r="T148" i="4" s="1"/>
  <c r="R155" i="4"/>
  <c r="S155" i="4" s="1"/>
  <c r="T155" i="4" s="1"/>
  <c r="AD155" i="4"/>
  <c r="R112" i="4"/>
  <c r="S112" i="4" s="1"/>
  <c r="T112" i="4" s="1"/>
  <c r="L195" i="4"/>
  <c r="N155" i="4"/>
  <c r="O155" i="4" s="1"/>
  <c r="Q155" i="4" s="1"/>
  <c r="L112" i="4"/>
  <c r="U143" i="4"/>
  <c r="V143" i="4" s="1"/>
  <c r="W143" i="4" s="1"/>
  <c r="U195" i="4"/>
  <c r="V195" i="4" s="1"/>
  <c r="W195" i="4" s="1"/>
  <c r="L209" i="4"/>
  <c r="U123" i="4"/>
  <c r="V123" i="4" s="1"/>
  <c r="W123" i="4" s="1"/>
  <c r="X126" i="4"/>
  <c r="Y126" i="4" s="1"/>
  <c r="X148" i="4"/>
  <c r="Y148" i="4" s="1"/>
  <c r="AD160" i="4"/>
  <c r="L160" i="4"/>
  <c r="R158" i="4"/>
  <c r="S158" i="4" s="1"/>
  <c r="T158" i="4" s="1"/>
  <c r="U117" i="4"/>
  <c r="V117" i="4" s="1"/>
  <c r="W117" i="4" s="1"/>
  <c r="R146" i="4"/>
  <c r="S146" i="4" s="1"/>
  <c r="T146" i="4" s="1"/>
  <c r="R117" i="4"/>
  <c r="S117" i="4" s="1"/>
  <c r="T117" i="4" s="1"/>
  <c r="X117" i="4"/>
  <c r="Y117" i="4" s="1"/>
  <c r="X152" i="4"/>
  <c r="Y152" i="4" s="1"/>
  <c r="R209" i="4"/>
  <c r="S209" i="4" s="1"/>
  <c r="T209" i="4" s="1"/>
  <c r="L148" i="4"/>
  <c r="N148" i="4"/>
  <c r="O148" i="4" s="1"/>
  <c r="Q148" i="4" s="1"/>
  <c r="U148" i="4"/>
  <c r="V148" i="4" s="1"/>
  <c r="W148" i="4" s="1"/>
  <c r="U209" i="4"/>
  <c r="V209" i="4" s="1"/>
  <c r="W209" i="4" s="1"/>
  <c r="X146" i="4"/>
  <c r="Y146" i="4" s="1"/>
  <c r="L146" i="4"/>
  <c r="AD146" i="4"/>
  <c r="N117" i="4"/>
  <c r="O117" i="4" s="1"/>
  <c r="Q117" i="4" s="1"/>
  <c r="N175" i="4"/>
  <c r="O175" i="4" s="1"/>
  <c r="Q175" i="4" s="1"/>
  <c r="N209" i="4"/>
  <c r="O209" i="4" s="1"/>
  <c r="Q209" i="4" s="1"/>
  <c r="AD175" i="4"/>
  <c r="U160" i="4"/>
  <c r="V160" i="4" s="1"/>
  <c r="W160" i="4" s="1"/>
  <c r="R160" i="4"/>
  <c r="S160" i="4" s="1"/>
  <c r="T160" i="4" s="1"/>
  <c r="AD191" i="4"/>
  <c r="X209" i="4"/>
  <c r="Y209" i="4" s="1"/>
  <c r="AD117" i="4"/>
  <c r="L117" i="4"/>
  <c r="L175" i="4"/>
  <c r="AD180" i="4"/>
  <c r="N160" i="4"/>
  <c r="O160" i="4" s="1"/>
  <c r="Q160" i="4" s="1"/>
  <c r="X176" i="4"/>
  <c r="Y176" i="4" s="1"/>
  <c r="U176" i="4"/>
  <c r="V176" i="4" s="1"/>
  <c r="W176" i="4" s="1"/>
  <c r="AD130" i="4"/>
  <c r="X149" i="4"/>
  <c r="Y149" i="4" s="1"/>
  <c r="R162" i="4"/>
  <c r="S162" i="4" s="1"/>
  <c r="T162" i="4" s="1"/>
  <c r="AD111" i="4"/>
  <c r="U151" i="4"/>
  <c r="V151" i="4" s="1"/>
  <c r="W151" i="4" s="1"/>
  <c r="U163" i="4"/>
  <c r="V163" i="4" s="1"/>
  <c r="W163" i="4" s="1"/>
  <c r="X145" i="4"/>
  <c r="Y145" i="4" s="1"/>
  <c r="U156" i="4"/>
  <c r="V156" i="4" s="1"/>
  <c r="W156" i="4" s="1"/>
  <c r="AD114" i="4"/>
  <c r="R156" i="4"/>
  <c r="S156" i="4" s="1"/>
  <c r="T156" i="4" s="1"/>
  <c r="X203" i="4"/>
  <c r="Y203" i="4" s="1"/>
  <c r="U149" i="4"/>
  <c r="V149" i="4" s="1"/>
  <c r="W149" i="4" s="1"/>
  <c r="R203" i="4"/>
  <c r="S203" i="4" s="1"/>
  <c r="T203" i="4" s="1"/>
  <c r="AD185" i="4"/>
  <c r="AD202" i="4"/>
  <c r="U173" i="4"/>
  <c r="V173" i="4" s="1"/>
  <c r="W173" i="4" s="1"/>
  <c r="U181" i="4"/>
  <c r="V181" i="4" s="1"/>
  <c r="W181" i="4" s="1"/>
  <c r="X142" i="4"/>
  <c r="Y142" i="4" s="1"/>
  <c r="U174" i="4"/>
  <c r="V174" i="4" s="1"/>
  <c r="W174" i="4" s="1"/>
  <c r="L149" i="4"/>
  <c r="R111" i="4"/>
  <c r="S111" i="4" s="1"/>
  <c r="T111" i="4" s="1"/>
  <c r="X111" i="4"/>
  <c r="Y111" i="4" s="1"/>
  <c r="L142" i="4"/>
  <c r="N142" i="4"/>
  <c r="O142" i="4" s="1"/>
  <c r="Q142" i="4" s="1"/>
  <c r="N149" i="4"/>
  <c r="O149" i="4" s="1"/>
  <c r="Q149" i="4" s="1"/>
  <c r="X169" i="4"/>
  <c r="Y169" i="4" s="1"/>
  <c r="U145" i="4"/>
  <c r="V145" i="4" s="1"/>
  <c r="W145" i="4" s="1"/>
  <c r="U114" i="4"/>
  <c r="V114" i="4" s="1"/>
  <c r="W114" i="4" s="1"/>
  <c r="U203" i="4"/>
  <c r="V203" i="4" s="1"/>
  <c r="W203" i="4" s="1"/>
  <c r="AD149" i="4"/>
  <c r="N162" i="4"/>
  <c r="O162" i="4" s="1"/>
  <c r="Q162" i="4" s="1"/>
  <c r="AD124" i="4"/>
  <c r="AD152" i="4"/>
  <c r="X185" i="4"/>
  <c r="Y185" i="4" s="1"/>
  <c r="AD162" i="4"/>
  <c r="U120" i="4"/>
  <c r="V120" i="4" s="1"/>
  <c r="W120" i="4" s="1"/>
  <c r="AD181" i="4"/>
  <c r="AD142" i="4"/>
  <c r="U165" i="4"/>
  <c r="V165" i="4" s="1"/>
  <c r="W165" i="4" s="1"/>
  <c r="X163" i="4"/>
  <c r="Y163" i="4" s="1"/>
  <c r="R181" i="4"/>
  <c r="S181" i="4" s="1"/>
  <c r="T181" i="4" s="1"/>
  <c r="U158" i="4"/>
  <c r="V158" i="4" s="1"/>
  <c r="W158" i="4" s="1"/>
  <c r="AD168" i="4"/>
  <c r="AD116" i="4"/>
  <c r="U191" i="4"/>
  <c r="V191" i="4" s="1"/>
  <c r="W191" i="4" s="1"/>
  <c r="AD169" i="4"/>
  <c r="AD190" i="4"/>
  <c r="U180" i="4"/>
  <c r="V180" i="4" s="1"/>
  <c r="W180" i="4" s="1"/>
  <c r="U157" i="4"/>
  <c r="V157" i="4" s="1"/>
  <c r="W157" i="4" s="1"/>
  <c r="AD173" i="4"/>
  <c r="AD176" i="4"/>
  <c r="X123" i="4"/>
  <c r="Y123" i="4" s="1"/>
  <c r="X131" i="4"/>
  <c r="Y131" i="4" s="1"/>
  <c r="AD194" i="4"/>
  <c r="U168" i="4"/>
  <c r="V168" i="4" s="1"/>
  <c r="W168" i="4" s="1"/>
  <c r="X116" i="4"/>
  <c r="Y116" i="4" s="1"/>
  <c r="U167" i="4"/>
  <c r="V167" i="4" s="1"/>
  <c r="W167" i="4" s="1"/>
  <c r="AD167" i="4"/>
  <c r="AD133" i="4"/>
  <c r="X190" i="4"/>
  <c r="Y190" i="4" s="1"/>
  <c r="L115" i="4"/>
  <c r="N115" i="4"/>
  <c r="O115" i="4" s="1"/>
  <c r="Q115" i="4" s="1"/>
  <c r="R115" i="4"/>
  <c r="S115" i="4" s="1"/>
  <c r="T115" i="4" s="1"/>
  <c r="U110" i="4"/>
  <c r="V110" i="4" s="1"/>
  <c r="W110" i="4" s="1"/>
  <c r="R110" i="4"/>
  <c r="S110" i="4" s="1"/>
  <c r="T110" i="4" s="1"/>
  <c r="L110" i="4"/>
  <c r="N110" i="4"/>
  <c r="O110" i="4" s="1"/>
  <c r="Q110" i="4" s="1"/>
  <c r="L144" i="4"/>
  <c r="R144" i="4"/>
  <c r="S144" i="4" s="1"/>
  <c r="T144" i="4" s="1"/>
  <c r="N144" i="4"/>
  <c r="O144" i="4" s="1"/>
  <c r="Q144" i="4" s="1"/>
  <c r="X110" i="4"/>
  <c r="Y110" i="4" s="1"/>
  <c r="R153" i="4"/>
  <c r="S153" i="4" s="1"/>
  <c r="T153" i="4" s="1"/>
  <c r="N153" i="4"/>
  <c r="O153" i="4" s="1"/>
  <c r="Q153" i="4" s="1"/>
  <c r="L153" i="4"/>
  <c r="L164" i="4"/>
  <c r="N164" i="4"/>
  <c r="O164" i="4" s="1"/>
  <c r="Q164" i="4" s="1"/>
  <c r="R164" i="4"/>
  <c r="S164" i="4" s="1"/>
  <c r="T164" i="4" s="1"/>
  <c r="L161" i="4"/>
  <c r="R161" i="4"/>
  <c r="S161" i="4" s="1"/>
  <c r="T161" i="4" s="1"/>
  <c r="N161" i="4"/>
  <c r="O161" i="4" s="1"/>
  <c r="Q161" i="4" s="1"/>
  <c r="AD115" i="4"/>
  <c r="N191" i="4"/>
  <c r="O191" i="4" s="1"/>
  <c r="Q191" i="4" s="1"/>
  <c r="L191" i="4"/>
  <c r="R191" i="4"/>
  <c r="S191" i="4" s="1"/>
  <c r="T191" i="4" s="1"/>
  <c r="L169" i="4"/>
  <c r="R169" i="4"/>
  <c r="S169" i="4" s="1"/>
  <c r="T169" i="4" s="1"/>
  <c r="N169" i="4"/>
  <c r="O169" i="4" s="1"/>
  <c r="Q169" i="4" s="1"/>
  <c r="U207" i="4"/>
  <c r="V207" i="4" s="1"/>
  <c r="W207" i="4" s="1"/>
  <c r="X128" i="4"/>
  <c r="Y128" i="4" s="1"/>
  <c r="R128" i="4"/>
  <c r="S128" i="4" s="1"/>
  <c r="T128" i="4" s="1"/>
  <c r="N128" i="4"/>
  <c r="O128" i="4" s="1"/>
  <c r="Q128" i="4" s="1"/>
  <c r="L128" i="4"/>
  <c r="N159" i="4"/>
  <c r="O159" i="4" s="1"/>
  <c r="Q159" i="4" s="1"/>
  <c r="R159" i="4"/>
  <c r="S159" i="4" s="1"/>
  <c r="T159" i="4" s="1"/>
  <c r="L159" i="4"/>
  <c r="R167" i="4"/>
  <c r="S167" i="4" s="1"/>
  <c r="T167" i="4" s="1"/>
  <c r="L167" i="4"/>
  <c r="N167" i="4"/>
  <c r="O167" i="4" s="1"/>
  <c r="Q167" i="4" s="1"/>
  <c r="AD144" i="4"/>
  <c r="U153" i="4"/>
  <c r="V153" i="4" s="1"/>
  <c r="W153" i="4" s="1"/>
  <c r="X164" i="4"/>
  <c r="Y164" i="4" s="1"/>
  <c r="AD172" i="4"/>
  <c r="AD182" i="4"/>
  <c r="N173" i="4"/>
  <c r="O173" i="4" s="1"/>
  <c r="Q173" i="4" s="1"/>
  <c r="R173" i="4"/>
  <c r="S173" i="4" s="1"/>
  <c r="T173" i="4" s="1"/>
  <c r="L173" i="4"/>
  <c r="AD128" i="4"/>
  <c r="L176" i="4"/>
  <c r="R176" i="4"/>
  <c r="S176" i="4" s="1"/>
  <c r="T176" i="4" s="1"/>
  <c r="N176" i="4"/>
  <c r="O176" i="4" s="1"/>
  <c r="Q176" i="4" s="1"/>
  <c r="R123" i="4"/>
  <c r="S123" i="4" s="1"/>
  <c r="T123" i="4" s="1"/>
  <c r="N123" i="4"/>
  <c r="O123" i="4" s="1"/>
  <c r="Q123" i="4" s="1"/>
  <c r="L123" i="4"/>
  <c r="U140" i="4"/>
  <c r="V140" i="4" s="1"/>
  <c r="W140" i="4" s="1"/>
  <c r="AD122" i="4"/>
  <c r="AD159" i="4"/>
  <c r="R168" i="4"/>
  <c r="S168" i="4" s="1"/>
  <c r="T168" i="4" s="1"/>
  <c r="L168" i="4"/>
  <c r="N168" i="4"/>
  <c r="O168" i="4" s="1"/>
  <c r="Q168" i="4" s="1"/>
  <c r="N116" i="4"/>
  <c r="O116" i="4" s="1"/>
  <c r="Q116" i="4" s="1"/>
  <c r="L116" i="4"/>
  <c r="R116" i="4"/>
  <c r="S116" i="4" s="1"/>
  <c r="T116" i="4" s="1"/>
  <c r="AD161" i="4"/>
  <c r="U115" i="4"/>
  <c r="V115" i="4" s="1"/>
  <c r="W115" i="4" s="1"/>
  <c r="N113" i="4"/>
  <c r="O113" i="4" s="1"/>
  <c r="Q113" i="4" s="1"/>
  <c r="L113" i="4"/>
  <c r="R113" i="4"/>
  <c r="S113" i="4" s="1"/>
  <c r="T113" i="4" s="1"/>
  <c r="L133" i="4"/>
  <c r="R133" i="4"/>
  <c r="S133" i="4" s="1"/>
  <c r="T133" i="4" s="1"/>
  <c r="N133" i="4"/>
  <c r="O133" i="4" s="1"/>
  <c r="Q133" i="4" s="1"/>
  <c r="U144" i="4"/>
  <c r="V144" i="4" s="1"/>
  <c r="W144" i="4" s="1"/>
  <c r="AD110" i="4"/>
  <c r="R124" i="4"/>
  <c r="S124" i="4" s="1"/>
  <c r="T124" i="4" s="1"/>
  <c r="N124" i="4"/>
  <c r="O124" i="4" s="1"/>
  <c r="Q124" i="4" s="1"/>
  <c r="L124" i="4"/>
  <c r="X153" i="4"/>
  <c r="Y153" i="4" s="1"/>
  <c r="U164" i="4"/>
  <c r="V164" i="4" s="1"/>
  <c r="W164" i="4" s="1"/>
  <c r="R202" i="4"/>
  <c r="S202" i="4" s="1"/>
  <c r="T202" i="4" s="1"/>
  <c r="N202" i="4"/>
  <c r="O202" i="4" s="1"/>
  <c r="Q202" i="4" s="1"/>
  <c r="L202" i="4"/>
  <c r="U137" i="4"/>
  <c r="V137" i="4" s="1"/>
  <c r="W137" i="4" s="1"/>
  <c r="R137" i="4"/>
  <c r="S137" i="4" s="1"/>
  <c r="T137" i="4" s="1"/>
  <c r="L137" i="4"/>
  <c r="N137" i="4"/>
  <c r="O137" i="4" s="1"/>
  <c r="Q137" i="4" s="1"/>
  <c r="U128" i="4"/>
  <c r="V128" i="4" s="1"/>
  <c r="W128" i="4" s="1"/>
  <c r="L120" i="4"/>
  <c r="N120" i="4"/>
  <c r="O120" i="4" s="1"/>
  <c r="Q120" i="4" s="1"/>
  <c r="R120" i="4"/>
  <c r="S120" i="4" s="1"/>
  <c r="T120" i="4" s="1"/>
  <c r="X137" i="4"/>
  <c r="Y137" i="4" s="1"/>
  <c r="U113" i="4"/>
  <c r="V113" i="4" s="1"/>
  <c r="W113" i="4" s="1"/>
  <c r="N126" i="4"/>
  <c r="O126" i="4" s="1"/>
  <c r="Q126" i="4" s="1"/>
  <c r="R126" i="4"/>
  <c r="S126" i="4" s="1"/>
  <c r="T126" i="4" s="1"/>
  <c r="L126" i="4"/>
  <c r="N165" i="4"/>
  <c r="O165" i="4" s="1"/>
  <c r="Q165" i="4" s="1"/>
  <c r="L165" i="4"/>
  <c r="R165" i="4"/>
  <c r="S165" i="4" s="1"/>
  <c r="T165" i="4" s="1"/>
  <c r="N194" i="4"/>
  <c r="O194" i="4" s="1"/>
  <c r="Q194" i="4" s="1"/>
  <c r="R194" i="4"/>
  <c r="S194" i="4" s="1"/>
  <c r="T194" i="4" s="1"/>
  <c r="L194" i="4"/>
  <c r="X159" i="4"/>
  <c r="Y159" i="4" s="1"/>
  <c r="U161" i="4"/>
  <c r="V161" i="4" s="1"/>
  <c r="W161" i="4" s="1"/>
  <c r="N207" i="4"/>
  <c r="O207" i="4" s="1"/>
  <c r="Q207" i="4" s="1"/>
  <c r="R207" i="4"/>
  <c r="S207" i="4" s="1"/>
  <c r="T207" i="4" s="1"/>
  <c r="L207" i="4"/>
  <c r="X182" i="4"/>
  <c r="Y182" i="4" s="1"/>
  <c r="N182" i="4"/>
  <c r="O182" i="4" s="1"/>
  <c r="Q182" i="4" s="1"/>
  <c r="L182" i="4"/>
  <c r="R182" i="4"/>
  <c r="S182" i="4" s="1"/>
  <c r="T182" i="4" s="1"/>
  <c r="AD177" i="4"/>
  <c r="L177" i="4"/>
  <c r="R177" i="4"/>
  <c r="S177" i="4" s="1"/>
  <c r="T177" i="4" s="1"/>
  <c r="N177" i="4"/>
  <c r="O177" i="4" s="1"/>
  <c r="Q177" i="4" s="1"/>
  <c r="L122" i="4"/>
  <c r="N122" i="4"/>
  <c r="O122" i="4" s="1"/>
  <c r="Q122" i="4" s="1"/>
  <c r="R122" i="4"/>
  <c r="S122" i="4" s="1"/>
  <c r="T122" i="4" s="1"/>
  <c r="R172" i="4"/>
  <c r="S172" i="4" s="1"/>
  <c r="T172" i="4" s="1"/>
  <c r="N172" i="4"/>
  <c r="O172" i="4" s="1"/>
  <c r="Q172" i="4" s="1"/>
  <c r="L172" i="4"/>
  <c r="X140" i="4"/>
  <c r="Y140" i="4" s="1"/>
  <c r="L140" i="4"/>
  <c r="R140" i="4"/>
  <c r="S140" i="4" s="1"/>
  <c r="T140" i="4" s="1"/>
  <c r="N140" i="4"/>
  <c r="O140" i="4" s="1"/>
  <c r="Q140" i="4" s="1"/>
  <c r="X115" i="4"/>
  <c r="Y115" i="4" s="1"/>
  <c r="X207" i="4"/>
  <c r="Y207" i="4" s="1"/>
  <c r="N190" i="4"/>
  <c r="O190" i="4" s="1"/>
  <c r="Q190" i="4" s="1"/>
  <c r="L190" i="4"/>
  <c r="R190" i="4"/>
  <c r="S190" i="4" s="1"/>
  <c r="T190" i="4" s="1"/>
  <c r="R145" i="4"/>
  <c r="S145" i="4" s="1"/>
  <c r="T145" i="4" s="1"/>
  <c r="L145" i="4"/>
  <c r="N145" i="4"/>
  <c r="O145" i="4" s="1"/>
  <c r="Q145" i="4" s="1"/>
  <c r="L157" i="4"/>
  <c r="R157" i="4"/>
  <c r="S157" i="4" s="1"/>
  <c r="T157" i="4" s="1"/>
  <c r="N157" i="4"/>
  <c r="O157" i="4" s="1"/>
  <c r="Q157" i="4" s="1"/>
  <c r="U130" i="4"/>
  <c r="V130" i="4" s="1"/>
  <c r="W130" i="4" s="1"/>
  <c r="R130" i="4"/>
  <c r="S130" i="4" s="1"/>
  <c r="T130" i="4" s="1"/>
  <c r="N130" i="4"/>
  <c r="O130" i="4" s="1"/>
  <c r="Q130" i="4" s="1"/>
  <c r="L130" i="4"/>
  <c r="X144" i="4"/>
  <c r="Y144" i="4" s="1"/>
  <c r="U124" i="4"/>
  <c r="V124" i="4" s="1"/>
  <c r="W124" i="4" s="1"/>
  <c r="L152" i="4"/>
  <c r="R152" i="4"/>
  <c r="S152" i="4" s="1"/>
  <c r="T152" i="4" s="1"/>
  <c r="N152" i="4"/>
  <c r="O152" i="4" s="1"/>
  <c r="Q152" i="4" s="1"/>
  <c r="N185" i="4"/>
  <c r="O185" i="4" s="1"/>
  <c r="Q185" i="4" s="1"/>
  <c r="R185" i="4"/>
  <c r="S185" i="4" s="1"/>
  <c r="T185" i="4" s="1"/>
  <c r="L185" i="4"/>
  <c r="R180" i="4"/>
  <c r="S180" i="4" s="1"/>
  <c r="T180" i="4" s="1"/>
  <c r="L180" i="4"/>
  <c r="N180" i="4"/>
  <c r="O180" i="4" s="1"/>
  <c r="Q180" i="4" s="1"/>
  <c r="AD153" i="4"/>
  <c r="AD164" i="4"/>
  <c r="X172" i="4"/>
  <c r="Y172" i="4" s="1"/>
  <c r="U202" i="4"/>
  <c r="V202" i="4" s="1"/>
  <c r="W202" i="4" s="1"/>
  <c r="AD157" i="4"/>
  <c r="X177" i="4"/>
  <c r="Y177" i="4" s="1"/>
  <c r="X120" i="4"/>
  <c r="Y120" i="4" s="1"/>
  <c r="U133" i="4"/>
  <c r="V133" i="4" s="1"/>
  <c r="W133" i="4" s="1"/>
  <c r="U131" i="4"/>
  <c r="V131" i="4" s="1"/>
  <c r="W131" i="4" s="1"/>
  <c r="R131" i="4"/>
  <c r="S131" i="4" s="1"/>
  <c r="T131" i="4" s="1"/>
  <c r="N131" i="4"/>
  <c r="O131" i="4" s="1"/>
  <c r="Q131" i="4" s="1"/>
  <c r="L131" i="4"/>
  <c r="AD113" i="4"/>
  <c r="AD126" i="4"/>
  <c r="X122" i="4"/>
  <c r="Y122" i="4" s="1"/>
  <c r="AD165" i="4"/>
  <c r="X194" i="4"/>
  <c r="Y194" i="4" s="1"/>
  <c r="U159" i="4"/>
  <c r="V159" i="4" s="1"/>
  <c r="W159" i="4" s="1"/>
  <c r="L151" i="4"/>
  <c r="N151" i="4"/>
  <c r="O151" i="4" s="1"/>
  <c r="Q151" i="4" s="1"/>
  <c r="R151" i="4"/>
  <c r="S151" i="4" s="1"/>
  <c r="T151" i="4" s="1"/>
  <c r="X161" i="4"/>
  <c r="Y161" i="4" s="1"/>
  <c r="X151" i="4"/>
  <c r="Y151" i="4" s="1"/>
  <c r="X47" i="4"/>
  <c r="Y47" i="4" s="1"/>
  <c r="L47" i="4"/>
  <c r="L66" i="4"/>
  <c r="U82" i="4"/>
  <c r="V82" i="4" s="1"/>
  <c r="W82" i="4" s="1"/>
  <c r="L82" i="4"/>
  <c r="U85" i="4"/>
  <c r="V85" i="4" s="1"/>
  <c r="W85" i="4" s="1"/>
  <c r="L85" i="4"/>
  <c r="N70" i="4"/>
  <c r="O70" i="4" s="1"/>
  <c r="Q70" i="4" s="1"/>
  <c r="L70" i="4"/>
  <c r="U100" i="4"/>
  <c r="V100" i="4" s="1"/>
  <c r="W100" i="4" s="1"/>
  <c r="L100" i="4"/>
  <c r="U26" i="4"/>
  <c r="V26" i="4" s="1"/>
  <c r="W26" i="4" s="1"/>
  <c r="L26" i="4"/>
  <c r="R84" i="4"/>
  <c r="S84" i="4" s="1"/>
  <c r="T84" i="4" s="1"/>
  <c r="L84" i="4"/>
  <c r="U23" i="4"/>
  <c r="V23" i="4" s="1"/>
  <c r="W23" i="4" s="1"/>
  <c r="L23" i="4"/>
  <c r="N49" i="4"/>
  <c r="O49" i="4" s="1"/>
  <c r="Q49" i="4" s="1"/>
  <c r="L49" i="4"/>
  <c r="X35" i="4"/>
  <c r="Y35" i="4" s="1"/>
  <c r="L35" i="4"/>
  <c r="R102" i="4"/>
  <c r="S102" i="4" s="1"/>
  <c r="T102" i="4" s="1"/>
  <c r="L102" i="4"/>
  <c r="X24" i="4"/>
  <c r="Y24" i="4" s="1"/>
  <c r="L24" i="4"/>
  <c r="N9" i="4"/>
  <c r="O9" i="4" s="1"/>
  <c r="Q9" i="4" s="1"/>
  <c r="L9" i="4"/>
  <c r="L64" i="4"/>
  <c r="AD32" i="4"/>
  <c r="AE32" i="4" s="1"/>
  <c r="L32" i="4"/>
  <c r="L104" i="4"/>
  <c r="R43" i="4"/>
  <c r="S43" i="4" s="1"/>
  <c r="T43" i="4" s="1"/>
  <c r="L43" i="4"/>
  <c r="AD56" i="4"/>
  <c r="AE56" i="4" s="1"/>
  <c r="L56" i="4"/>
  <c r="L73" i="4"/>
  <c r="U83" i="4"/>
  <c r="V83" i="4" s="1"/>
  <c r="W83" i="4" s="1"/>
  <c r="L83" i="4"/>
  <c r="U41" i="4"/>
  <c r="V41" i="4" s="1"/>
  <c r="W41" i="4" s="1"/>
  <c r="L41" i="4"/>
  <c r="L31" i="4"/>
  <c r="U97" i="4"/>
  <c r="V97" i="4" s="1"/>
  <c r="W97" i="4" s="1"/>
  <c r="L97" i="4"/>
  <c r="R14" i="4"/>
  <c r="S14" i="4" s="1"/>
  <c r="T14" i="4" s="1"/>
  <c r="L14" i="4"/>
  <c r="R94" i="4"/>
  <c r="S94" i="4" s="1"/>
  <c r="T94" i="4" s="1"/>
  <c r="L94" i="4"/>
  <c r="L12" i="4"/>
  <c r="L53" i="4"/>
  <c r="N36" i="4"/>
  <c r="O36" i="4" s="1"/>
  <c r="Q36" i="4" s="1"/>
  <c r="L36" i="4"/>
  <c r="R33" i="4"/>
  <c r="S33" i="4" s="1"/>
  <c r="T33" i="4" s="1"/>
  <c r="L33" i="4"/>
  <c r="L25" i="4"/>
  <c r="L109" i="4"/>
  <c r="L62" i="4"/>
  <c r="AD88" i="4"/>
  <c r="AE88" i="4" s="1"/>
  <c r="L88" i="4"/>
  <c r="U11" i="4"/>
  <c r="V11" i="4" s="1"/>
  <c r="W11" i="4" s="1"/>
  <c r="L11" i="4"/>
  <c r="N79" i="4"/>
  <c r="O79" i="4" s="1"/>
  <c r="Q79" i="4" s="1"/>
  <c r="L79" i="4"/>
  <c r="L59" i="4"/>
  <c r="L46" i="4"/>
  <c r="X40" i="4"/>
  <c r="Y40" i="4" s="1"/>
  <c r="L40" i="4"/>
  <c r="AD71" i="4"/>
  <c r="AE71" i="4" s="1"/>
  <c r="L71" i="4"/>
  <c r="U17" i="4"/>
  <c r="V17" i="4" s="1"/>
  <c r="W17" i="4" s="1"/>
  <c r="L17" i="4"/>
  <c r="L78" i="4"/>
  <c r="AD29" i="4"/>
  <c r="AE29" i="4" s="1"/>
  <c r="L29" i="4"/>
  <c r="R67" i="4"/>
  <c r="S67" i="4" s="1"/>
  <c r="T67" i="4" s="1"/>
  <c r="L67" i="4"/>
  <c r="L90" i="4"/>
  <c r="U19" i="4"/>
  <c r="V19" i="4" s="1"/>
  <c r="W19" i="4" s="1"/>
  <c r="L19" i="4"/>
  <c r="R54" i="4"/>
  <c r="S54" i="4" s="1"/>
  <c r="T54" i="4" s="1"/>
  <c r="L54" i="4"/>
  <c r="R77" i="4"/>
  <c r="S77" i="4" s="1"/>
  <c r="T77" i="4" s="1"/>
  <c r="L77" i="4"/>
  <c r="U58" i="4"/>
  <c r="V58" i="4" s="1"/>
  <c r="W58" i="4" s="1"/>
  <c r="L58" i="4"/>
  <c r="AD28" i="4"/>
  <c r="AE28" i="4" s="1"/>
  <c r="L28" i="4"/>
  <c r="AD10" i="4"/>
  <c r="AE10" i="4" s="1"/>
  <c r="L10" i="4"/>
  <c r="X74" i="4"/>
  <c r="Y74" i="4" s="1"/>
  <c r="L74" i="4"/>
  <c r="L27" i="4"/>
  <c r="L99" i="4"/>
  <c r="N16" i="4"/>
  <c r="O16" i="4" s="1"/>
  <c r="Q16" i="4" s="1"/>
  <c r="L16" i="4"/>
  <c r="AD51" i="4"/>
  <c r="AE51" i="4" s="1"/>
  <c r="L51" i="4"/>
  <c r="L60" i="4"/>
  <c r="AD101" i="4"/>
  <c r="AE101" i="4" s="1"/>
  <c r="L101" i="4"/>
  <c r="R13" i="4"/>
  <c r="S13" i="4" s="1"/>
  <c r="T13" i="4" s="1"/>
  <c r="L13" i="4"/>
  <c r="N61" i="4"/>
  <c r="O61" i="4" s="1"/>
  <c r="Q61" i="4" s="1"/>
  <c r="L61" i="4"/>
  <c r="L50" i="4"/>
  <c r="L18" i="4"/>
  <c r="AD42" i="4"/>
  <c r="AE42" i="4" s="1"/>
  <c r="L42" i="4"/>
  <c r="X45" i="4"/>
  <c r="Y45" i="4" s="1"/>
  <c r="L45" i="4"/>
  <c r="U106" i="4"/>
  <c r="V106" i="4" s="1"/>
  <c r="W106" i="4" s="1"/>
  <c r="L106" i="4"/>
  <c r="L44" i="4"/>
  <c r="N105" i="4"/>
  <c r="O105" i="4" s="1"/>
  <c r="Q105" i="4" s="1"/>
  <c r="L105" i="4"/>
  <c r="R98" i="4"/>
  <c r="S98" i="4" s="1"/>
  <c r="T98" i="4" s="1"/>
  <c r="L98" i="4"/>
  <c r="AD15" i="4"/>
  <c r="AE15" i="4" s="1"/>
  <c r="L15" i="4"/>
  <c r="N86" i="4"/>
  <c r="O86" i="4" s="1"/>
  <c r="Q86" i="4" s="1"/>
  <c r="L86" i="4"/>
  <c r="AD89" i="4"/>
  <c r="AE89" i="4" s="1"/>
  <c r="L89" i="4"/>
  <c r="AD81" i="4"/>
  <c r="AE81" i="4" s="1"/>
  <c r="L81" i="4"/>
  <c r="L63" i="4"/>
  <c r="AD52" i="4"/>
  <c r="AE52" i="4" s="1"/>
  <c r="L52" i="4"/>
  <c r="AD92" i="4"/>
  <c r="AE92" i="4" s="1"/>
  <c r="L92" i="4"/>
  <c r="X68" i="4"/>
  <c r="Y68" i="4" s="1"/>
  <c r="L68" i="4"/>
  <c r="U72" i="4"/>
  <c r="V72" i="4" s="1"/>
  <c r="W72" i="4" s="1"/>
  <c r="L72" i="4"/>
  <c r="U107" i="4"/>
  <c r="V107" i="4" s="1"/>
  <c r="W107" i="4" s="1"/>
  <c r="L107" i="4"/>
  <c r="AD108" i="4"/>
  <c r="AE108" i="4" s="1"/>
  <c r="L108" i="4"/>
  <c r="AD95" i="4"/>
  <c r="AE95" i="4" s="1"/>
  <c r="L95" i="4"/>
  <c r="X38" i="4"/>
  <c r="Y38" i="4" s="1"/>
  <c r="L38" i="4"/>
  <c r="AD22" i="4"/>
  <c r="AE22" i="4" s="1"/>
  <c r="L22" i="4"/>
  <c r="X34" i="4"/>
  <c r="Y34" i="4" s="1"/>
  <c r="L34" i="4"/>
  <c r="U103" i="4"/>
  <c r="V103" i="4" s="1"/>
  <c r="W103" i="4" s="1"/>
  <c r="L103" i="4"/>
  <c r="X69" i="4"/>
  <c r="Y69" i="4" s="1"/>
  <c r="L69" i="4"/>
  <c r="U57" i="4"/>
  <c r="V57" i="4" s="1"/>
  <c r="W57" i="4" s="1"/>
  <c r="L57" i="4"/>
  <c r="R39" i="4"/>
  <c r="S39" i="4" s="1"/>
  <c r="T39" i="4" s="1"/>
  <c r="L39" i="4"/>
  <c r="AD21" i="4"/>
  <c r="AE21" i="4" s="1"/>
  <c r="L21" i="4"/>
  <c r="U93" i="4"/>
  <c r="V93" i="4" s="1"/>
  <c r="W93" i="4" s="1"/>
  <c r="L93" i="4"/>
  <c r="L76" i="4"/>
  <c r="AD87" i="4"/>
  <c r="AE87" i="4" s="1"/>
  <c r="L87" i="4"/>
  <c r="U96" i="4"/>
  <c r="V96" i="4" s="1"/>
  <c r="W96" i="4" s="1"/>
  <c r="L96" i="4"/>
  <c r="X91" i="4"/>
  <c r="Y91" i="4" s="1"/>
  <c r="L91" i="4"/>
  <c r="X55" i="4"/>
  <c r="Y55" i="4" s="1"/>
  <c r="L55" i="4"/>
  <c r="R75" i="4"/>
  <c r="S75" i="4" s="1"/>
  <c r="T75" i="4" s="1"/>
  <c r="L75" i="4"/>
  <c r="U20" i="4"/>
  <c r="V20" i="4" s="1"/>
  <c r="W20" i="4" s="1"/>
  <c r="L20" i="4"/>
  <c r="X37" i="4"/>
  <c r="Y37" i="4" s="1"/>
  <c r="L37" i="4"/>
  <c r="L30" i="4"/>
  <c r="N27" i="4"/>
  <c r="O27" i="4" s="1"/>
  <c r="Q27" i="4" s="1"/>
  <c r="R27" i="4"/>
  <c r="S27" i="4" s="1"/>
  <c r="T27" i="4" s="1"/>
  <c r="AD27" i="4"/>
  <c r="AE27" i="4" s="1"/>
  <c r="AD99" i="4"/>
  <c r="AE99" i="4" s="1"/>
  <c r="U99" i="4"/>
  <c r="V99" i="4" s="1"/>
  <c r="W99" i="4" s="1"/>
  <c r="AD55" i="4"/>
  <c r="AE55" i="4" s="1"/>
  <c r="U27" i="4"/>
  <c r="V27" i="4" s="1"/>
  <c r="W27" i="4" s="1"/>
  <c r="AD16" i="4"/>
  <c r="AE16" i="4" s="1"/>
  <c r="N99" i="4"/>
  <c r="O99" i="4" s="1"/>
  <c r="Q99" i="4" s="1"/>
  <c r="X16" i="4"/>
  <c r="Y16" i="4" s="1"/>
  <c r="U16" i="4"/>
  <c r="V16" i="4" s="1"/>
  <c r="W16" i="4" s="1"/>
  <c r="R99" i="4"/>
  <c r="S99" i="4" s="1"/>
  <c r="T99" i="4" s="1"/>
  <c r="R16" i="4"/>
  <c r="S16" i="4" s="1"/>
  <c r="T16" i="4" s="1"/>
  <c r="X27" i="4"/>
  <c r="Y27" i="4" s="1"/>
  <c r="X99" i="4"/>
  <c r="Y99" i="4" s="1"/>
  <c r="N107" i="4"/>
  <c r="O107" i="4" s="1"/>
  <c r="Q107" i="4" s="1"/>
  <c r="AD107" i="4"/>
  <c r="AE107" i="4" s="1"/>
  <c r="X30" i="4"/>
  <c r="Y30" i="4" s="1"/>
  <c r="AD37" i="4"/>
  <c r="AE37" i="4" s="1"/>
  <c r="X72" i="4"/>
  <c r="Y72" i="4" s="1"/>
  <c r="R55" i="4"/>
  <c r="S55" i="4" s="1"/>
  <c r="T55" i="4" s="1"/>
  <c r="U30" i="4"/>
  <c r="V30" i="4" s="1"/>
  <c r="W30" i="4" s="1"/>
  <c r="R72" i="4"/>
  <c r="S72" i="4" s="1"/>
  <c r="T72" i="4" s="1"/>
  <c r="N75" i="4"/>
  <c r="O75" i="4" s="1"/>
  <c r="Q75" i="4" s="1"/>
  <c r="AD30" i="4"/>
  <c r="AE30" i="4" s="1"/>
  <c r="N72" i="4"/>
  <c r="O72" i="4" s="1"/>
  <c r="Q72" i="4" s="1"/>
  <c r="N37" i="4"/>
  <c r="O37" i="4" s="1"/>
  <c r="Q37" i="4" s="1"/>
  <c r="X33" i="4"/>
  <c r="Y33" i="4" s="1"/>
  <c r="N30" i="4"/>
  <c r="O30" i="4" s="1"/>
  <c r="Q30" i="4" s="1"/>
  <c r="X107" i="4"/>
  <c r="Y107" i="4" s="1"/>
  <c r="N55" i="4"/>
  <c r="O55" i="4" s="1"/>
  <c r="Q55" i="4" s="1"/>
  <c r="U55" i="4"/>
  <c r="V55" i="4" s="1"/>
  <c r="W55" i="4" s="1"/>
  <c r="U75" i="4"/>
  <c r="V75" i="4" s="1"/>
  <c r="W75" i="4" s="1"/>
  <c r="U37" i="4"/>
  <c r="V37" i="4" s="1"/>
  <c r="W37" i="4" s="1"/>
  <c r="R37" i="4"/>
  <c r="S37" i="4" s="1"/>
  <c r="T37" i="4" s="1"/>
  <c r="AD72" i="4"/>
  <c r="AE72" i="4" s="1"/>
  <c r="AD33" i="4"/>
  <c r="AE33" i="4" s="1"/>
  <c r="U33" i="4"/>
  <c r="V33" i="4" s="1"/>
  <c r="W33" i="4" s="1"/>
  <c r="R107" i="4"/>
  <c r="S107" i="4" s="1"/>
  <c r="T107" i="4" s="1"/>
  <c r="N33" i="4"/>
  <c r="O33" i="4" s="1"/>
  <c r="Q33" i="4" s="1"/>
  <c r="R30" i="4"/>
  <c r="S30" i="4" s="1"/>
  <c r="T30" i="4" s="1"/>
  <c r="AD75" i="4"/>
  <c r="AE75" i="4" s="1"/>
  <c r="X75" i="4"/>
  <c r="Y75" i="4" s="1"/>
  <c r="B259" i="2"/>
  <c r="B129" i="2"/>
  <c r="E64" i="1" s="1"/>
  <c r="E27" i="1"/>
  <c r="AH29" i="4"/>
  <c r="AH32" i="4"/>
  <c r="X10" i="4"/>
  <c r="Y10" i="4" s="1"/>
  <c r="N10" i="4"/>
  <c r="O10" i="4" s="1"/>
  <c r="Q10" i="4" s="1"/>
  <c r="U10" i="4"/>
  <c r="V10" i="4" s="1"/>
  <c r="W10" i="4" s="1"/>
  <c r="R10" i="4"/>
  <c r="S10" i="4" s="1"/>
  <c r="T10" i="4" s="1"/>
  <c r="E26" i="1"/>
  <c r="D48" i="16"/>
  <c r="B74" i="2"/>
  <c r="E35" i="1" s="1"/>
  <c r="B50" i="2"/>
  <c r="R45" i="4"/>
  <c r="S45" i="4" s="1"/>
  <c r="T45" i="4" s="1"/>
  <c r="AD45" i="4"/>
  <c r="E49" i="1"/>
  <c r="C45" i="16" s="1"/>
  <c r="D45" i="16" s="1"/>
  <c r="B133" i="2"/>
  <c r="B134" i="2" s="1"/>
  <c r="U45" i="4"/>
  <c r="V45" i="4" s="1"/>
  <c r="W45" i="4" s="1"/>
  <c r="N45" i="4"/>
  <c r="O45" i="4" s="1"/>
  <c r="Q45" i="4" s="1"/>
  <c r="R104" i="4"/>
  <c r="S104" i="4" s="1"/>
  <c r="T104" i="4" s="1"/>
  <c r="R58" i="4"/>
  <c r="S58" i="4" s="1"/>
  <c r="T58" i="4" s="1"/>
  <c r="AD104" i="4"/>
  <c r="N58" i="4"/>
  <c r="O58" i="4" s="1"/>
  <c r="Q58" i="4" s="1"/>
  <c r="N31" i="4"/>
  <c r="O31" i="4" s="1"/>
  <c r="Q31" i="4" s="1"/>
  <c r="X104" i="4"/>
  <c r="Y104" i="4" s="1"/>
  <c r="U104" i="4"/>
  <c r="V104" i="4" s="1"/>
  <c r="W104" i="4" s="1"/>
  <c r="N104" i="4"/>
  <c r="O104" i="4" s="1"/>
  <c r="Q104" i="4" s="1"/>
  <c r="X58" i="4"/>
  <c r="Y58" i="4" s="1"/>
  <c r="AD58" i="4"/>
  <c r="U36" i="4"/>
  <c r="V36" i="4" s="1"/>
  <c r="W36" i="4" s="1"/>
  <c r="X36" i="4"/>
  <c r="Y36" i="4" s="1"/>
  <c r="R36" i="4"/>
  <c r="S36" i="4" s="1"/>
  <c r="T36" i="4" s="1"/>
  <c r="X54" i="4"/>
  <c r="Y54" i="4" s="1"/>
  <c r="N12" i="4"/>
  <c r="O12" i="4" s="1"/>
  <c r="Q12" i="4" s="1"/>
  <c r="AD36" i="4"/>
  <c r="N77" i="4"/>
  <c r="O77" i="4" s="1"/>
  <c r="Q77" i="4" s="1"/>
  <c r="AD77" i="4"/>
  <c r="X77" i="4"/>
  <c r="Y77" i="4" s="1"/>
  <c r="U77" i="4"/>
  <c r="V77" i="4" s="1"/>
  <c r="W77" i="4" s="1"/>
  <c r="U53" i="4"/>
  <c r="V53" i="4" s="1"/>
  <c r="W53" i="4" s="1"/>
  <c r="AD64" i="4"/>
  <c r="X64" i="4"/>
  <c r="Y64" i="4" s="1"/>
  <c r="R64" i="4"/>
  <c r="S64" i="4" s="1"/>
  <c r="T64" i="4" s="1"/>
  <c r="U64" i="4"/>
  <c r="V64" i="4" s="1"/>
  <c r="W64" i="4" s="1"/>
  <c r="U54" i="4"/>
  <c r="V54" i="4" s="1"/>
  <c r="W54" i="4" s="1"/>
  <c r="U59" i="4"/>
  <c r="V59" i="4" s="1"/>
  <c r="W59" i="4" s="1"/>
  <c r="U68" i="4"/>
  <c r="V68" i="4" s="1"/>
  <c r="W68" i="4" s="1"/>
  <c r="N52" i="4"/>
  <c r="O52" i="4" s="1"/>
  <c r="Q52" i="4" s="1"/>
  <c r="R68" i="4"/>
  <c r="S68" i="4" s="1"/>
  <c r="T68" i="4" s="1"/>
  <c r="AD12" i="4"/>
  <c r="N24" i="4"/>
  <c r="O24" i="4" s="1"/>
  <c r="Q24" i="4" s="1"/>
  <c r="U87" i="4"/>
  <c r="V87" i="4" s="1"/>
  <c r="W87" i="4" s="1"/>
  <c r="R32" i="4"/>
  <c r="S32" i="4" s="1"/>
  <c r="T32" i="4" s="1"/>
  <c r="X32" i="4"/>
  <c r="Y32" i="4" s="1"/>
  <c r="N53" i="4"/>
  <c r="O53" i="4" s="1"/>
  <c r="Q53" i="4" s="1"/>
  <c r="AD94" i="4"/>
  <c r="AD14" i="4"/>
  <c r="N87" i="4"/>
  <c r="O87" i="4" s="1"/>
  <c r="Q87" i="4" s="1"/>
  <c r="R69" i="4"/>
  <c r="S69" i="4" s="1"/>
  <c r="T69" i="4" s="1"/>
  <c r="U32" i="4"/>
  <c r="V32" i="4" s="1"/>
  <c r="W32" i="4" s="1"/>
  <c r="R50" i="4"/>
  <c r="S50" i="4" s="1"/>
  <c r="T50" i="4" s="1"/>
  <c r="X57" i="4"/>
  <c r="Y57" i="4" s="1"/>
  <c r="X53" i="4"/>
  <c r="Y53" i="4" s="1"/>
  <c r="N39" i="4"/>
  <c r="O39" i="4" s="1"/>
  <c r="Q39" i="4" s="1"/>
  <c r="U14" i="4"/>
  <c r="V14" i="4" s="1"/>
  <c r="W14" i="4" s="1"/>
  <c r="X14" i="4"/>
  <c r="Y14" i="4" s="1"/>
  <c r="U39" i="4"/>
  <c r="V39" i="4" s="1"/>
  <c r="W39" i="4" s="1"/>
  <c r="X39" i="4"/>
  <c r="Y39" i="4" s="1"/>
  <c r="R70" i="4"/>
  <c r="S70" i="4" s="1"/>
  <c r="T70" i="4" s="1"/>
  <c r="AD82" i="4"/>
  <c r="X82" i="4"/>
  <c r="Y82" i="4" s="1"/>
  <c r="R82" i="4"/>
  <c r="S82" i="4" s="1"/>
  <c r="T82" i="4" s="1"/>
  <c r="AD54" i="4"/>
  <c r="N64" i="4"/>
  <c r="O64" i="4" s="1"/>
  <c r="Q64" i="4" s="1"/>
  <c r="U13" i="4"/>
  <c r="V13" i="4" s="1"/>
  <c r="W13" i="4" s="1"/>
  <c r="N46" i="4"/>
  <c r="O46" i="4" s="1"/>
  <c r="Q46" i="4" s="1"/>
  <c r="AD68" i="4"/>
  <c r="R42" i="4"/>
  <c r="S42" i="4" s="1"/>
  <c r="T42" i="4" s="1"/>
  <c r="U35" i="4"/>
  <c r="V35" i="4" s="1"/>
  <c r="W35" i="4" s="1"/>
  <c r="N68" i="4"/>
  <c r="O68" i="4" s="1"/>
  <c r="Q68" i="4" s="1"/>
  <c r="N54" i="4"/>
  <c r="O54" i="4" s="1"/>
  <c r="Q54" i="4" s="1"/>
  <c r="X87" i="4"/>
  <c r="Y87" i="4" s="1"/>
  <c r="R87" i="4"/>
  <c r="S87" i="4" s="1"/>
  <c r="T87" i="4" s="1"/>
  <c r="U69" i="4"/>
  <c r="V69" i="4" s="1"/>
  <c r="W69" i="4" s="1"/>
  <c r="N69" i="4"/>
  <c r="O69" i="4" s="1"/>
  <c r="Q69" i="4" s="1"/>
  <c r="N32" i="4"/>
  <c r="O32" i="4" s="1"/>
  <c r="Q32" i="4" s="1"/>
  <c r="N84" i="4"/>
  <c r="O84" i="4" s="1"/>
  <c r="Q84" i="4" s="1"/>
  <c r="X94" i="4"/>
  <c r="Y94" i="4" s="1"/>
  <c r="U94" i="4"/>
  <c r="V94" i="4" s="1"/>
  <c r="W94" i="4" s="1"/>
  <c r="AD53" i="4"/>
  <c r="N57" i="4"/>
  <c r="O57" i="4" s="1"/>
  <c r="Q57" i="4" s="1"/>
  <c r="R57" i="4"/>
  <c r="S57" i="4" s="1"/>
  <c r="T57" i="4" s="1"/>
  <c r="AD57" i="4"/>
  <c r="N94" i="4"/>
  <c r="O94" i="4" s="1"/>
  <c r="Q94" i="4" s="1"/>
  <c r="AD39" i="4"/>
  <c r="AD69" i="4"/>
  <c r="N14" i="4"/>
  <c r="O14" i="4" s="1"/>
  <c r="Q14" i="4" s="1"/>
  <c r="AD61" i="4"/>
  <c r="R53" i="4"/>
  <c r="S53" i="4" s="1"/>
  <c r="T53" i="4" s="1"/>
  <c r="X61" i="4"/>
  <c r="Y61" i="4" s="1"/>
  <c r="R9" i="4"/>
  <c r="S9" i="4" s="1"/>
  <c r="T9" i="4" s="1"/>
  <c r="X9" i="4"/>
  <c r="Y9" i="4" s="1"/>
  <c r="R19" i="4"/>
  <c r="S19" i="4" s="1"/>
  <c r="T19" i="4" s="1"/>
  <c r="X49" i="4"/>
  <c r="Y49" i="4" s="1"/>
  <c r="AD19" i="4"/>
  <c r="U49" i="4"/>
  <c r="V49" i="4" s="1"/>
  <c r="W49" i="4" s="1"/>
  <c r="R86" i="4"/>
  <c r="S86" i="4" s="1"/>
  <c r="T86" i="4" s="1"/>
  <c r="AD102" i="4"/>
  <c r="AD24" i="4"/>
  <c r="AD86" i="4"/>
  <c r="R24" i="4"/>
  <c r="S24" i="4" s="1"/>
  <c r="T24" i="4" s="1"/>
  <c r="AD35" i="4"/>
  <c r="N35" i="4"/>
  <c r="O35" i="4" s="1"/>
  <c r="Q35" i="4" s="1"/>
  <c r="N102" i="4"/>
  <c r="O102" i="4" s="1"/>
  <c r="Q102" i="4" s="1"/>
  <c r="X42" i="4"/>
  <c r="Y42" i="4" s="1"/>
  <c r="R35" i="4"/>
  <c r="S35" i="4" s="1"/>
  <c r="T35" i="4" s="1"/>
  <c r="X18" i="4"/>
  <c r="Y18" i="4" s="1"/>
  <c r="U52" i="4"/>
  <c r="V52" i="4" s="1"/>
  <c r="W52" i="4" s="1"/>
  <c r="U9" i="4"/>
  <c r="V9" i="4" s="1"/>
  <c r="W9" i="4" s="1"/>
  <c r="AD9" i="4"/>
  <c r="R34" i="4"/>
  <c r="S34" i="4" s="1"/>
  <c r="T34" i="4" s="1"/>
  <c r="R49" i="4"/>
  <c r="S49" i="4" s="1"/>
  <c r="T49" i="4" s="1"/>
  <c r="AD49" i="4"/>
  <c r="X19" i="4"/>
  <c r="Y19" i="4" s="1"/>
  <c r="U102" i="4"/>
  <c r="V102" i="4" s="1"/>
  <c r="W102" i="4" s="1"/>
  <c r="U24" i="4"/>
  <c r="V24" i="4" s="1"/>
  <c r="W24" i="4" s="1"/>
  <c r="X102" i="4"/>
  <c r="Y102" i="4" s="1"/>
  <c r="N42" i="4"/>
  <c r="O42" i="4" s="1"/>
  <c r="Q42" i="4" s="1"/>
  <c r="U18" i="4"/>
  <c r="V18" i="4" s="1"/>
  <c r="W18" i="4" s="1"/>
  <c r="N19" i="4"/>
  <c r="O19" i="4" s="1"/>
  <c r="Q19" i="4" s="1"/>
  <c r="U42" i="4"/>
  <c r="V42" i="4" s="1"/>
  <c r="W42" i="4" s="1"/>
  <c r="N18" i="4"/>
  <c r="O18" i="4" s="1"/>
  <c r="Q18" i="4" s="1"/>
  <c r="X52" i="4"/>
  <c r="Y52" i="4" s="1"/>
  <c r="R52" i="4"/>
  <c r="S52" i="4" s="1"/>
  <c r="T52" i="4" s="1"/>
  <c r="AD76" i="4"/>
  <c r="AD73" i="4"/>
  <c r="B682" i="3"/>
  <c r="AD105" i="4"/>
  <c r="U67" i="4"/>
  <c r="V67" i="4" s="1"/>
  <c r="W67" i="4" s="1"/>
  <c r="R18" i="4"/>
  <c r="S18" i="4" s="1"/>
  <c r="T18" i="4" s="1"/>
  <c r="AD67" i="4"/>
  <c r="AD18" i="4"/>
  <c r="X60" i="4"/>
  <c r="Y60" i="4" s="1"/>
  <c r="X70" i="4"/>
  <c r="Y70" i="4" s="1"/>
  <c r="R12" i="4"/>
  <c r="S12" i="4" s="1"/>
  <c r="T12" i="4" s="1"/>
  <c r="AD63" i="4"/>
  <c r="U76" i="4"/>
  <c r="V76" i="4" s="1"/>
  <c r="W76" i="4" s="1"/>
  <c r="X67" i="4"/>
  <c r="Y67" i="4" s="1"/>
  <c r="X90" i="4"/>
  <c r="Y90" i="4" s="1"/>
  <c r="R90" i="4"/>
  <c r="S90" i="4" s="1"/>
  <c r="T90" i="4" s="1"/>
  <c r="AD90" i="4"/>
  <c r="N67" i="4"/>
  <c r="O67" i="4" s="1"/>
  <c r="Q67" i="4" s="1"/>
  <c r="N90" i="4"/>
  <c r="O90" i="4" s="1"/>
  <c r="Q90" i="4" s="1"/>
  <c r="U90" i="4"/>
  <c r="V90" i="4" s="1"/>
  <c r="W90" i="4" s="1"/>
  <c r="N63" i="4"/>
  <c r="O63" i="4" s="1"/>
  <c r="Q63" i="4" s="1"/>
  <c r="X63" i="4"/>
  <c r="Y63" i="4" s="1"/>
  <c r="X12" i="4"/>
  <c r="Y12" i="4" s="1"/>
  <c r="U12" i="4"/>
  <c r="V12" i="4" s="1"/>
  <c r="W12" i="4" s="1"/>
  <c r="X76" i="4"/>
  <c r="Y76" i="4" s="1"/>
  <c r="R63" i="4"/>
  <c r="S63" i="4" s="1"/>
  <c r="T63" i="4" s="1"/>
  <c r="N76" i="4"/>
  <c r="O76" i="4" s="1"/>
  <c r="Q76" i="4" s="1"/>
  <c r="R76" i="4"/>
  <c r="S76" i="4" s="1"/>
  <c r="T76" i="4" s="1"/>
  <c r="U63" i="4"/>
  <c r="V63" i="4" s="1"/>
  <c r="W63" i="4" s="1"/>
  <c r="B70" i="2"/>
  <c r="E31" i="1" s="1"/>
  <c r="E20" i="1"/>
  <c r="X97" i="4"/>
  <c r="Y97" i="4" s="1"/>
  <c r="N95" i="4"/>
  <c r="O95" i="4" s="1"/>
  <c r="Q95" i="4" s="1"/>
  <c r="U73" i="4"/>
  <c r="V73" i="4" s="1"/>
  <c r="W73" i="4" s="1"/>
  <c r="U84" i="4"/>
  <c r="V84" i="4" s="1"/>
  <c r="W84" i="4" s="1"/>
  <c r="U50" i="4"/>
  <c r="V50" i="4" s="1"/>
  <c r="W50" i="4" s="1"/>
  <c r="R78" i="4"/>
  <c r="S78" i="4" s="1"/>
  <c r="T78" i="4" s="1"/>
  <c r="R61" i="4"/>
  <c r="S61" i="4" s="1"/>
  <c r="T61" i="4" s="1"/>
  <c r="U34" i="4"/>
  <c r="V34" i="4" s="1"/>
  <c r="W34" i="4" s="1"/>
  <c r="AD34" i="4"/>
  <c r="N34" i="4"/>
  <c r="O34" i="4" s="1"/>
  <c r="Q34" i="4" s="1"/>
  <c r="C682" i="3"/>
  <c r="X84" i="4"/>
  <c r="Y84" i="4" s="1"/>
  <c r="AD84" i="4"/>
  <c r="X50" i="4"/>
  <c r="Y50" i="4" s="1"/>
  <c r="N50" i="4"/>
  <c r="O50" i="4" s="1"/>
  <c r="Q50" i="4" s="1"/>
  <c r="AD78" i="4"/>
  <c r="X78" i="4"/>
  <c r="Y78" i="4" s="1"/>
  <c r="U78" i="4"/>
  <c r="V78" i="4" s="1"/>
  <c r="W78" i="4" s="1"/>
  <c r="R105" i="4"/>
  <c r="S105" i="4" s="1"/>
  <c r="T105" i="4" s="1"/>
  <c r="R73" i="4"/>
  <c r="S73" i="4" s="1"/>
  <c r="T73" i="4" s="1"/>
  <c r="N78" i="4"/>
  <c r="O78" i="4" s="1"/>
  <c r="Q78" i="4" s="1"/>
  <c r="U61" i="4"/>
  <c r="V61" i="4" s="1"/>
  <c r="W61" i="4" s="1"/>
  <c r="AD50" i="4"/>
  <c r="AD70" i="4"/>
  <c r="U70" i="4"/>
  <c r="V70" i="4" s="1"/>
  <c r="W70" i="4" s="1"/>
  <c r="B73" i="1"/>
  <c r="U46" i="4"/>
  <c r="V46" i="4" s="1"/>
  <c r="W46" i="4" s="1"/>
  <c r="AD46" i="4"/>
  <c r="AD41" i="4"/>
  <c r="AD98" i="4"/>
  <c r="R108" i="4"/>
  <c r="S108" i="4" s="1"/>
  <c r="T108" i="4" s="1"/>
  <c r="AD59" i="4"/>
  <c r="U98" i="4"/>
  <c r="V98" i="4" s="1"/>
  <c r="W98" i="4" s="1"/>
  <c r="N82" i="4"/>
  <c r="O82" i="4" s="1"/>
  <c r="Q82" i="4" s="1"/>
  <c r="N38" i="4"/>
  <c r="O38" i="4" s="1"/>
  <c r="Q38" i="4" s="1"/>
  <c r="U38" i="4"/>
  <c r="V38" i="4" s="1"/>
  <c r="W38" i="4" s="1"/>
  <c r="R38" i="4"/>
  <c r="S38" i="4" s="1"/>
  <c r="T38" i="4" s="1"/>
  <c r="N13" i="4"/>
  <c r="O13" i="4" s="1"/>
  <c r="Q13" i="4" s="1"/>
  <c r="R46" i="4"/>
  <c r="S46" i="4" s="1"/>
  <c r="T46" i="4" s="1"/>
  <c r="U86" i="4"/>
  <c r="V86" i="4" s="1"/>
  <c r="W86" i="4" s="1"/>
  <c r="R59" i="4"/>
  <c r="S59" i="4" s="1"/>
  <c r="T59" i="4" s="1"/>
  <c r="N59" i="4"/>
  <c r="O59" i="4" s="1"/>
  <c r="Q59" i="4" s="1"/>
  <c r="X59" i="4"/>
  <c r="Y59" i="4" s="1"/>
  <c r="U31" i="4"/>
  <c r="V31" i="4" s="1"/>
  <c r="W31" i="4" s="1"/>
  <c r="X86" i="4"/>
  <c r="Y86" i="4" s="1"/>
  <c r="AD38" i="4"/>
  <c r="R97" i="4"/>
  <c r="S97" i="4" s="1"/>
  <c r="T97" i="4" s="1"/>
  <c r="X46" i="4"/>
  <c r="Y46" i="4" s="1"/>
  <c r="X98" i="4"/>
  <c r="Y98" i="4" s="1"/>
  <c r="N98" i="4"/>
  <c r="O98" i="4" s="1"/>
  <c r="Q98" i="4" s="1"/>
  <c r="N41" i="4"/>
  <c r="O41" i="4" s="1"/>
  <c r="Q41" i="4" s="1"/>
  <c r="AD97" i="4"/>
  <c r="N97" i="4"/>
  <c r="O97" i="4" s="1"/>
  <c r="Q97" i="4" s="1"/>
  <c r="E61" i="1"/>
  <c r="N60" i="4"/>
  <c r="O60" i="4" s="1"/>
  <c r="Q60" i="4" s="1"/>
  <c r="B135" i="2"/>
  <c r="B136" i="2" s="1"/>
  <c r="N73" i="4"/>
  <c r="O73" i="4" s="1"/>
  <c r="Q73" i="4" s="1"/>
  <c r="U95" i="4"/>
  <c r="V95" i="4" s="1"/>
  <c r="W95" i="4" s="1"/>
  <c r="AD13" i="4"/>
  <c r="R31" i="4"/>
  <c r="S31" i="4" s="1"/>
  <c r="T31" i="4" s="1"/>
  <c r="X13" i="4"/>
  <c r="Y13" i="4" s="1"/>
  <c r="AD31" i="4"/>
  <c r="U105" i="4"/>
  <c r="V105" i="4" s="1"/>
  <c r="W105" i="4" s="1"/>
  <c r="X31" i="4"/>
  <c r="Y31" i="4" s="1"/>
  <c r="X41" i="4"/>
  <c r="Y41" i="4" s="1"/>
  <c r="R41" i="4"/>
  <c r="S41" i="4" s="1"/>
  <c r="T41" i="4" s="1"/>
  <c r="AD60" i="4"/>
  <c r="AD43" i="4"/>
  <c r="R95" i="4"/>
  <c r="S95" i="4" s="1"/>
  <c r="T95" i="4" s="1"/>
  <c r="X95" i="4"/>
  <c r="Y95" i="4" s="1"/>
  <c r="X11" i="4"/>
  <c r="Y11" i="4" s="1"/>
  <c r="X105" i="4"/>
  <c r="Y105" i="4" s="1"/>
  <c r="X73" i="4"/>
  <c r="Y73" i="4" s="1"/>
  <c r="R60" i="4"/>
  <c r="S60" i="4" s="1"/>
  <c r="T60" i="4" s="1"/>
  <c r="U60" i="4"/>
  <c r="V60" i="4" s="1"/>
  <c r="W60" i="4" s="1"/>
  <c r="R8" i="8"/>
  <c r="S8" i="8" s="1"/>
  <c r="S27" i="8" s="1"/>
  <c r="C73" i="1" s="1"/>
  <c r="D73" i="1" s="1"/>
  <c r="B82" i="2"/>
  <c r="E42" i="1" s="1"/>
  <c r="R62" i="4"/>
  <c r="S62" i="4" s="1"/>
  <c r="T62" i="4" s="1"/>
  <c r="AD62" i="4"/>
  <c r="R66" i="4"/>
  <c r="S66" i="4" s="1"/>
  <c r="T66" i="4" s="1"/>
  <c r="U66" i="4"/>
  <c r="V66" i="4" s="1"/>
  <c r="W66" i="4" s="1"/>
  <c r="B158" i="2"/>
  <c r="R109" i="4"/>
  <c r="S109" i="4" s="1"/>
  <c r="T109" i="4" s="1"/>
  <c r="X79" i="4"/>
  <c r="Y79" i="4" s="1"/>
  <c r="AD79" i="4"/>
  <c r="N11" i="4"/>
  <c r="O11" i="4" s="1"/>
  <c r="Q11" i="4" s="1"/>
  <c r="AD11" i="4"/>
  <c r="R11" i="4"/>
  <c r="S11" i="4" s="1"/>
  <c r="T11" i="4" s="1"/>
  <c r="B160" i="2"/>
  <c r="AD66" i="4"/>
  <c r="N62" i="4"/>
  <c r="O62" i="4" s="1"/>
  <c r="Q62" i="4" s="1"/>
  <c r="U62" i="4"/>
  <c r="V62" i="4" s="1"/>
  <c r="W62" i="4" s="1"/>
  <c r="X66" i="4"/>
  <c r="Y66" i="4" s="1"/>
  <c r="N66" i="4"/>
  <c r="O66" i="4" s="1"/>
  <c r="Q66" i="4" s="1"/>
  <c r="X109" i="4"/>
  <c r="Y109" i="4" s="1"/>
  <c r="AD109" i="4"/>
  <c r="X62" i="4"/>
  <c r="Y62" i="4" s="1"/>
  <c r="U79" i="4"/>
  <c r="V79" i="4" s="1"/>
  <c r="W79" i="4" s="1"/>
  <c r="R79" i="4"/>
  <c r="S79" i="4" s="1"/>
  <c r="T79" i="4" s="1"/>
  <c r="U108" i="4"/>
  <c r="V108" i="4" s="1"/>
  <c r="W108" i="4" s="1"/>
  <c r="R44" i="4"/>
  <c r="S44" i="4" s="1"/>
  <c r="T44" i="4" s="1"/>
  <c r="N108" i="4"/>
  <c r="O108" i="4" s="1"/>
  <c r="Q108" i="4" s="1"/>
  <c r="R106" i="4"/>
  <c r="S106" i="4" s="1"/>
  <c r="T106" i="4" s="1"/>
  <c r="X108" i="4"/>
  <c r="Y108" i="4" s="1"/>
  <c r="U43" i="4"/>
  <c r="V43" i="4" s="1"/>
  <c r="W43" i="4" s="1"/>
  <c r="N44" i="4"/>
  <c r="O44" i="4" s="1"/>
  <c r="Q44" i="4" s="1"/>
  <c r="AD44" i="4"/>
  <c r="X44" i="4"/>
  <c r="Y44" i="4" s="1"/>
  <c r="N106" i="4"/>
  <c r="O106" i="4" s="1"/>
  <c r="Q106" i="4" s="1"/>
  <c r="AD106" i="4"/>
  <c r="X106" i="4"/>
  <c r="Y106" i="4" s="1"/>
  <c r="U25" i="4"/>
  <c r="V25" i="4" s="1"/>
  <c r="W25" i="4" s="1"/>
  <c r="AD25" i="4"/>
  <c r="U44" i="4"/>
  <c r="V44" i="4" s="1"/>
  <c r="W44" i="4" s="1"/>
  <c r="X43" i="4"/>
  <c r="Y43" i="4" s="1"/>
  <c r="N43" i="4"/>
  <c r="O43" i="4" s="1"/>
  <c r="Q43" i="4" s="1"/>
  <c r="U109" i="4"/>
  <c r="V109" i="4" s="1"/>
  <c r="W109" i="4" s="1"/>
  <c r="B75" i="4"/>
  <c r="B76" i="4" s="1"/>
  <c r="B68" i="4"/>
  <c r="B69" i="4" s="1"/>
  <c r="N109" i="4"/>
  <c r="O109" i="4" s="1"/>
  <c r="Q109" i="4" s="1"/>
  <c r="AQ682" i="3"/>
  <c r="B79" i="2"/>
  <c r="E45" i="1" s="1"/>
  <c r="N25" i="4"/>
  <c r="O25" i="4" s="1"/>
  <c r="Q25" i="4" s="1"/>
  <c r="G36" i="3"/>
  <c r="H36" i="3" s="1"/>
  <c r="BN36" i="3" s="1"/>
  <c r="B15" i="6"/>
  <c r="G11" i="3"/>
  <c r="H11" i="3" s="1"/>
  <c r="BN11" i="3" s="1"/>
  <c r="F18" i="3"/>
  <c r="F25" i="3"/>
  <c r="BM25" i="3" s="1"/>
  <c r="B72" i="2"/>
  <c r="E33" i="1" s="1"/>
  <c r="B84" i="2"/>
  <c r="E44" i="1" s="1"/>
  <c r="F38" i="3"/>
  <c r="BM38" i="3" s="1"/>
  <c r="F24" i="3"/>
  <c r="BM24" i="3" s="1"/>
  <c r="G31" i="3"/>
  <c r="H31" i="3" s="1"/>
  <c r="BN31" i="3" s="1"/>
  <c r="G24" i="3"/>
  <c r="H24" i="3" s="1"/>
  <c r="BN24" i="3" s="1"/>
  <c r="G27" i="3"/>
  <c r="H27" i="3" s="1"/>
  <c r="BN27" i="3" s="1"/>
  <c r="X25" i="4"/>
  <c r="Y25" i="4" s="1"/>
  <c r="R25" i="4"/>
  <c r="S25" i="4" s="1"/>
  <c r="T25" i="4" s="1"/>
  <c r="G12" i="3"/>
  <c r="H12" i="3" s="1"/>
  <c r="BN12" i="3" s="1"/>
  <c r="G26" i="3"/>
  <c r="H26" i="3" s="1"/>
  <c r="BN26" i="3" s="1"/>
  <c r="F37" i="3"/>
  <c r="BM37" i="3" s="1"/>
  <c r="F35" i="3"/>
  <c r="BM35" i="3" s="1"/>
  <c r="B3" i="6"/>
  <c r="B69" i="2"/>
  <c r="E36" i="1" s="1"/>
  <c r="F32" i="3"/>
  <c r="BM32" i="3" s="1"/>
  <c r="E19" i="1"/>
  <c r="G16" i="3"/>
  <c r="H16" i="3" s="1"/>
  <c r="BN16" i="3" s="1"/>
  <c r="B16" i="6"/>
  <c r="G156" i="2"/>
  <c r="AR682" i="3"/>
  <c r="G683" i="3"/>
  <c r="H683" i="3" s="1"/>
  <c r="AR683" i="3"/>
  <c r="AQ683" i="3"/>
  <c r="B683" i="3"/>
  <c r="D683" i="3"/>
  <c r="C683" i="3"/>
  <c r="F683" i="3"/>
  <c r="F15" i="3"/>
  <c r="BM15" i="3" s="1"/>
  <c r="G14" i="3"/>
  <c r="H14" i="3" s="1"/>
  <c r="F11" i="3"/>
  <c r="BM11" i="3" s="1"/>
  <c r="F22" i="3"/>
  <c r="BM22" i="3" s="1"/>
  <c r="G33" i="3"/>
  <c r="H33" i="3" s="1"/>
  <c r="BN33" i="3" s="1"/>
  <c r="F16" i="3"/>
  <c r="BM16" i="3" s="1"/>
  <c r="G23" i="3"/>
  <c r="H23" i="3" s="1"/>
  <c r="BN23" i="3" s="1"/>
  <c r="G34" i="3"/>
  <c r="H34" i="3" s="1"/>
  <c r="BN34" i="3" s="1"/>
  <c r="F27" i="3"/>
  <c r="BM27" i="3" s="1"/>
  <c r="G18" i="3"/>
  <c r="H18" i="3" s="1"/>
  <c r="BN18" i="3" s="1"/>
  <c r="F30" i="3"/>
  <c r="G38" i="3"/>
  <c r="H38" i="3" s="1"/>
  <c r="BN38" i="3" s="1"/>
  <c r="F682" i="3"/>
  <c r="G682" i="3"/>
  <c r="H682" i="3" s="1"/>
  <c r="F26" i="3"/>
  <c r="G13" i="3"/>
  <c r="H13" i="3" s="1"/>
  <c r="BN13" i="3" s="1"/>
  <c r="G29" i="3"/>
  <c r="H29" i="3" s="1"/>
  <c r="BN29" i="3" s="1"/>
  <c r="G32" i="3"/>
  <c r="H32" i="3" s="1"/>
  <c r="BN32" i="3" s="1"/>
  <c r="F20" i="3"/>
  <c r="BM20" i="3" s="1"/>
  <c r="G22" i="3"/>
  <c r="H22" i="3" s="1"/>
  <c r="BN22" i="3" s="1"/>
  <c r="F13" i="3"/>
  <c r="BM13" i="3" s="1"/>
  <c r="G20" i="3"/>
  <c r="H20" i="3" s="1"/>
  <c r="BN20" i="3" s="1"/>
  <c r="F19" i="3"/>
  <c r="BM19" i="3" s="1"/>
  <c r="F21" i="3"/>
  <c r="BM21" i="3" s="1"/>
  <c r="G19" i="3"/>
  <c r="H19" i="3" s="1"/>
  <c r="BN19" i="3" s="1"/>
  <c r="G28" i="3"/>
  <c r="H28" i="3" s="1"/>
  <c r="BN28" i="3" s="1"/>
  <c r="F34" i="3"/>
  <c r="BM34" i="3" s="1"/>
  <c r="G10" i="3"/>
  <c r="H10" i="3" s="1"/>
  <c r="BN10" i="3" s="1"/>
  <c r="G21" i="3"/>
  <c r="H21" i="3" s="1"/>
  <c r="BN21" i="3" s="1"/>
  <c r="G25" i="3"/>
  <c r="H25" i="3" s="1"/>
  <c r="BN25" i="3" s="1"/>
  <c r="F12" i="3"/>
  <c r="BM12" i="3" s="1"/>
  <c r="F9" i="3"/>
  <c r="BM9" i="3" s="1"/>
  <c r="F17" i="3"/>
  <c r="BM17" i="3" s="1"/>
  <c r="F14" i="3"/>
  <c r="BM14" i="3" s="1"/>
  <c r="G15" i="3"/>
  <c r="H15" i="3" s="1"/>
  <c r="BN15" i="3" s="1"/>
  <c r="F10" i="3"/>
  <c r="BM10" i="3" s="1"/>
  <c r="G35" i="3"/>
  <c r="H35" i="3" s="1"/>
  <c r="BN35" i="3" s="1"/>
  <c r="F33" i="3"/>
  <c r="F31" i="3"/>
  <c r="BM31" i="3" s="1"/>
  <c r="F29" i="3"/>
  <c r="BN17" i="3"/>
  <c r="F28" i="3"/>
  <c r="BM28" i="3" s="1"/>
  <c r="F36" i="3"/>
  <c r="BM36" i="3" s="1"/>
  <c r="G9" i="3"/>
  <c r="H9" i="3" s="1"/>
  <c r="G37" i="3"/>
  <c r="H37" i="3" s="1"/>
  <c r="G30" i="3"/>
  <c r="H30" i="3" s="1"/>
  <c r="BN30" i="3" s="1"/>
  <c r="F23" i="3"/>
  <c r="E63" i="1"/>
  <c r="BN14" i="4"/>
  <c r="BQ14" i="4"/>
  <c r="BK14" i="4"/>
  <c r="BJ14" i="4"/>
  <c r="BI14" i="4"/>
  <c r="BH14" i="4"/>
  <c r="BP14" i="4"/>
  <c r="BL14" i="4"/>
  <c r="BM14" i="4"/>
  <c r="BO14" i="4"/>
  <c r="BI15" i="4"/>
  <c r="BM15" i="4"/>
  <c r="BP15" i="4"/>
  <c r="BQ15" i="4"/>
  <c r="BJ15" i="4"/>
  <c r="BO15" i="4"/>
  <c r="BN15" i="4"/>
  <c r="BK15" i="4"/>
  <c r="BL15" i="4"/>
  <c r="BH15" i="4"/>
  <c r="BM9" i="4"/>
  <c r="BJ9" i="4"/>
  <c r="BL9" i="4"/>
  <c r="BH9" i="4"/>
  <c r="BO9" i="4"/>
  <c r="BQ9" i="4"/>
  <c r="BK9" i="4"/>
  <c r="BP9" i="4"/>
  <c r="BN9" i="4"/>
  <c r="BI9" i="4"/>
  <c r="BK16" i="4"/>
  <c r="BQ16" i="4"/>
  <c r="BI16" i="4"/>
  <c r="BO16" i="4"/>
  <c r="BP16" i="4"/>
  <c r="BM16" i="4"/>
  <c r="BL16" i="4"/>
  <c r="BJ16" i="4"/>
  <c r="BH16" i="4"/>
  <c r="BN16" i="4"/>
  <c r="BJ11" i="4"/>
  <c r="BN11" i="4"/>
  <c r="BQ11" i="4"/>
  <c r="BO11" i="4"/>
  <c r="BL11" i="4"/>
  <c r="BM11" i="4"/>
  <c r="BI11" i="4"/>
  <c r="BK11" i="4"/>
  <c r="BP11" i="4"/>
  <c r="BH11" i="4"/>
  <c r="BL12" i="4"/>
  <c r="BJ12" i="4"/>
  <c r="BI12" i="4"/>
  <c r="BN12" i="4"/>
  <c r="BH12" i="4"/>
  <c r="BM12" i="4"/>
  <c r="BQ12" i="4"/>
  <c r="BO12" i="4"/>
  <c r="BP12" i="4"/>
  <c r="BK12" i="4"/>
  <c r="BO13" i="4"/>
  <c r="BI13" i="4"/>
  <c r="BH13" i="4"/>
  <c r="BJ13" i="4"/>
  <c r="BQ13" i="4"/>
  <c r="BK13" i="4"/>
  <c r="BN13" i="4"/>
  <c r="BP13" i="4"/>
  <c r="BL13" i="4"/>
  <c r="BM13" i="4"/>
  <c r="BK17" i="4"/>
  <c r="BP17" i="4"/>
  <c r="BM17" i="4"/>
  <c r="BO17" i="4"/>
  <c r="BN17" i="4"/>
  <c r="BL17" i="4"/>
  <c r="BH17" i="4"/>
  <c r="BQ17" i="4"/>
  <c r="BI17" i="4"/>
  <c r="BJ17" i="4"/>
  <c r="N17" i="4"/>
  <c r="O17" i="4" s="1"/>
  <c r="Q17" i="4" s="1"/>
  <c r="R17" i="4"/>
  <c r="S17" i="4" s="1"/>
  <c r="T17" i="4" s="1"/>
  <c r="X17" i="4"/>
  <c r="Y17" i="4" s="1"/>
  <c r="AD17" i="4"/>
  <c r="J65" i="4"/>
  <c r="K65" i="4" s="1"/>
  <c r="AD47" i="4"/>
  <c r="R47" i="4"/>
  <c r="S47" i="4" s="1"/>
  <c r="T47" i="4" s="1"/>
  <c r="U47" i="4"/>
  <c r="V47" i="4" s="1"/>
  <c r="W47" i="4" s="1"/>
  <c r="N47" i="4"/>
  <c r="O47" i="4" s="1"/>
  <c r="Q47" i="4" s="1"/>
  <c r="R101" i="4"/>
  <c r="S101" i="4" s="1"/>
  <c r="T101" i="4" s="1"/>
  <c r="N101" i="4"/>
  <c r="O101" i="4" s="1"/>
  <c r="Q101" i="4" s="1"/>
  <c r="U101" i="4"/>
  <c r="V101" i="4" s="1"/>
  <c r="W101" i="4" s="1"/>
  <c r="X101" i="4"/>
  <c r="Y101" i="4" s="1"/>
  <c r="N100" i="4"/>
  <c r="O100" i="4" s="1"/>
  <c r="Q100" i="4" s="1"/>
  <c r="AD100" i="4"/>
  <c r="R100" i="4"/>
  <c r="S100" i="4" s="1"/>
  <c r="T100" i="4" s="1"/>
  <c r="X100" i="4"/>
  <c r="Y100" i="4" s="1"/>
  <c r="AD80" i="4"/>
  <c r="X80" i="4"/>
  <c r="Y80" i="4" s="1"/>
  <c r="N80" i="4"/>
  <c r="O80" i="4" s="1"/>
  <c r="Q80" i="4" s="1"/>
  <c r="R80" i="4"/>
  <c r="S80" i="4" s="1"/>
  <c r="T80" i="4" s="1"/>
  <c r="X15" i="4"/>
  <c r="Y15" i="4" s="1"/>
  <c r="N15" i="4"/>
  <c r="O15" i="4" s="1"/>
  <c r="Q15" i="4" s="1"/>
  <c r="R15" i="4"/>
  <c r="S15" i="4" s="1"/>
  <c r="T15" i="4" s="1"/>
  <c r="U15" i="4"/>
  <c r="V15" i="4" s="1"/>
  <c r="W15" i="4" s="1"/>
  <c r="U80" i="4"/>
  <c r="V80" i="4" s="1"/>
  <c r="W80" i="4" s="1"/>
  <c r="U29" i="4"/>
  <c r="V29" i="4" s="1"/>
  <c r="W29" i="4" s="1"/>
  <c r="U89" i="4"/>
  <c r="V89" i="4" s="1"/>
  <c r="W89" i="4" s="1"/>
  <c r="AD40" i="4"/>
  <c r="X88" i="4"/>
  <c r="Y88" i="4" s="1"/>
  <c r="X71" i="4"/>
  <c r="Y71" i="4" s="1"/>
  <c r="U28" i="4"/>
  <c r="V28" i="4" s="1"/>
  <c r="W28" i="4" s="1"/>
  <c r="AD74" i="4"/>
  <c r="AD26" i="4"/>
  <c r="X56" i="4"/>
  <c r="Y56" i="4" s="1"/>
  <c r="U92" i="4"/>
  <c r="V92" i="4" s="1"/>
  <c r="W92" i="4" s="1"/>
  <c r="X103" i="4"/>
  <c r="Y103" i="4" s="1"/>
  <c r="X89" i="4"/>
  <c r="Y89" i="4" s="1"/>
  <c r="U81" i="4"/>
  <c r="V81" i="4" s="1"/>
  <c r="W81" i="4" s="1"/>
  <c r="AD103" i="4"/>
  <c r="U91" i="4"/>
  <c r="V91" i="4" s="1"/>
  <c r="W91" i="4" s="1"/>
  <c r="U21" i="4"/>
  <c r="V21" i="4" s="1"/>
  <c r="W21" i="4" s="1"/>
  <c r="U71" i="4"/>
  <c r="V71" i="4" s="1"/>
  <c r="W71" i="4" s="1"/>
  <c r="X28" i="4"/>
  <c r="Y28" i="4" s="1"/>
  <c r="U74" i="4"/>
  <c r="V74" i="4" s="1"/>
  <c r="W74" i="4" s="1"/>
  <c r="X26" i="4"/>
  <c r="Y26" i="4" s="1"/>
  <c r="U56" i="4"/>
  <c r="V56" i="4" s="1"/>
  <c r="W56" i="4" s="1"/>
  <c r="X83" i="4"/>
  <c r="Y83" i="4" s="1"/>
  <c r="U51" i="4"/>
  <c r="V51" i="4" s="1"/>
  <c r="W51" i="4" s="1"/>
  <c r="N71" i="4"/>
  <c r="O71" i="4" s="1"/>
  <c r="Q71" i="4" s="1"/>
  <c r="R71" i="4"/>
  <c r="S71" i="4" s="1"/>
  <c r="T71" i="4" s="1"/>
  <c r="N28" i="4"/>
  <c r="O28" i="4" s="1"/>
  <c r="Q28" i="4" s="1"/>
  <c r="R28" i="4"/>
  <c r="S28" i="4" s="1"/>
  <c r="T28" i="4" s="1"/>
  <c r="R74" i="4"/>
  <c r="S74" i="4" s="1"/>
  <c r="T74" i="4" s="1"/>
  <c r="N74" i="4"/>
  <c r="O74" i="4" s="1"/>
  <c r="Q74" i="4" s="1"/>
  <c r="R26" i="4"/>
  <c r="S26" i="4" s="1"/>
  <c r="T26" i="4" s="1"/>
  <c r="N26" i="4"/>
  <c r="O26" i="4" s="1"/>
  <c r="Q26" i="4" s="1"/>
  <c r="R56" i="4"/>
  <c r="S56" i="4" s="1"/>
  <c r="T56" i="4" s="1"/>
  <c r="N56" i="4"/>
  <c r="O56" i="4" s="1"/>
  <c r="Q56" i="4" s="1"/>
  <c r="R92" i="4"/>
  <c r="S92" i="4" s="1"/>
  <c r="T92" i="4" s="1"/>
  <c r="N92" i="4"/>
  <c r="O92" i="4" s="1"/>
  <c r="Q92" i="4" s="1"/>
  <c r="X92" i="4"/>
  <c r="Y92" i="4" s="1"/>
  <c r="N103" i="4"/>
  <c r="O103" i="4" s="1"/>
  <c r="Q103" i="4" s="1"/>
  <c r="R103" i="4"/>
  <c r="S103" i="4" s="1"/>
  <c r="T103" i="4" s="1"/>
  <c r="X29" i="4"/>
  <c r="Y29" i="4" s="1"/>
  <c r="U40" i="4"/>
  <c r="V40" i="4" s="1"/>
  <c r="W40" i="4" s="1"/>
  <c r="U88" i="4"/>
  <c r="V88" i="4" s="1"/>
  <c r="W88" i="4" s="1"/>
  <c r="X21" i="4"/>
  <c r="Y21" i="4" s="1"/>
  <c r="AD91" i="4"/>
  <c r="AD83" i="4"/>
  <c r="X51" i="4"/>
  <c r="Y51" i="4" s="1"/>
  <c r="R40" i="4"/>
  <c r="S40" i="4" s="1"/>
  <c r="T40" i="4" s="1"/>
  <c r="N40" i="4"/>
  <c r="O40" i="4" s="1"/>
  <c r="Q40" i="4" s="1"/>
  <c r="R88" i="4"/>
  <c r="S88" i="4" s="1"/>
  <c r="T88" i="4" s="1"/>
  <c r="N88" i="4"/>
  <c r="O88" i="4" s="1"/>
  <c r="Q88" i="4" s="1"/>
  <c r="R21" i="4"/>
  <c r="S21" i="4" s="1"/>
  <c r="T21" i="4" s="1"/>
  <c r="N21" i="4"/>
  <c r="O21" i="4" s="1"/>
  <c r="Q21" i="4" s="1"/>
  <c r="R20" i="4"/>
  <c r="S20" i="4" s="1"/>
  <c r="T20" i="4" s="1"/>
  <c r="N20" i="4"/>
  <c r="O20" i="4" s="1"/>
  <c r="Q20" i="4" s="1"/>
  <c r="X20" i="4"/>
  <c r="Y20" i="4" s="1"/>
  <c r="R91" i="4"/>
  <c r="S91" i="4" s="1"/>
  <c r="T91" i="4" s="1"/>
  <c r="N91" i="4"/>
  <c r="O91" i="4" s="1"/>
  <c r="Q91" i="4" s="1"/>
  <c r="AQ39" i="3"/>
  <c r="AR39" i="3"/>
  <c r="B39" i="3"/>
  <c r="A40" i="3"/>
  <c r="D39" i="3"/>
  <c r="C39" i="3"/>
  <c r="G39" i="3"/>
  <c r="H39" i="3" s="1"/>
  <c r="F39" i="3"/>
  <c r="X85" i="4"/>
  <c r="Y85" i="4" s="1"/>
  <c r="R85" i="4"/>
  <c r="S85" i="4" s="1"/>
  <c r="T85" i="4" s="1"/>
  <c r="N85" i="4"/>
  <c r="O85" i="4" s="1"/>
  <c r="Q85" i="4" s="1"/>
  <c r="AD85" i="4"/>
  <c r="N83" i="4"/>
  <c r="O83" i="4" s="1"/>
  <c r="Q83" i="4" s="1"/>
  <c r="R83" i="4"/>
  <c r="S83" i="4" s="1"/>
  <c r="T83" i="4" s="1"/>
  <c r="N51" i="4"/>
  <c r="O51" i="4" s="1"/>
  <c r="Q51" i="4" s="1"/>
  <c r="R51" i="4"/>
  <c r="S51" i="4" s="1"/>
  <c r="T51" i="4" s="1"/>
  <c r="AD20" i="4"/>
  <c r="N96" i="4"/>
  <c r="O96" i="4" s="1"/>
  <c r="Q96" i="4" s="1"/>
  <c r="R96" i="4"/>
  <c r="S96" i="4" s="1"/>
  <c r="T96" i="4" s="1"/>
  <c r="N48" i="4"/>
  <c r="O48" i="4" s="1"/>
  <c r="Q48" i="4" s="1"/>
  <c r="R48" i="4"/>
  <c r="S48" i="4" s="1"/>
  <c r="T48" i="4" s="1"/>
  <c r="N29" i="4"/>
  <c r="O29" i="4" s="1"/>
  <c r="Q29" i="4" s="1"/>
  <c r="R29" i="4"/>
  <c r="S29" i="4" s="1"/>
  <c r="T29" i="4" s="1"/>
  <c r="N89" i="4"/>
  <c r="O89" i="4" s="1"/>
  <c r="Q89" i="4" s="1"/>
  <c r="R89" i="4"/>
  <c r="S89" i="4" s="1"/>
  <c r="T89" i="4" s="1"/>
  <c r="AD23" i="4"/>
  <c r="U22" i="4"/>
  <c r="V22" i="4" s="1"/>
  <c r="W22" i="4" s="1"/>
  <c r="AD93" i="4"/>
  <c r="AD96" i="4"/>
  <c r="X96" i="4"/>
  <c r="Y96" i="4" s="1"/>
  <c r="X23" i="4"/>
  <c r="Y23" i="4" s="1"/>
  <c r="X22" i="4"/>
  <c r="Y22" i="4" s="1"/>
  <c r="X48" i="4"/>
  <c r="Y48" i="4" s="1"/>
  <c r="AD48" i="4"/>
  <c r="X93" i="4"/>
  <c r="Y93" i="4" s="1"/>
  <c r="X81" i="4"/>
  <c r="Y81" i="4" s="1"/>
  <c r="R23" i="4"/>
  <c r="S23" i="4" s="1"/>
  <c r="T23" i="4" s="1"/>
  <c r="N23" i="4"/>
  <c r="O23" i="4" s="1"/>
  <c r="Q23" i="4" s="1"/>
  <c r="N22" i="4"/>
  <c r="O22" i="4" s="1"/>
  <c r="Q22" i="4" s="1"/>
  <c r="R22" i="4"/>
  <c r="S22" i="4" s="1"/>
  <c r="T22" i="4" s="1"/>
  <c r="R93" i="4"/>
  <c r="S93" i="4" s="1"/>
  <c r="T93" i="4" s="1"/>
  <c r="N93" i="4"/>
  <c r="O93" i="4" s="1"/>
  <c r="Q93" i="4" s="1"/>
  <c r="R81" i="4"/>
  <c r="S81" i="4" s="1"/>
  <c r="T81" i="4" s="1"/>
  <c r="N81" i="4"/>
  <c r="O81" i="4" s="1"/>
  <c r="Q81" i="4" s="1"/>
  <c r="U48" i="4"/>
  <c r="V48" i="4" s="1"/>
  <c r="W48" i="4" s="1"/>
  <c r="AF132" i="4" l="1"/>
  <c r="M132" i="4"/>
  <c r="AA132" i="4" s="1"/>
  <c r="AB132" i="4"/>
  <c r="M201" i="4"/>
  <c r="AA201" i="4" s="1"/>
  <c r="Z201" i="4"/>
  <c r="AB201" i="4"/>
  <c r="Z184" i="4"/>
  <c r="AB166" i="4"/>
  <c r="M184" i="4"/>
  <c r="AA184" i="4" s="1"/>
  <c r="M192" i="4"/>
  <c r="AA192" i="4" s="1"/>
  <c r="Z192" i="4"/>
  <c r="AF184" i="4"/>
  <c r="AG184" i="4" s="1"/>
  <c r="AS184" i="4" s="1"/>
  <c r="AF192" i="4"/>
  <c r="AG192" i="4" s="1"/>
  <c r="AS192" i="4" s="1"/>
  <c r="M166" i="4"/>
  <c r="AA166" i="4" s="1"/>
  <c r="Z166" i="4"/>
  <c r="AB170" i="4"/>
  <c r="AB121" i="4"/>
  <c r="Z121" i="4"/>
  <c r="AF121" i="4"/>
  <c r="AG121" i="4" s="1"/>
  <c r="AS121" i="4" s="1"/>
  <c r="AB198" i="4"/>
  <c r="AB125" i="4"/>
  <c r="AF198" i="4"/>
  <c r="AG198" i="4" s="1"/>
  <c r="AS198" i="4" s="1"/>
  <c r="M198" i="4"/>
  <c r="AA198" i="4" s="1"/>
  <c r="M125" i="4"/>
  <c r="AA125" i="4" s="1"/>
  <c r="Z125" i="4"/>
  <c r="AF186" i="4"/>
  <c r="AG186" i="4" s="1"/>
  <c r="AS186" i="4" s="1"/>
  <c r="AB186" i="4"/>
  <c r="M154" i="4"/>
  <c r="AA154" i="4" s="1"/>
  <c r="Z186" i="4"/>
  <c r="Z138" i="4"/>
  <c r="AB183" i="4"/>
  <c r="Z183" i="4"/>
  <c r="AF154" i="4"/>
  <c r="AG154" i="4" s="1"/>
  <c r="AS154" i="4" s="1"/>
  <c r="AB138" i="4"/>
  <c r="Z200" i="4"/>
  <c r="AF200" i="4"/>
  <c r="AG200" i="4" s="1"/>
  <c r="AS200" i="4" s="1"/>
  <c r="M208" i="4"/>
  <c r="AA208" i="4" s="1"/>
  <c r="AF170" i="4"/>
  <c r="AG170" i="4" s="1"/>
  <c r="AS170" i="4" s="1"/>
  <c r="AB200" i="4"/>
  <c r="AB139" i="4"/>
  <c r="AF208" i="4"/>
  <c r="AG208" i="4" s="1"/>
  <c r="AS208" i="4" s="1"/>
  <c r="M127" i="4"/>
  <c r="AA127" i="4" s="1"/>
  <c r="Z208" i="4"/>
  <c r="AF141" i="4"/>
  <c r="AG141" i="4" s="1"/>
  <c r="AS141" i="4" s="1"/>
  <c r="M170" i="4"/>
  <c r="AA170" i="4" s="1"/>
  <c r="AB127" i="4"/>
  <c r="AF183" i="4"/>
  <c r="AG183" i="4" s="1"/>
  <c r="AS183" i="4" s="1"/>
  <c r="Z154" i="4"/>
  <c r="M141" i="4"/>
  <c r="AA141" i="4" s="1"/>
  <c r="AF138" i="4"/>
  <c r="AG138" i="4" s="1"/>
  <c r="AS138" i="4" s="1"/>
  <c r="Z127" i="4"/>
  <c r="AB141" i="4"/>
  <c r="M150" i="4"/>
  <c r="AA150" i="4" s="1"/>
  <c r="AB188" i="4"/>
  <c r="Z188" i="4"/>
  <c r="Z139" i="4"/>
  <c r="AC139" i="4" s="1"/>
  <c r="AR139" i="4" s="1"/>
  <c r="AB134" i="4"/>
  <c r="AF139" i="4"/>
  <c r="AG139" i="4" s="1"/>
  <c r="AS139" i="4" s="1"/>
  <c r="AG150" i="4"/>
  <c r="AS150" i="4" s="1"/>
  <c r="Z179" i="4"/>
  <c r="M179" i="4"/>
  <c r="AA179" i="4" s="1"/>
  <c r="AB150" i="4"/>
  <c r="Z150" i="4"/>
  <c r="M134" i="4"/>
  <c r="AA134" i="4" s="1"/>
  <c r="M118" i="4"/>
  <c r="AA118" i="4" s="1"/>
  <c r="AF188" i="4"/>
  <c r="AG188" i="4" s="1"/>
  <c r="AS188" i="4" s="1"/>
  <c r="AF134" i="4"/>
  <c r="AG134" i="4" s="1"/>
  <c r="AS134" i="4" s="1"/>
  <c r="Z118" i="4"/>
  <c r="AF171" i="4"/>
  <c r="AG171" i="4" s="1"/>
  <c r="AS171" i="4" s="1"/>
  <c r="Z119" i="4"/>
  <c r="AB119" i="4"/>
  <c r="M119" i="4"/>
  <c r="AA119" i="4" s="1"/>
  <c r="AG205" i="4"/>
  <c r="AS205" i="4" s="1"/>
  <c r="AG179" i="4"/>
  <c r="AS179" i="4" s="1"/>
  <c r="AF118" i="4"/>
  <c r="AG118" i="4" s="1"/>
  <c r="AS118" i="4" s="1"/>
  <c r="AB179" i="4"/>
  <c r="Z171" i="4"/>
  <c r="M171" i="4"/>
  <c r="AA171" i="4" s="1"/>
  <c r="AG127" i="4"/>
  <c r="AS127" i="4" s="1"/>
  <c r="AE204" i="4"/>
  <c r="AG204" i="4" s="1"/>
  <c r="AS204" i="4" s="1"/>
  <c r="AH71" i="4"/>
  <c r="AG119" i="4"/>
  <c r="AS119" i="4" s="1"/>
  <c r="AG132" i="4"/>
  <c r="AS132" i="4" s="1"/>
  <c r="AH89" i="4"/>
  <c r="AH81" i="4"/>
  <c r="AH51" i="4"/>
  <c r="AH108" i="4"/>
  <c r="AH92" i="4"/>
  <c r="AH56" i="4"/>
  <c r="AH88" i="4"/>
  <c r="M204" i="4"/>
  <c r="AA204" i="4" s="1"/>
  <c r="Z147" i="4"/>
  <c r="AH22" i="4"/>
  <c r="Z204" i="4"/>
  <c r="AH37" i="4"/>
  <c r="AH27" i="4"/>
  <c r="AF196" i="4"/>
  <c r="AH99" i="4"/>
  <c r="AH15" i="4"/>
  <c r="AH28" i="4"/>
  <c r="AH16" i="4"/>
  <c r="Z193" i="4"/>
  <c r="AB147" i="4"/>
  <c r="AH72" i="4"/>
  <c r="AG166" i="4"/>
  <c r="AS166" i="4" s="1"/>
  <c r="AE177" i="4"/>
  <c r="AH177" i="4"/>
  <c r="AE160" i="4"/>
  <c r="AH160" i="4"/>
  <c r="AE155" i="4"/>
  <c r="AG155" i="4" s="1"/>
  <c r="AS155" i="4" s="1"/>
  <c r="AH155" i="4"/>
  <c r="AE187" i="4"/>
  <c r="AG187" i="4" s="1"/>
  <c r="AS187" i="4" s="1"/>
  <c r="AH187" i="4"/>
  <c r="AH33" i="4"/>
  <c r="AH95" i="4"/>
  <c r="AH55" i="4"/>
  <c r="AH21" i="4"/>
  <c r="AE161" i="4"/>
  <c r="AH161" i="4"/>
  <c r="AE122" i="4"/>
  <c r="AH122" i="4"/>
  <c r="AE128" i="4"/>
  <c r="AH128" i="4"/>
  <c r="AE182" i="4"/>
  <c r="AH182" i="4"/>
  <c r="AE144" i="4"/>
  <c r="AH144" i="4"/>
  <c r="AE133" i="4"/>
  <c r="AH133" i="4"/>
  <c r="AE176" i="4"/>
  <c r="AH176" i="4"/>
  <c r="AE190" i="4"/>
  <c r="AH190" i="4"/>
  <c r="AE168" i="4"/>
  <c r="AH168" i="4"/>
  <c r="AE162" i="4"/>
  <c r="AH162" i="4"/>
  <c r="AE202" i="4"/>
  <c r="AH202" i="4"/>
  <c r="AE111" i="4"/>
  <c r="AG111" i="4" s="1"/>
  <c r="AS111" i="4" s="1"/>
  <c r="AH111" i="4"/>
  <c r="AE191" i="4"/>
  <c r="AH191" i="4"/>
  <c r="AE135" i="4"/>
  <c r="AH135" i="4"/>
  <c r="AE158" i="4"/>
  <c r="AH158" i="4"/>
  <c r="AE203" i="4"/>
  <c r="AH203" i="4"/>
  <c r="AE120" i="4"/>
  <c r="AH120" i="4"/>
  <c r="Z196" i="4"/>
  <c r="AE123" i="4"/>
  <c r="AH123" i="4"/>
  <c r="AG201" i="4"/>
  <c r="AS201" i="4" s="1"/>
  <c r="AE163" i="4"/>
  <c r="AH163" i="4"/>
  <c r="AG125" i="4"/>
  <c r="AS125" i="4" s="1"/>
  <c r="AE145" i="4"/>
  <c r="AH145" i="4"/>
  <c r="AE197" i="4"/>
  <c r="AH197" i="4"/>
  <c r="AE199" i="4"/>
  <c r="AG199" i="4" s="1"/>
  <c r="AS199" i="4" s="1"/>
  <c r="AH199" i="4"/>
  <c r="AE189" i="4"/>
  <c r="AH189" i="4"/>
  <c r="AE196" i="4"/>
  <c r="AH196" i="4"/>
  <c r="AE113" i="4"/>
  <c r="AH113" i="4"/>
  <c r="AE157" i="4"/>
  <c r="AH157" i="4"/>
  <c r="AE209" i="4"/>
  <c r="AH209" i="4"/>
  <c r="AE137" i="4"/>
  <c r="AH137" i="4"/>
  <c r="AE207" i="4"/>
  <c r="AH207" i="4"/>
  <c r="AH52" i="4"/>
  <c r="AH101" i="4"/>
  <c r="AH42" i="4"/>
  <c r="AH30" i="4"/>
  <c r="AE126" i="4"/>
  <c r="AH126" i="4"/>
  <c r="AE164" i="4"/>
  <c r="AH164" i="4"/>
  <c r="AE172" i="4"/>
  <c r="AH172" i="4"/>
  <c r="AE167" i="4"/>
  <c r="AH167" i="4"/>
  <c r="AE194" i="4"/>
  <c r="AH194" i="4"/>
  <c r="AE173" i="4"/>
  <c r="AH173" i="4"/>
  <c r="AE169" i="4"/>
  <c r="AH169" i="4"/>
  <c r="AE142" i="4"/>
  <c r="AH142" i="4"/>
  <c r="AE149" i="4"/>
  <c r="AH149" i="4"/>
  <c r="AE185" i="4"/>
  <c r="AH185" i="4"/>
  <c r="AE195" i="4"/>
  <c r="AH195" i="4"/>
  <c r="AE112" i="4"/>
  <c r="AH112" i="4"/>
  <c r="AF178" i="4"/>
  <c r="AE206" i="4"/>
  <c r="AH206" i="4"/>
  <c r="AE129" i="4"/>
  <c r="AH129" i="4"/>
  <c r="AE178" i="4"/>
  <c r="AH178" i="4"/>
  <c r="AE153" i="4"/>
  <c r="AH153" i="4"/>
  <c r="AE115" i="4"/>
  <c r="AH115" i="4"/>
  <c r="AE181" i="4"/>
  <c r="AH181" i="4"/>
  <c r="AE152" i="4"/>
  <c r="AH152" i="4"/>
  <c r="AE117" i="4"/>
  <c r="AH117" i="4"/>
  <c r="AE174" i="4"/>
  <c r="AH174" i="4"/>
  <c r="AE131" i="4"/>
  <c r="AH131" i="4"/>
  <c r="AE147" i="4"/>
  <c r="AH147" i="4"/>
  <c r="AH10" i="4"/>
  <c r="AH107" i="4"/>
  <c r="AH75" i="4"/>
  <c r="AH87" i="4"/>
  <c r="AE165" i="4"/>
  <c r="AH165" i="4"/>
  <c r="AE110" i="4"/>
  <c r="AH110" i="4"/>
  <c r="AE159" i="4"/>
  <c r="AH159" i="4"/>
  <c r="AE116" i="4"/>
  <c r="AH116" i="4"/>
  <c r="AE124" i="4"/>
  <c r="AH124" i="4"/>
  <c r="AE114" i="4"/>
  <c r="AH114" i="4"/>
  <c r="AE130" i="4"/>
  <c r="AH130" i="4"/>
  <c r="AE180" i="4"/>
  <c r="AH180" i="4"/>
  <c r="AE175" i="4"/>
  <c r="AH175" i="4"/>
  <c r="AE146" i="4"/>
  <c r="AH146" i="4"/>
  <c r="AE143" i="4"/>
  <c r="AH143" i="4"/>
  <c r="AE148" i="4"/>
  <c r="AH148" i="4"/>
  <c r="AE151" i="4"/>
  <c r="AH151" i="4"/>
  <c r="AE140" i="4"/>
  <c r="AH140" i="4"/>
  <c r="AE156" i="4"/>
  <c r="AH156" i="4"/>
  <c r="AE193" i="4"/>
  <c r="AG193" i="4" s="1"/>
  <c r="AS193" i="4" s="1"/>
  <c r="AH193" i="4"/>
  <c r="AE136" i="4"/>
  <c r="AH136" i="4"/>
  <c r="M178" i="4"/>
  <c r="AA178" i="4" s="1"/>
  <c r="Z178" i="4"/>
  <c r="Z187" i="4"/>
  <c r="M205" i="4"/>
  <c r="AA205" i="4" s="1"/>
  <c r="AB205" i="4"/>
  <c r="AB189" i="4"/>
  <c r="Z205" i="4"/>
  <c r="AB204" i="4"/>
  <c r="AB187" i="4"/>
  <c r="M187" i="4"/>
  <c r="AA187" i="4" s="1"/>
  <c r="Z136" i="4"/>
  <c r="M136" i="4"/>
  <c r="AA136" i="4" s="1"/>
  <c r="M196" i="4"/>
  <c r="AA196" i="4" s="1"/>
  <c r="AF147" i="4"/>
  <c r="M193" i="4"/>
  <c r="AA193" i="4" s="1"/>
  <c r="AF136" i="4"/>
  <c r="AF189" i="4"/>
  <c r="M189" i="4"/>
  <c r="AA189" i="4" s="1"/>
  <c r="AF206" i="4"/>
  <c r="M206" i="4"/>
  <c r="AA206" i="4" s="1"/>
  <c r="AB193" i="4"/>
  <c r="Z199" i="4"/>
  <c r="Z129" i="4"/>
  <c r="M129" i="4"/>
  <c r="AA129" i="4" s="1"/>
  <c r="AF129" i="4"/>
  <c r="AF197" i="4"/>
  <c r="M197" i="4"/>
  <c r="AA197" i="4" s="1"/>
  <c r="AB199" i="4"/>
  <c r="AB206" i="4"/>
  <c r="M199" i="4"/>
  <c r="AA199" i="4" s="1"/>
  <c r="Z155" i="4"/>
  <c r="AB174" i="4"/>
  <c r="AF174" i="4"/>
  <c r="AB155" i="4"/>
  <c r="Z174" i="4"/>
  <c r="M155" i="4"/>
  <c r="AA155" i="4" s="1"/>
  <c r="Z197" i="4"/>
  <c r="M21" i="4"/>
  <c r="AA21" i="4" s="1"/>
  <c r="AB21" i="4"/>
  <c r="AF21" i="4"/>
  <c r="AG21" i="4" s="1"/>
  <c r="AS21" i="4" s="1"/>
  <c r="Z21" i="4"/>
  <c r="M103" i="4"/>
  <c r="AA103" i="4" s="1"/>
  <c r="AB103" i="4"/>
  <c r="AF103" i="4"/>
  <c r="Z103" i="4"/>
  <c r="M95" i="4"/>
  <c r="AA95" i="4" s="1"/>
  <c r="AB95" i="4"/>
  <c r="Z95" i="4"/>
  <c r="AF95" i="4"/>
  <c r="AG95" i="4" s="1"/>
  <c r="AS95" i="4" s="1"/>
  <c r="M68" i="4"/>
  <c r="AA68" i="4" s="1"/>
  <c r="AB68" i="4"/>
  <c r="AF68" i="4"/>
  <c r="Z68" i="4"/>
  <c r="M27" i="4"/>
  <c r="AA27" i="4" s="1"/>
  <c r="AF27" i="4"/>
  <c r="AG27" i="4" s="1"/>
  <c r="AS27" i="4" s="1"/>
  <c r="AB27" i="4"/>
  <c r="Z27" i="4"/>
  <c r="M109" i="4"/>
  <c r="AA109" i="4" s="1"/>
  <c r="AB109" i="4"/>
  <c r="AF109" i="4"/>
  <c r="Z109" i="4"/>
  <c r="M36" i="4"/>
  <c r="AA36" i="4" s="1"/>
  <c r="AB36" i="4"/>
  <c r="AF36" i="4"/>
  <c r="Z36" i="4"/>
  <c r="M94" i="4"/>
  <c r="AA94" i="4" s="1"/>
  <c r="AF94" i="4"/>
  <c r="AB94" i="4"/>
  <c r="Z94" i="4"/>
  <c r="M97" i="4"/>
  <c r="AA97" i="4" s="1"/>
  <c r="AB97" i="4"/>
  <c r="AF97" i="4"/>
  <c r="Z97" i="4"/>
  <c r="M56" i="4"/>
  <c r="AA56" i="4" s="1"/>
  <c r="AB56" i="4"/>
  <c r="AF56" i="4"/>
  <c r="AG56" i="4" s="1"/>
  <c r="AS56" i="4" s="1"/>
  <c r="Z56" i="4"/>
  <c r="M104" i="4"/>
  <c r="AA104" i="4" s="1"/>
  <c r="AB104" i="4"/>
  <c r="AF104" i="4"/>
  <c r="Z104" i="4"/>
  <c r="M9" i="4"/>
  <c r="AA9" i="4" s="1"/>
  <c r="AF9" i="4"/>
  <c r="AB9" i="4"/>
  <c r="Z9" i="4"/>
  <c r="M102" i="4"/>
  <c r="AA102" i="4" s="1"/>
  <c r="AF102" i="4"/>
  <c r="AB102" i="4"/>
  <c r="Z102" i="4"/>
  <c r="M49" i="4"/>
  <c r="AA49" i="4" s="1"/>
  <c r="AB49" i="4"/>
  <c r="AF49" i="4"/>
  <c r="Z49" i="4"/>
  <c r="M84" i="4"/>
  <c r="AA84" i="4" s="1"/>
  <c r="AF84" i="4"/>
  <c r="AB84" i="4"/>
  <c r="Z84" i="4"/>
  <c r="M100" i="4"/>
  <c r="AA100" i="4" s="1"/>
  <c r="AB100" i="4"/>
  <c r="AF100" i="4"/>
  <c r="Z100" i="4"/>
  <c r="M85" i="4"/>
  <c r="AA85" i="4" s="1"/>
  <c r="AB85" i="4"/>
  <c r="AF85" i="4"/>
  <c r="Z85" i="4"/>
  <c r="M66" i="4"/>
  <c r="AA66" i="4" s="1"/>
  <c r="AF66" i="4"/>
  <c r="AB66" i="4"/>
  <c r="Z66" i="4"/>
  <c r="M157" i="4"/>
  <c r="AA157" i="4" s="1"/>
  <c r="Z157" i="4"/>
  <c r="AB157" i="4"/>
  <c r="AF157" i="4"/>
  <c r="M145" i="4"/>
  <c r="AA145" i="4" s="1"/>
  <c r="AB145" i="4"/>
  <c r="AF145" i="4"/>
  <c r="Z145" i="4"/>
  <c r="M177" i="4"/>
  <c r="AA177" i="4" s="1"/>
  <c r="AF177" i="4"/>
  <c r="AB177" i="4"/>
  <c r="Z177" i="4"/>
  <c r="M116" i="4"/>
  <c r="AA116" i="4" s="1"/>
  <c r="AB116" i="4"/>
  <c r="Z116" i="4"/>
  <c r="AF116" i="4"/>
  <c r="M173" i="4"/>
  <c r="AA173" i="4" s="1"/>
  <c r="AF173" i="4"/>
  <c r="Z173" i="4"/>
  <c r="AB173" i="4"/>
  <c r="M169" i="4"/>
  <c r="AA169" i="4" s="1"/>
  <c r="AB169" i="4"/>
  <c r="Z169" i="4"/>
  <c r="AF169" i="4"/>
  <c r="M161" i="4"/>
  <c r="AA161" i="4" s="1"/>
  <c r="AF161" i="4"/>
  <c r="AB161" i="4"/>
  <c r="Z161" i="4"/>
  <c r="M164" i="4"/>
  <c r="AA164" i="4" s="1"/>
  <c r="AF164" i="4"/>
  <c r="AB164" i="4"/>
  <c r="Z164" i="4"/>
  <c r="M148" i="4"/>
  <c r="AA148" i="4" s="1"/>
  <c r="AF148" i="4"/>
  <c r="Z148" i="4"/>
  <c r="AB148" i="4"/>
  <c r="M114" i="4"/>
  <c r="AA114" i="4" s="1"/>
  <c r="AF114" i="4"/>
  <c r="AB114" i="4"/>
  <c r="Z114" i="4"/>
  <c r="M28" i="4"/>
  <c r="AA28" i="4" s="1"/>
  <c r="AB28" i="4"/>
  <c r="AF28" i="4"/>
  <c r="AG28" i="4" s="1"/>
  <c r="AS28" i="4" s="1"/>
  <c r="Z28" i="4"/>
  <c r="M32" i="4"/>
  <c r="AA32" i="4" s="1"/>
  <c r="AF32" i="4"/>
  <c r="AG32" i="4" s="1"/>
  <c r="AS32" i="4" s="1"/>
  <c r="AB32" i="4"/>
  <c r="Z32" i="4"/>
  <c r="M122" i="4"/>
  <c r="AA122" i="4" s="1"/>
  <c r="AF122" i="4"/>
  <c r="AB122" i="4"/>
  <c r="Z122" i="4"/>
  <c r="M137" i="4"/>
  <c r="AA137" i="4" s="1"/>
  <c r="AB137" i="4"/>
  <c r="Z137" i="4"/>
  <c r="AF137" i="4"/>
  <c r="M113" i="4"/>
  <c r="AA113" i="4" s="1"/>
  <c r="AB113" i="4"/>
  <c r="AF113" i="4"/>
  <c r="Z113" i="4"/>
  <c r="M128" i="4"/>
  <c r="AA128" i="4" s="1"/>
  <c r="AF128" i="4"/>
  <c r="AB128" i="4"/>
  <c r="Z128" i="4"/>
  <c r="M142" i="4"/>
  <c r="AA142" i="4" s="1"/>
  <c r="AF142" i="4"/>
  <c r="AB142" i="4"/>
  <c r="Z142" i="4"/>
  <c r="M149" i="4"/>
  <c r="AA149" i="4" s="1"/>
  <c r="AF149" i="4"/>
  <c r="AB149" i="4"/>
  <c r="Z149" i="4"/>
  <c r="M156" i="4"/>
  <c r="AA156" i="4" s="1"/>
  <c r="AF156" i="4"/>
  <c r="AB156" i="4"/>
  <c r="Z156" i="4"/>
  <c r="M80" i="4"/>
  <c r="AA80" i="4" s="1"/>
  <c r="AF80" i="4"/>
  <c r="AB80" i="4"/>
  <c r="Z80" i="4"/>
  <c r="M163" i="4"/>
  <c r="AA163" i="4" s="1"/>
  <c r="AB163" i="4"/>
  <c r="AF163" i="4"/>
  <c r="Z163" i="4"/>
  <c r="M30" i="4"/>
  <c r="AA30" i="4" s="1"/>
  <c r="AF30" i="4"/>
  <c r="AG30" i="4" s="1"/>
  <c r="AS30" i="4" s="1"/>
  <c r="AB30" i="4"/>
  <c r="Z30" i="4"/>
  <c r="M93" i="4"/>
  <c r="AA93" i="4" s="1"/>
  <c r="AB93" i="4"/>
  <c r="Z93" i="4"/>
  <c r="AF93" i="4"/>
  <c r="M39" i="4"/>
  <c r="AA39" i="4" s="1"/>
  <c r="AB39" i="4"/>
  <c r="AF39" i="4"/>
  <c r="Z39" i="4"/>
  <c r="M69" i="4"/>
  <c r="AA69" i="4" s="1"/>
  <c r="AB69" i="4"/>
  <c r="AF69" i="4"/>
  <c r="Z69" i="4"/>
  <c r="M34" i="4"/>
  <c r="AA34" i="4" s="1"/>
  <c r="AF34" i="4"/>
  <c r="AB34" i="4"/>
  <c r="Z34" i="4"/>
  <c r="M38" i="4"/>
  <c r="AA38" i="4" s="1"/>
  <c r="AF38" i="4"/>
  <c r="AB38" i="4"/>
  <c r="Z38" i="4"/>
  <c r="M108" i="4"/>
  <c r="AA108" i="4" s="1"/>
  <c r="AB108" i="4"/>
  <c r="AF108" i="4"/>
  <c r="AG108" i="4" s="1"/>
  <c r="AS108" i="4" s="1"/>
  <c r="Z108" i="4"/>
  <c r="M72" i="4"/>
  <c r="AA72" i="4" s="1"/>
  <c r="AB72" i="4"/>
  <c r="Z72" i="4"/>
  <c r="AF72" i="4"/>
  <c r="AG72" i="4" s="1"/>
  <c r="AS72" i="4" s="1"/>
  <c r="M92" i="4"/>
  <c r="AA92" i="4" s="1"/>
  <c r="AB92" i="4"/>
  <c r="AF92" i="4"/>
  <c r="AG92" i="4" s="1"/>
  <c r="AS92" i="4" s="1"/>
  <c r="Z92" i="4"/>
  <c r="M63" i="4"/>
  <c r="AA63" i="4" s="1"/>
  <c r="Z63" i="4"/>
  <c r="AF63" i="4"/>
  <c r="AB63" i="4"/>
  <c r="M45" i="4"/>
  <c r="AA45" i="4" s="1"/>
  <c r="AB45" i="4"/>
  <c r="AF45" i="4"/>
  <c r="Z45" i="4"/>
  <c r="M18" i="4"/>
  <c r="AA18" i="4" s="1"/>
  <c r="AF18" i="4"/>
  <c r="AB18" i="4"/>
  <c r="Z18" i="4"/>
  <c r="M13" i="4"/>
  <c r="AA13" i="4" s="1"/>
  <c r="AB13" i="4"/>
  <c r="AF13" i="4"/>
  <c r="Z13" i="4"/>
  <c r="M60" i="4"/>
  <c r="AA60" i="4" s="1"/>
  <c r="AB60" i="4"/>
  <c r="AF60" i="4"/>
  <c r="Z60" i="4"/>
  <c r="M29" i="4"/>
  <c r="AA29" i="4" s="1"/>
  <c r="AB29" i="4"/>
  <c r="Z29" i="4"/>
  <c r="AF29" i="4"/>
  <c r="AG29" i="4" s="1"/>
  <c r="AS29" i="4" s="1"/>
  <c r="M33" i="4"/>
  <c r="AA33" i="4" s="1"/>
  <c r="AB33" i="4"/>
  <c r="AF33" i="4"/>
  <c r="AG33" i="4" s="1"/>
  <c r="AS33" i="4" s="1"/>
  <c r="Z33" i="4"/>
  <c r="M53" i="4"/>
  <c r="AA53" i="4" s="1"/>
  <c r="AB53" i="4"/>
  <c r="AF53" i="4"/>
  <c r="Z53" i="4"/>
  <c r="M14" i="4"/>
  <c r="AA14" i="4" s="1"/>
  <c r="AF14" i="4"/>
  <c r="AB14" i="4"/>
  <c r="Z14" i="4"/>
  <c r="M31" i="4"/>
  <c r="AA31" i="4" s="1"/>
  <c r="AB31" i="4"/>
  <c r="Z31" i="4"/>
  <c r="AF31" i="4"/>
  <c r="M43" i="4"/>
  <c r="AA43" i="4" s="1"/>
  <c r="AF43" i="4"/>
  <c r="Z43" i="4"/>
  <c r="AB43" i="4"/>
  <c r="M24" i="4"/>
  <c r="AA24" i="4" s="1"/>
  <c r="AB24" i="4"/>
  <c r="AF24" i="4"/>
  <c r="Z24" i="4"/>
  <c r="M35" i="4"/>
  <c r="AA35" i="4" s="1"/>
  <c r="AB35" i="4"/>
  <c r="AF35" i="4"/>
  <c r="Z35" i="4"/>
  <c r="M23" i="4"/>
  <c r="AA23" i="4" s="1"/>
  <c r="AB23" i="4"/>
  <c r="AF23" i="4"/>
  <c r="Z23" i="4"/>
  <c r="M26" i="4"/>
  <c r="AA26" i="4" s="1"/>
  <c r="AF26" i="4"/>
  <c r="AB26" i="4"/>
  <c r="Z26" i="4"/>
  <c r="M70" i="4"/>
  <c r="AA70" i="4" s="1"/>
  <c r="AF70" i="4"/>
  <c r="AB70" i="4"/>
  <c r="Z70" i="4"/>
  <c r="M82" i="4"/>
  <c r="AA82" i="4" s="1"/>
  <c r="AF82" i="4"/>
  <c r="AB82" i="4"/>
  <c r="Z82" i="4"/>
  <c r="M131" i="4"/>
  <c r="AA131" i="4" s="1"/>
  <c r="AB131" i="4"/>
  <c r="AF131" i="4"/>
  <c r="Z131" i="4"/>
  <c r="M185" i="4"/>
  <c r="AA185" i="4" s="1"/>
  <c r="AF185" i="4"/>
  <c r="AB185" i="4"/>
  <c r="Z185" i="4"/>
  <c r="M130" i="4"/>
  <c r="AA130" i="4" s="1"/>
  <c r="AF130" i="4"/>
  <c r="AB130" i="4"/>
  <c r="Z130" i="4"/>
  <c r="M207" i="4"/>
  <c r="AA207" i="4" s="1"/>
  <c r="AB207" i="4"/>
  <c r="AF207" i="4"/>
  <c r="Z207" i="4"/>
  <c r="M194" i="4"/>
  <c r="AA194" i="4" s="1"/>
  <c r="AF194" i="4"/>
  <c r="AB194" i="4"/>
  <c r="Z194" i="4"/>
  <c r="M165" i="4"/>
  <c r="AA165" i="4" s="1"/>
  <c r="AF165" i="4"/>
  <c r="Z165" i="4"/>
  <c r="AB165" i="4"/>
  <c r="M176" i="4"/>
  <c r="AA176" i="4" s="1"/>
  <c r="AF176" i="4"/>
  <c r="AB176" i="4"/>
  <c r="Z176" i="4"/>
  <c r="M117" i="4"/>
  <c r="AA117" i="4" s="1"/>
  <c r="AB117" i="4"/>
  <c r="AF117" i="4"/>
  <c r="Z117" i="4"/>
  <c r="M209" i="4"/>
  <c r="AA209" i="4" s="1"/>
  <c r="AF209" i="4"/>
  <c r="AB209" i="4"/>
  <c r="Z209" i="4"/>
  <c r="M143" i="4"/>
  <c r="AA143" i="4" s="1"/>
  <c r="AB143" i="4"/>
  <c r="AF143" i="4"/>
  <c r="Z143" i="4"/>
  <c r="M181" i="4"/>
  <c r="AA181" i="4" s="1"/>
  <c r="AF181" i="4"/>
  <c r="Z181" i="4"/>
  <c r="AB181" i="4"/>
  <c r="Z111" i="4"/>
  <c r="AC111" i="4" s="1"/>
  <c r="M57" i="4"/>
  <c r="AA57" i="4" s="1"/>
  <c r="AB57" i="4"/>
  <c r="Z57" i="4"/>
  <c r="AF57" i="4"/>
  <c r="M22" i="4"/>
  <c r="AA22" i="4" s="1"/>
  <c r="AF22" i="4"/>
  <c r="AG22" i="4" s="1"/>
  <c r="AS22" i="4" s="1"/>
  <c r="Z22" i="4"/>
  <c r="AB22" i="4"/>
  <c r="M107" i="4"/>
  <c r="AA107" i="4" s="1"/>
  <c r="AF107" i="4"/>
  <c r="AG107" i="4" s="1"/>
  <c r="AS107" i="4" s="1"/>
  <c r="Z107" i="4"/>
  <c r="AB107" i="4"/>
  <c r="M52" i="4"/>
  <c r="AA52" i="4" s="1"/>
  <c r="AB52" i="4"/>
  <c r="AF52" i="4"/>
  <c r="AG52" i="4" s="1"/>
  <c r="AS52" i="4" s="1"/>
  <c r="Z52" i="4"/>
  <c r="M106" i="4"/>
  <c r="AA106" i="4" s="1"/>
  <c r="AF106" i="4"/>
  <c r="Z106" i="4"/>
  <c r="AB106" i="4"/>
  <c r="M42" i="4"/>
  <c r="AA42" i="4" s="1"/>
  <c r="AF42" i="4"/>
  <c r="AG42" i="4" s="1"/>
  <c r="AS42" i="4" s="1"/>
  <c r="Z42" i="4"/>
  <c r="AB42" i="4"/>
  <c r="M61" i="4"/>
  <c r="AA61" i="4" s="1"/>
  <c r="AB61" i="4"/>
  <c r="Z61" i="4"/>
  <c r="AF61" i="4"/>
  <c r="M101" i="4"/>
  <c r="AA101" i="4" s="1"/>
  <c r="AB101" i="4"/>
  <c r="AF101" i="4"/>
  <c r="AG101" i="4" s="1"/>
  <c r="AS101" i="4" s="1"/>
  <c r="Z101" i="4"/>
  <c r="M67" i="4"/>
  <c r="AA67" i="4" s="1"/>
  <c r="AB67" i="4"/>
  <c r="AF67" i="4"/>
  <c r="Z67" i="4"/>
  <c r="M78" i="4"/>
  <c r="AA78" i="4" s="1"/>
  <c r="AF78" i="4"/>
  <c r="AB78" i="4"/>
  <c r="Z78" i="4"/>
  <c r="M59" i="4"/>
  <c r="AA59" i="4" s="1"/>
  <c r="AF59" i="4"/>
  <c r="AB59" i="4"/>
  <c r="Z59" i="4"/>
  <c r="M180" i="4"/>
  <c r="AA180" i="4" s="1"/>
  <c r="Z180" i="4"/>
  <c r="AF180" i="4"/>
  <c r="AB180" i="4"/>
  <c r="M172" i="4"/>
  <c r="AA172" i="4" s="1"/>
  <c r="AF172" i="4"/>
  <c r="AB172" i="4"/>
  <c r="Z172" i="4"/>
  <c r="M126" i="4"/>
  <c r="AA126" i="4" s="1"/>
  <c r="AF126" i="4"/>
  <c r="AB126" i="4"/>
  <c r="Z126" i="4"/>
  <c r="M123" i="4"/>
  <c r="AA123" i="4" s="1"/>
  <c r="AF123" i="4"/>
  <c r="AB123" i="4"/>
  <c r="Z123" i="4"/>
  <c r="M160" i="4"/>
  <c r="AA160" i="4" s="1"/>
  <c r="AF160" i="4"/>
  <c r="AB160" i="4"/>
  <c r="Z160" i="4"/>
  <c r="M135" i="4"/>
  <c r="AA135" i="4" s="1"/>
  <c r="AB135" i="4"/>
  <c r="AF135" i="4"/>
  <c r="Z135" i="4"/>
  <c r="M20" i="4"/>
  <c r="AA20" i="4" s="1"/>
  <c r="AF20" i="4"/>
  <c r="Z20" i="4"/>
  <c r="AB20" i="4"/>
  <c r="M55" i="4"/>
  <c r="AA55" i="4" s="1"/>
  <c r="AB55" i="4"/>
  <c r="AF55" i="4"/>
  <c r="AG55" i="4" s="1"/>
  <c r="AS55" i="4" s="1"/>
  <c r="Z55" i="4"/>
  <c r="M96" i="4"/>
  <c r="AA96" i="4" s="1"/>
  <c r="AF96" i="4"/>
  <c r="AB96" i="4"/>
  <c r="Z96" i="4"/>
  <c r="M76" i="4"/>
  <c r="AA76" i="4" s="1"/>
  <c r="AB76" i="4"/>
  <c r="AF76" i="4"/>
  <c r="Z76" i="4"/>
  <c r="M89" i="4"/>
  <c r="AA89" i="4" s="1"/>
  <c r="AB89" i="4"/>
  <c r="Z89" i="4"/>
  <c r="AF89" i="4"/>
  <c r="AG89" i="4" s="1"/>
  <c r="AS89" i="4" s="1"/>
  <c r="M15" i="4"/>
  <c r="AA15" i="4" s="1"/>
  <c r="AB15" i="4"/>
  <c r="AF15" i="4"/>
  <c r="AG15" i="4" s="1"/>
  <c r="AS15" i="4" s="1"/>
  <c r="Z15" i="4"/>
  <c r="M105" i="4"/>
  <c r="AA105" i="4" s="1"/>
  <c r="AB105" i="4"/>
  <c r="AF105" i="4"/>
  <c r="Z105" i="4"/>
  <c r="M16" i="4"/>
  <c r="AA16" i="4" s="1"/>
  <c r="AF16" i="4"/>
  <c r="AG16" i="4" s="1"/>
  <c r="AS16" i="4" s="1"/>
  <c r="AB16" i="4"/>
  <c r="Z16" i="4"/>
  <c r="M74" i="4"/>
  <c r="AA74" i="4" s="1"/>
  <c r="AF74" i="4"/>
  <c r="Z74" i="4"/>
  <c r="AB74" i="4"/>
  <c r="M77" i="4"/>
  <c r="AA77" i="4" s="1"/>
  <c r="AB77" i="4"/>
  <c r="AF77" i="4"/>
  <c r="Z77" i="4"/>
  <c r="M19" i="4"/>
  <c r="AA19" i="4" s="1"/>
  <c r="AB19" i="4"/>
  <c r="AF19" i="4"/>
  <c r="Z19" i="4"/>
  <c r="M17" i="4"/>
  <c r="AA17" i="4" s="1"/>
  <c r="AB17" i="4"/>
  <c r="AF17" i="4"/>
  <c r="Z17" i="4"/>
  <c r="M40" i="4"/>
  <c r="AA40" i="4" s="1"/>
  <c r="AB40" i="4"/>
  <c r="AF40" i="4"/>
  <c r="Z40" i="4"/>
  <c r="M79" i="4"/>
  <c r="AA79" i="4" s="1"/>
  <c r="AB79" i="4"/>
  <c r="AF79" i="4"/>
  <c r="Z79" i="4"/>
  <c r="M88" i="4"/>
  <c r="AA88" i="4" s="1"/>
  <c r="AB88" i="4"/>
  <c r="AF88" i="4"/>
  <c r="AG88" i="4" s="1"/>
  <c r="AS88" i="4" s="1"/>
  <c r="Z88" i="4"/>
  <c r="M25" i="4"/>
  <c r="AA25" i="4" s="1"/>
  <c r="AB25" i="4"/>
  <c r="Z25" i="4"/>
  <c r="AF25" i="4"/>
  <c r="M83" i="4"/>
  <c r="AA83" i="4" s="1"/>
  <c r="AB83" i="4"/>
  <c r="AF83" i="4"/>
  <c r="Z83" i="4"/>
  <c r="M47" i="4"/>
  <c r="AA47" i="4" s="1"/>
  <c r="AB47" i="4"/>
  <c r="AF47" i="4"/>
  <c r="Z47" i="4"/>
  <c r="M140" i="4"/>
  <c r="AA140" i="4" s="1"/>
  <c r="AB140" i="4"/>
  <c r="AF140" i="4"/>
  <c r="Z140" i="4"/>
  <c r="M120" i="4"/>
  <c r="AA120" i="4" s="1"/>
  <c r="AB120" i="4"/>
  <c r="AF120" i="4"/>
  <c r="Z120" i="4"/>
  <c r="M202" i="4"/>
  <c r="AA202" i="4" s="1"/>
  <c r="AF202" i="4"/>
  <c r="AB202" i="4"/>
  <c r="Z202" i="4"/>
  <c r="M159" i="4"/>
  <c r="AA159" i="4" s="1"/>
  <c r="AB159" i="4"/>
  <c r="AF159" i="4"/>
  <c r="Z159" i="4"/>
  <c r="M153" i="4"/>
  <c r="AA153" i="4" s="1"/>
  <c r="AF153" i="4"/>
  <c r="AB153" i="4"/>
  <c r="Z153" i="4"/>
  <c r="M110" i="4"/>
  <c r="AA110" i="4" s="1"/>
  <c r="AF110" i="4"/>
  <c r="AB110" i="4"/>
  <c r="Z110" i="4"/>
  <c r="M175" i="4"/>
  <c r="AA175" i="4" s="1"/>
  <c r="AB175" i="4"/>
  <c r="AF175" i="4"/>
  <c r="Z175" i="4"/>
  <c r="M146" i="4"/>
  <c r="AA146" i="4" s="1"/>
  <c r="AF146" i="4"/>
  <c r="AB146" i="4"/>
  <c r="Z146" i="4"/>
  <c r="M112" i="4"/>
  <c r="AA112" i="4" s="1"/>
  <c r="AF112" i="4"/>
  <c r="AB112" i="4"/>
  <c r="Z112" i="4"/>
  <c r="M37" i="4"/>
  <c r="AA37" i="4" s="1"/>
  <c r="AB37" i="4"/>
  <c r="AF37" i="4"/>
  <c r="AG37" i="4" s="1"/>
  <c r="AS37" i="4" s="1"/>
  <c r="Z37" i="4"/>
  <c r="M75" i="4"/>
  <c r="AA75" i="4" s="1"/>
  <c r="AF75" i="4"/>
  <c r="AG75" i="4" s="1"/>
  <c r="AS75" i="4" s="1"/>
  <c r="AB75" i="4"/>
  <c r="Z75" i="4"/>
  <c r="M91" i="4"/>
  <c r="AA91" i="4" s="1"/>
  <c r="AF91" i="4"/>
  <c r="AB91" i="4"/>
  <c r="Z91" i="4"/>
  <c r="M87" i="4"/>
  <c r="AA87" i="4" s="1"/>
  <c r="AB87" i="4"/>
  <c r="AF87" i="4"/>
  <c r="AG87" i="4" s="1"/>
  <c r="AS87" i="4" s="1"/>
  <c r="Z87" i="4"/>
  <c r="M81" i="4"/>
  <c r="AA81" i="4" s="1"/>
  <c r="AB81" i="4"/>
  <c r="AF81" i="4"/>
  <c r="AG81" i="4" s="1"/>
  <c r="AS81" i="4" s="1"/>
  <c r="Z81" i="4"/>
  <c r="M86" i="4"/>
  <c r="AA86" i="4" s="1"/>
  <c r="AF86" i="4"/>
  <c r="Z86" i="4"/>
  <c r="AB86" i="4"/>
  <c r="M98" i="4"/>
  <c r="AA98" i="4" s="1"/>
  <c r="AF98" i="4"/>
  <c r="AB98" i="4"/>
  <c r="Z98" i="4"/>
  <c r="M44" i="4"/>
  <c r="AA44" i="4" s="1"/>
  <c r="AB44" i="4"/>
  <c r="AF44" i="4"/>
  <c r="Z44" i="4"/>
  <c r="M50" i="4"/>
  <c r="AA50" i="4" s="1"/>
  <c r="AF50" i="4"/>
  <c r="AB50" i="4"/>
  <c r="Z50" i="4"/>
  <c r="M51" i="4"/>
  <c r="AA51" i="4" s="1"/>
  <c r="AB51" i="4"/>
  <c r="Z51" i="4"/>
  <c r="AF51" i="4"/>
  <c r="AG51" i="4" s="1"/>
  <c r="AS51" i="4" s="1"/>
  <c r="M99" i="4"/>
  <c r="AA99" i="4" s="1"/>
  <c r="AB99" i="4"/>
  <c r="AF99" i="4"/>
  <c r="AG99" i="4" s="1"/>
  <c r="AS99" i="4" s="1"/>
  <c r="Z99" i="4"/>
  <c r="M10" i="4"/>
  <c r="AA10" i="4" s="1"/>
  <c r="AF10" i="4"/>
  <c r="AG10" i="4" s="1"/>
  <c r="AS10" i="4" s="1"/>
  <c r="Z10" i="4"/>
  <c r="AB10" i="4"/>
  <c r="M58" i="4"/>
  <c r="AA58" i="4" s="1"/>
  <c r="AF58" i="4"/>
  <c r="AB58" i="4"/>
  <c r="Z58" i="4"/>
  <c r="M54" i="4"/>
  <c r="AA54" i="4" s="1"/>
  <c r="AF54" i="4"/>
  <c r="Z54" i="4"/>
  <c r="AB54" i="4"/>
  <c r="M90" i="4"/>
  <c r="AA90" i="4" s="1"/>
  <c r="AF90" i="4"/>
  <c r="AB90" i="4"/>
  <c r="Z90" i="4"/>
  <c r="M71" i="4"/>
  <c r="AA71" i="4" s="1"/>
  <c r="AB71" i="4"/>
  <c r="AF71" i="4"/>
  <c r="AG71" i="4" s="1"/>
  <c r="AS71" i="4" s="1"/>
  <c r="Z71" i="4"/>
  <c r="M46" i="4"/>
  <c r="AA46" i="4" s="1"/>
  <c r="AF46" i="4"/>
  <c r="AB46" i="4"/>
  <c r="Z46" i="4"/>
  <c r="M11" i="4"/>
  <c r="AA11" i="4" s="1"/>
  <c r="AF11" i="4"/>
  <c r="AB11" i="4"/>
  <c r="Z11" i="4"/>
  <c r="M62" i="4"/>
  <c r="AA62" i="4" s="1"/>
  <c r="AF62" i="4"/>
  <c r="AB62" i="4"/>
  <c r="Z62" i="4"/>
  <c r="M12" i="4"/>
  <c r="AA12" i="4" s="1"/>
  <c r="AB12" i="4"/>
  <c r="AF12" i="4"/>
  <c r="Z12" i="4"/>
  <c r="M41" i="4"/>
  <c r="AA41" i="4" s="1"/>
  <c r="AB41" i="4"/>
  <c r="Z41" i="4"/>
  <c r="AF41" i="4"/>
  <c r="M73" i="4"/>
  <c r="AA73" i="4" s="1"/>
  <c r="AB73" i="4"/>
  <c r="Z73" i="4"/>
  <c r="AF73" i="4"/>
  <c r="M64" i="4"/>
  <c r="AA64" i="4" s="1"/>
  <c r="AF64" i="4"/>
  <c r="Z64" i="4"/>
  <c r="AB64" i="4"/>
  <c r="M151" i="4"/>
  <c r="AA151" i="4" s="1"/>
  <c r="AF151" i="4"/>
  <c r="AB151" i="4"/>
  <c r="Z151" i="4"/>
  <c r="M152" i="4"/>
  <c r="AA152" i="4" s="1"/>
  <c r="AF152" i="4"/>
  <c r="AB152" i="4"/>
  <c r="Z152" i="4"/>
  <c r="M190" i="4"/>
  <c r="AA190" i="4" s="1"/>
  <c r="AF190" i="4"/>
  <c r="AB190" i="4"/>
  <c r="Z190" i="4"/>
  <c r="M182" i="4"/>
  <c r="AA182" i="4" s="1"/>
  <c r="AF182" i="4"/>
  <c r="AB182" i="4"/>
  <c r="Z182" i="4"/>
  <c r="M124" i="4"/>
  <c r="AA124" i="4" s="1"/>
  <c r="AB124" i="4"/>
  <c r="AF124" i="4"/>
  <c r="Z124" i="4"/>
  <c r="M133" i="4"/>
  <c r="AA133" i="4" s="1"/>
  <c r="AB133" i="4"/>
  <c r="AF133" i="4"/>
  <c r="Z133" i="4"/>
  <c r="M168" i="4"/>
  <c r="AA168" i="4" s="1"/>
  <c r="AB168" i="4"/>
  <c r="AF168" i="4"/>
  <c r="Z168" i="4"/>
  <c r="M167" i="4"/>
  <c r="AA167" i="4" s="1"/>
  <c r="AF167" i="4"/>
  <c r="AB167" i="4"/>
  <c r="Z167" i="4"/>
  <c r="M191" i="4"/>
  <c r="AA191" i="4" s="1"/>
  <c r="AB191" i="4"/>
  <c r="AF191" i="4"/>
  <c r="Z191" i="4"/>
  <c r="M144" i="4"/>
  <c r="AA144" i="4" s="1"/>
  <c r="AF144" i="4"/>
  <c r="AB144" i="4"/>
  <c r="Z144" i="4"/>
  <c r="M115" i="4"/>
  <c r="AA115" i="4" s="1"/>
  <c r="AB115" i="4"/>
  <c r="Z115" i="4"/>
  <c r="AF115" i="4"/>
  <c r="M195" i="4"/>
  <c r="AA195" i="4" s="1"/>
  <c r="AB195" i="4"/>
  <c r="AF195" i="4"/>
  <c r="Z195" i="4"/>
  <c r="M158" i="4"/>
  <c r="AA158" i="4" s="1"/>
  <c r="AF158" i="4"/>
  <c r="AB158" i="4"/>
  <c r="Z158" i="4"/>
  <c r="M162" i="4"/>
  <c r="AA162" i="4" s="1"/>
  <c r="AF162" i="4"/>
  <c r="AB162" i="4"/>
  <c r="Z162" i="4"/>
  <c r="M48" i="4"/>
  <c r="AA48" i="4" s="1"/>
  <c r="AF48" i="4"/>
  <c r="AB48" i="4"/>
  <c r="Z48" i="4"/>
  <c r="M203" i="4"/>
  <c r="AA203" i="4" s="1"/>
  <c r="AF203" i="4"/>
  <c r="AB203" i="4"/>
  <c r="Z203" i="4"/>
  <c r="X65" i="4"/>
  <c r="Y65" i="4" s="1"/>
  <c r="L65" i="4"/>
  <c r="AE23" i="4"/>
  <c r="AH23" i="4"/>
  <c r="AE60" i="4"/>
  <c r="AH60" i="4"/>
  <c r="AE31" i="4"/>
  <c r="AH31" i="4"/>
  <c r="AE9" i="4"/>
  <c r="AH9" i="4"/>
  <c r="AE26" i="4"/>
  <c r="AH26" i="4"/>
  <c r="AE80" i="4"/>
  <c r="AH80" i="4"/>
  <c r="AE100" i="4"/>
  <c r="AH100" i="4"/>
  <c r="AE41" i="4"/>
  <c r="AH41" i="4"/>
  <c r="AE18" i="4"/>
  <c r="AH18" i="4"/>
  <c r="AE105" i="4"/>
  <c r="AH105" i="4"/>
  <c r="AE35" i="4"/>
  <c r="AH35" i="4"/>
  <c r="AE24" i="4"/>
  <c r="AH24" i="4"/>
  <c r="AE69" i="4"/>
  <c r="AH69" i="4"/>
  <c r="AE57" i="4"/>
  <c r="AH57" i="4"/>
  <c r="AE54" i="4"/>
  <c r="AH54" i="4"/>
  <c r="AE82" i="4"/>
  <c r="AH82" i="4"/>
  <c r="AE104" i="4"/>
  <c r="AH104" i="4"/>
  <c r="AE48" i="4"/>
  <c r="AH48" i="4"/>
  <c r="AE47" i="4"/>
  <c r="AH47" i="4"/>
  <c r="AE25" i="4"/>
  <c r="AH25" i="4"/>
  <c r="AE109" i="4"/>
  <c r="AH109" i="4"/>
  <c r="AE62" i="4"/>
  <c r="AH62" i="4"/>
  <c r="AE59" i="4"/>
  <c r="AH59" i="4"/>
  <c r="AE50" i="4"/>
  <c r="AH50" i="4"/>
  <c r="AE76" i="4"/>
  <c r="AH76" i="4"/>
  <c r="AE36" i="4"/>
  <c r="AH36" i="4"/>
  <c r="AE93" i="4"/>
  <c r="AH93" i="4"/>
  <c r="AE40" i="4"/>
  <c r="AH40" i="4"/>
  <c r="AE17" i="4"/>
  <c r="AH17" i="4"/>
  <c r="AE106" i="4"/>
  <c r="AH106" i="4"/>
  <c r="AE44" i="4"/>
  <c r="AH44" i="4"/>
  <c r="AE11" i="4"/>
  <c r="AH11" i="4"/>
  <c r="AE43" i="4"/>
  <c r="AH43" i="4"/>
  <c r="AE97" i="4"/>
  <c r="AH97" i="4"/>
  <c r="AE98" i="4"/>
  <c r="AH98" i="4"/>
  <c r="AE84" i="4"/>
  <c r="AH84" i="4"/>
  <c r="AE67" i="4"/>
  <c r="AH67" i="4"/>
  <c r="AE49" i="4"/>
  <c r="AH49" i="4"/>
  <c r="AE102" i="4"/>
  <c r="AH102" i="4"/>
  <c r="AE61" i="4"/>
  <c r="AH61" i="4"/>
  <c r="AE39" i="4"/>
  <c r="AH39" i="4"/>
  <c r="AE14" i="4"/>
  <c r="AH14" i="4"/>
  <c r="AE64" i="4"/>
  <c r="AH64" i="4"/>
  <c r="AE77" i="4"/>
  <c r="AH77" i="4"/>
  <c r="AE85" i="4"/>
  <c r="AH85" i="4"/>
  <c r="AE79" i="4"/>
  <c r="AH79" i="4"/>
  <c r="AE38" i="4"/>
  <c r="AH38" i="4"/>
  <c r="AE86" i="4"/>
  <c r="AH86" i="4"/>
  <c r="AE53" i="4"/>
  <c r="AH53" i="4"/>
  <c r="AE94" i="4"/>
  <c r="AH94" i="4"/>
  <c r="AE58" i="4"/>
  <c r="AH58" i="4"/>
  <c r="AE96" i="4"/>
  <c r="AH96" i="4"/>
  <c r="AE20" i="4"/>
  <c r="AH20" i="4"/>
  <c r="AE83" i="4"/>
  <c r="AH83" i="4"/>
  <c r="AE74" i="4"/>
  <c r="AH74" i="4"/>
  <c r="AE91" i="4"/>
  <c r="AH91" i="4"/>
  <c r="AE103" i="4"/>
  <c r="AH103" i="4"/>
  <c r="AE66" i="4"/>
  <c r="AH66" i="4"/>
  <c r="AE13" i="4"/>
  <c r="AH13" i="4"/>
  <c r="AE46" i="4"/>
  <c r="AH46" i="4"/>
  <c r="AE70" i="4"/>
  <c r="AH70" i="4"/>
  <c r="AE78" i="4"/>
  <c r="AH78" i="4"/>
  <c r="AE34" i="4"/>
  <c r="AH34" i="4"/>
  <c r="AE90" i="4"/>
  <c r="AH90" i="4"/>
  <c r="AE63" i="4"/>
  <c r="AH63" i="4"/>
  <c r="AE73" i="4"/>
  <c r="AH73" i="4"/>
  <c r="AE19" i="4"/>
  <c r="AH19" i="4"/>
  <c r="AE68" i="4"/>
  <c r="AH68" i="4"/>
  <c r="AE12" i="4"/>
  <c r="AH12" i="4"/>
  <c r="AE45" i="4"/>
  <c r="AH45" i="4"/>
  <c r="B55" i="2"/>
  <c r="B64" i="2" s="1"/>
  <c r="B59" i="2"/>
  <c r="R22" i="8" s="1"/>
  <c r="S22" i="8" s="1"/>
  <c r="B60" i="2" s="1"/>
  <c r="C52" i="16"/>
  <c r="D52" i="16" s="1"/>
  <c r="A259" i="2"/>
  <c r="C57" i="16"/>
  <c r="D57" i="16" s="1"/>
  <c r="BM39" i="3"/>
  <c r="R9" i="8"/>
  <c r="S9" i="8" s="1"/>
  <c r="S30" i="8" s="1"/>
  <c r="C76" i="1" s="1"/>
  <c r="D76" i="1" s="1"/>
  <c r="BN14" i="3"/>
  <c r="B74" i="1"/>
  <c r="BM30" i="3"/>
  <c r="BM18" i="3"/>
  <c r="C225" i="2"/>
  <c r="B225" i="2" s="1"/>
  <c r="B226" i="2" s="1"/>
  <c r="C79" i="4"/>
  <c r="B79" i="4" s="1"/>
  <c r="B80" i="4" s="1"/>
  <c r="B70" i="4"/>
  <c r="BM29" i="3"/>
  <c r="B76" i="1"/>
  <c r="C3" i="8"/>
  <c r="C159" i="8" s="1"/>
  <c r="C158" i="8" s="1"/>
  <c r="C157" i="8" s="1"/>
  <c r="C156" i="8" s="1"/>
  <c r="C155" i="8" s="1"/>
  <c r="C154" i="8" s="1"/>
  <c r="C153" i="8" s="1"/>
  <c r="C152" i="8" s="1"/>
  <c r="C151" i="8" s="1"/>
  <c r="C150" i="8" s="1"/>
  <c r="C149" i="8" s="1"/>
  <c r="C148" i="8" s="1"/>
  <c r="C147" i="8" s="1"/>
  <c r="C146" i="8" s="1"/>
  <c r="C145" i="8" s="1"/>
  <c r="C144" i="8" s="1"/>
  <c r="C143" i="8" s="1"/>
  <c r="C142" i="8" s="1"/>
  <c r="C141" i="8" s="1"/>
  <c r="C140" i="8" s="1"/>
  <c r="C139" i="8" s="1"/>
  <c r="C138" i="8" s="1"/>
  <c r="C137" i="8" s="1"/>
  <c r="C136" i="8" s="1"/>
  <c r="C135" i="8" s="1"/>
  <c r="C134" i="8" s="1"/>
  <c r="C133" i="8" s="1"/>
  <c r="C132" i="8" s="1"/>
  <c r="C131" i="8" s="1"/>
  <c r="C130" i="8" s="1"/>
  <c r="C129" i="8" s="1"/>
  <c r="C128" i="8" s="1"/>
  <c r="C127" i="8" s="1"/>
  <c r="C126" i="8" s="1"/>
  <c r="C125" i="8" s="1"/>
  <c r="C124" i="8" s="1"/>
  <c r="C123" i="8" s="1"/>
  <c r="C122" i="8" s="1"/>
  <c r="C121" i="8" s="1"/>
  <c r="C120" i="8" s="1"/>
  <c r="C119" i="8" s="1"/>
  <c r="C118" i="8" s="1"/>
  <c r="C117" i="8" s="1"/>
  <c r="C116" i="8" s="1"/>
  <c r="C115" i="8" s="1"/>
  <c r="C114" i="8" s="1"/>
  <c r="C113" i="8" s="1"/>
  <c r="C112" i="8" s="1"/>
  <c r="C111" i="8" s="1"/>
  <c r="C110" i="8" s="1"/>
  <c r="C109" i="8" s="1"/>
  <c r="C108" i="8" s="1"/>
  <c r="C107" i="8" s="1"/>
  <c r="C106" i="8" s="1"/>
  <c r="C105" i="8" s="1"/>
  <c r="C104" i="8" s="1"/>
  <c r="C103" i="8" s="1"/>
  <c r="C102" i="8" s="1"/>
  <c r="C101" i="8" s="1"/>
  <c r="C100" i="8" s="1"/>
  <c r="C99" i="8" s="1"/>
  <c r="C98" i="8" s="1"/>
  <c r="C97" i="8" s="1"/>
  <c r="C96" i="8" s="1"/>
  <c r="C95" i="8" s="1"/>
  <c r="C94" i="8" s="1"/>
  <c r="C93" i="8" s="1"/>
  <c r="C92" i="8" s="1"/>
  <c r="C91" i="8" s="1"/>
  <c r="C90" i="8" s="1"/>
  <c r="C89" i="8" s="1"/>
  <c r="C88" i="8" s="1"/>
  <c r="C87" i="8" s="1"/>
  <c r="C86" i="8" s="1"/>
  <c r="C85" i="8" s="1"/>
  <c r="C84" i="8" s="1"/>
  <c r="C83" i="8" s="1"/>
  <c r="C82" i="8" s="1"/>
  <c r="C81" i="8" s="1"/>
  <c r="C80" i="8" s="1"/>
  <c r="C79" i="8" s="1"/>
  <c r="C78" i="8" s="1"/>
  <c r="C77" i="8" s="1"/>
  <c r="C76" i="8" s="1"/>
  <c r="C75" i="8" s="1"/>
  <c r="C74" i="8" s="1"/>
  <c r="C73" i="8" s="1"/>
  <c r="C72" i="8" s="1"/>
  <c r="C71" i="8" s="1"/>
  <c r="C70" i="8" s="1"/>
  <c r="C69" i="8" s="1"/>
  <c r="C68" i="8" s="1"/>
  <c r="C67" i="8" s="1"/>
  <c r="C66" i="8" s="1"/>
  <c r="C65" i="8" s="1"/>
  <c r="C64" i="8" s="1"/>
  <c r="C63" i="8" s="1"/>
  <c r="C62" i="8" s="1"/>
  <c r="C61" i="8" s="1"/>
  <c r="C60" i="8" s="1"/>
  <c r="C59" i="8" s="1"/>
  <c r="C58" i="8" s="1"/>
  <c r="C57" i="8" s="1"/>
  <c r="C56" i="8" s="1"/>
  <c r="C55" i="8" s="1"/>
  <c r="C54" i="8" s="1"/>
  <c r="C53" i="8" s="1"/>
  <c r="C52" i="8" s="1"/>
  <c r="C51" i="8" s="1"/>
  <c r="C50" i="8" s="1"/>
  <c r="C49" i="8" s="1"/>
  <c r="C48" i="8" s="1"/>
  <c r="C47" i="8" s="1"/>
  <c r="C46" i="8" s="1"/>
  <c r="C45" i="8" s="1"/>
  <c r="C44" i="8" s="1"/>
  <c r="C43" i="8" s="1"/>
  <c r="C42" i="8" s="1"/>
  <c r="C41" i="8" s="1"/>
  <c r="C40" i="8" s="1"/>
  <c r="C39" i="8" s="1"/>
  <c r="C38" i="8" s="1"/>
  <c r="C37" i="8" s="1"/>
  <c r="C36" i="8" s="1"/>
  <c r="C35" i="8" s="1"/>
  <c r="C34" i="8" s="1"/>
  <c r="C33" i="8" s="1"/>
  <c r="C32" i="8" s="1"/>
  <c r="C31" i="8" s="1"/>
  <c r="C30" i="8" s="1"/>
  <c r="C29" i="8" s="1"/>
  <c r="C28" i="8" s="1"/>
  <c r="C27" i="8" s="1"/>
  <c r="C26" i="8" s="1"/>
  <c r="C25" i="8" s="1"/>
  <c r="C24" i="8" s="1"/>
  <c r="C23" i="8" s="1"/>
  <c r="C22" i="8" s="1"/>
  <c r="C21" i="8" s="1"/>
  <c r="C20" i="8" s="1"/>
  <c r="C19" i="8" s="1"/>
  <c r="C18" i="8" s="1"/>
  <c r="C17" i="8" s="1"/>
  <c r="C16" i="8" s="1"/>
  <c r="C15" i="8" s="1"/>
  <c r="C14" i="8" s="1"/>
  <c r="C13" i="8" s="1"/>
  <c r="C12" i="8" s="1"/>
  <c r="C11" i="8" s="1"/>
  <c r="C10" i="8" s="1"/>
  <c r="C9" i="8" s="1"/>
  <c r="C8" i="8" s="1"/>
  <c r="C7" i="8" s="1"/>
  <c r="C6" i="8" s="1"/>
  <c r="C4" i="8" s="1"/>
  <c r="S28" i="8" s="1"/>
  <c r="C74" i="1" s="1"/>
  <c r="R27" i="8"/>
  <c r="BM33" i="3"/>
  <c r="BN37" i="3"/>
  <c r="BM23" i="3"/>
  <c r="BM26" i="3"/>
  <c r="BN9" i="3"/>
  <c r="AD65" i="4"/>
  <c r="U65" i="4"/>
  <c r="V65" i="4" s="1"/>
  <c r="W65" i="4" s="1"/>
  <c r="N65" i="4"/>
  <c r="O65" i="4" s="1"/>
  <c r="Q65" i="4" s="1"/>
  <c r="R65" i="4"/>
  <c r="S65" i="4" s="1"/>
  <c r="T65" i="4" s="1"/>
  <c r="AR40" i="3"/>
  <c r="B40" i="3"/>
  <c r="AQ40" i="3"/>
  <c r="A41" i="3"/>
  <c r="D40" i="3"/>
  <c r="C40" i="3"/>
  <c r="G40" i="3"/>
  <c r="H40" i="3" s="1"/>
  <c r="F40" i="3"/>
  <c r="BN39" i="3"/>
  <c r="AC132" i="4" l="1"/>
  <c r="AC201" i="4"/>
  <c r="AO201" i="4" s="1"/>
  <c r="AQ201" i="4" s="1"/>
  <c r="AU201" i="4" s="1"/>
  <c r="AC184" i="4"/>
  <c r="AR184" i="4" s="1"/>
  <c r="AC192" i="4"/>
  <c r="AR192" i="4" s="1"/>
  <c r="AC166" i="4"/>
  <c r="AR166" i="4" s="1"/>
  <c r="AC170" i="4"/>
  <c r="AR170" i="4" s="1"/>
  <c r="AC121" i="4"/>
  <c r="AO121" i="4" s="1"/>
  <c r="AQ121" i="4" s="1"/>
  <c r="AU121" i="4" s="1"/>
  <c r="AC198" i="4"/>
  <c r="AO198" i="4" s="1"/>
  <c r="AQ198" i="4" s="1"/>
  <c r="AU198" i="4" s="1"/>
  <c r="AC125" i="4"/>
  <c r="AR125" i="4" s="1"/>
  <c r="AC154" i="4"/>
  <c r="AR154" i="4" s="1"/>
  <c r="AC138" i="4"/>
  <c r="AR138" i="4" s="1"/>
  <c r="AC186" i="4"/>
  <c r="AR186" i="4" s="1"/>
  <c r="AC183" i="4"/>
  <c r="AR183" i="4" s="1"/>
  <c r="AC200" i="4"/>
  <c r="AO200" i="4" s="1"/>
  <c r="AQ200" i="4" s="1"/>
  <c r="AU200" i="4" s="1"/>
  <c r="AC188" i="4"/>
  <c r="AR188" i="4" s="1"/>
  <c r="AC127" i="4"/>
  <c r="AO127" i="4" s="1"/>
  <c r="AQ127" i="4" s="1"/>
  <c r="AU127" i="4" s="1"/>
  <c r="AC208" i="4"/>
  <c r="AR208" i="4" s="1"/>
  <c r="AC141" i="4"/>
  <c r="AR141" i="4" s="1"/>
  <c r="AC118" i="4"/>
  <c r="AR118" i="4" s="1"/>
  <c r="AC134" i="4"/>
  <c r="AR134" i="4" s="1"/>
  <c r="AC150" i="4"/>
  <c r="AR150" i="4" s="1"/>
  <c r="AC179" i="4"/>
  <c r="AO179" i="4" s="1"/>
  <c r="AQ179" i="4" s="1"/>
  <c r="AU179" i="4" s="1"/>
  <c r="AC119" i="4"/>
  <c r="AR119" i="4" s="1"/>
  <c r="AG124" i="4"/>
  <c r="AS124" i="4" s="1"/>
  <c r="AG175" i="4"/>
  <c r="AS175" i="4" s="1"/>
  <c r="AG159" i="4"/>
  <c r="AS159" i="4" s="1"/>
  <c r="AG129" i="4"/>
  <c r="AS129" i="4" s="1"/>
  <c r="AC171" i="4"/>
  <c r="AO171" i="4" s="1"/>
  <c r="AQ171" i="4" s="1"/>
  <c r="AU171" i="4" s="1"/>
  <c r="AO132" i="4"/>
  <c r="AQ132" i="4" s="1"/>
  <c r="AU132" i="4" s="1"/>
  <c r="AG195" i="4"/>
  <c r="AS195" i="4" s="1"/>
  <c r="AG117" i="4"/>
  <c r="AS117" i="4" s="1"/>
  <c r="AG153" i="4"/>
  <c r="AS153" i="4" s="1"/>
  <c r="AG143" i="4"/>
  <c r="AS143" i="4" s="1"/>
  <c r="AG196" i="4"/>
  <c r="AS196" i="4" s="1"/>
  <c r="AG131" i="4"/>
  <c r="AS131" i="4" s="1"/>
  <c r="AG181" i="4"/>
  <c r="AS181" i="4" s="1"/>
  <c r="AG209" i="4"/>
  <c r="AS209" i="4" s="1"/>
  <c r="AG165" i="4"/>
  <c r="AS165" i="4" s="1"/>
  <c r="AG130" i="4"/>
  <c r="AS130" i="4" s="1"/>
  <c r="AG185" i="4"/>
  <c r="AS185" i="4" s="1"/>
  <c r="AG142" i="4"/>
  <c r="AS142" i="4" s="1"/>
  <c r="AG122" i="4"/>
  <c r="AS122" i="4" s="1"/>
  <c r="AG164" i="4"/>
  <c r="AS164" i="4" s="1"/>
  <c r="AG173" i="4"/>
  <c r="AS173" i="4" s="1"/>
  <c r="AG174" i="4"/>
  <c r="AS174" i="4" s="1"/>
  <c r="AG152" i="4"/>
  <c r="AS152" i="4" s="1"/>
  <c r="AG146" i="4"/>
  <c r="AS146" i="4" s="1"/>
  <c r="AG110" i="4"/>
  <c r="AS110" i="4" s="1"/>
  <c r="AG123" i="4"/>
  <c r="AS123" i="4" s="1"/>
  <c r="AG163" i="4"/>
  <c r="AS163" i="4" s="1"/>
  <c r="AG162" i="4"/>
  <c r="AS162" i="4" s="1"/>
  <c r="AG197" i="4"/>
  <c r="AS197" i="4" s="1"/>
  <c r="AC147" i="4"/>
  <c r="AR147" i="4" s="1"/>
  <c r="AG133" i="4"/>
  <c r="AS133" i="4" s="1"/>
  <c r="AG120" i="4"/>
  <c r="AS120" i="4" s="1"/>
  <c r="AC196" i="4"/>
  <c r="AR196" i="4" s="1"/>
  <c r="AG140" i="4"/>
  <c r="AS140" i="4" s="1"/>
  <c r="AG135" i="4"/>
  <c r="AS135" i="4" s="1"/>
  <c r="AG167" i="4"/>
  <c r="AS167" i="4" s="1"/>
  <c r="AG182" i="4"/>
  <c r="AS182" i="4" s="1"/>
  <c r="AG190" i="4"/>
  <c r="AS190" i="4" s="1"/>
  <c r="AG112" i="4"/>
  <c r="AS112" i="4" s="1"/>
  <c r="AG160" i="4"/>
  <c r="AS160" i="4" s="1"/>
  <c r="AG207" i="4"/>
  <c r="AS207" i="4" s="1"/>
  <c r="AG113" i="4"/>
  <c r="AS113" i="4" s="1"/>
  <c r="AG189" i="4"/>
  <c r="AS189" i="4" s="1"/>
  <c r="AG203" i="4"/>
  <c r="AS203" i="4" s="1"/>
  <c r="AG158" i="4"/>
  <c r="AS158" i="4" s="1"/>
  <c r="AG156" i="4"/>
  <c r="AS156" i="4" s="1"/>
  <c r="AG114" i="4"/>
  <c r="AS114" i="4" s="1"/>
  <c r="AG148" i="4"/>
  <c r="AS148" i="4" s="1"/>
  <c r="AG147" i="4"/>
  <c r="AS147" i="4" s="1"/>
  <c r="AG115" i="4"/>
  <c r="AS115" i="4" s="1"/>
  <c r="AG191" i="4"/>
  <c r="AS191" i="4" s="1"/>
  <c r="AG168" i="4"/>
  <c r="AS168" i="4" s="1"/>
  <c r="AG180" i="4"/>
  <c r="AS180" i="4" s="1"/>
  <c r="AG137" i="4"/>
  <c r="AS137" i="4" s="1"/>
  <c r="AG169" i="4"/>
  <c r="AS169" i="4" s="1"/>
  <c r="AG116" i="4"/>
  <c r="AS116" i="4" s="1"/>
  <c r="AG157" i="4"/>
  <c r="AS157" i="4" s="1"/>
  <c r="AG206" i="4"/>
  <c r="AS206" i="4" s="1"/>
  <c r="AG136" i="4"/>
  <c r="AS136" i="4" s="1"/>
  <c r="AC204" i="4"/>
  <c r="AR204" i="4" s="1"/>
  <c r="AC178" i="4"/>
  <c r="AR178" i="4" s="1"/>
  <c r="AG178" i="4"/>
  <c r="AS178" i="4" s="1"/>
  <c r="AG144" i="4"/>
  <c r="AS144" i="4" s="1"/>
  <c r="AG151" i="4"/>
  <c r="AS151" i="4" s="1"/>
  <c r="AG202" i="4"/>
  <c r="AS202" i="4" s="1"/>
  <c r="AG126" i="4"/>
  <c r="AS126" i="4" s="1"/>
  <c r="AG172" i="4"/>
  <c r="AS172" i="4" s="1"/>
  <c r="AG145" i="4"/>
  <c r="AS145" i="4" s="1"/>
  <c r="AG176" i="4"/>
  <c r="AS176" i="4" s="1"/>
  <c r="AG194" i="4"/>
  <c r="AS194" i="4" s="1"/>
  <c r="AG149" i="4"/>
  <c r="AS149" i="4" s="1"/>
  <c r="AG128" i="4"/>
  <c r="AS128" i="4" s="1"/>
  <c r="AG161" i="4"/>
  <c r="AS161" i="4" s="1"/>
  <c r="AG177" i="4"/>
  <c r="AS177" i="4" s="1"/>
  <c r="AC205" i="4"/>
  <c r="AR205" i="4" s="1"/>
  <c r="AC189" i="4"/>
  <c r="AR189" i="4" s="1"/>
  <c r="AC187" i="4"/>
  <c r="AR187" i="4" s="1"/>
  <c r="AC193" i="4"/>
  <c r="AO193" i="4" s="1"/>
  <c r="AQ193" i="4" s="1"/>
  <c r="AU193" i="4" s="1"/>
  <c r="AC136" i="4"/>
  <c r="AC206" i="4"/>
  <c r="AR206" i="4" s="1"/>
  <c r="AC129" i="4"/>
  <c r="AC199" i="4"/>
  <c r="AR199" i="4" s="1"/>
  <c r="AC197" i="4"/>
  <c r="AR197" i="4" s="1"/>
  <c r="AG20" i="4"/>
  <c r="AS20" i="4" s="1"/>
  <c r="AG58" i="4"/>
  <c r="AS58" i="4" s="1"/>
  <c r="AG64" i="4"/>
  <c r="AS64" i="4" s="1"/>
  <c r="AG98" i="4"/>
  <c r="AS98" i="4" s="1"/>
  <c r="AG54" i="4"/>
  <c r="AS54" i="4" s="1"/>
  <c r="AG74" i="4"/>
  <c r="AS74" i="4" s="1"/>
  <c r="AG59" i="4"/>
  <c r="AS59" i="4" s="1"/>
  <c r="AC155" i="4"/>
  <c r="AR155" i="4" s="1"/>
  <c r="AG66" i="4"/>
  <c r="AS66" i="4" s="1"/>
  <c r="AG94" i="4"/>
  <c r="AS94" i="4" s="1"/>
  <c r="AG14" i="4"/>
  <c r="AS14" i="4" s="1"/>
  <c r="AG84" i="4"/>
  <c r="AS84" i="4" s="1"/>
  <c r="AG48" i="4"/>
  <c r="AS48" i="4" s="1"/>
  <c r="AG82" i="4"/>
  <c r="AS82" i="4" s="1"/>
  <c r="AG80" i="4"/>
  <c r="AS80" i="4" s="1"/>
  <c r="AG9" i="4"/>
  <c r="AS9" i="4" s="1"/>
  <c r="AC190" i="4"/>
  <c r="AR190" i="4" s="1"/>
  <c r="AC53" i="4"/>
  <c r="AR53" i="4" s="1"/>
  <c r="AC174" i="4"/>
  <c r="AR174" i="4" s="1"/>
  <c r="AG31" i="4"/>
  <c r="AS31" i="4" s="1"/>
  <c r="AG45" i="4"/>
  <c r="AS45" i="4" s="1"/>
  <c r="AG68" i="4"/>
  <c r="AS68" i="4" s="1"/>
  <c r="AG78" i="4"/>
  <c r="AS78" i="4" s="1"/>
  <c r="AG96" i="4"/>
  <c r="AS96" i="4" s="1"/>
  <c r="AG49" i="4"/>
  <c r="AS49" i="4" s="1"/>
  <c r="AG97" i="4"/>
  <c r="AS97" i="4" s="1"/>
  <c r="AG106" i="4"/>
  <c r="AS106" i="4" s="1"/>
  <c r="AG36" i="4"/>
  <c r="AS36" i="4" s="1"/>
  <c r="AG24" i="4"/>
  <c r="AS24" i="4" s="1"/>
  <c r="AG60" i="4"/>
  <c r="AS60" i="4" s="1"/>
  <c r="AC83" i="4"/>
  <c r="AR83" i="4" s="1"/>
  <c r="AC143" i="4"/>
  <c r="AC209" i="4"/>
  <c r="AR209" i="4" s="1"/>
  <c r="AC70" i="4"/>
  <c r="AR70" i="4" s="1"/>
  <c r="AC24" i="4"/>
  <c r="AR24" i="4" s="1"/>
  <c r="AC72" i="4"/>
  <c r="AR72" i="4" s="1"/>
  <c r="AC108" i="4"/>
  <c r="AR108" i="4" s="1"/>
  <c r="AC30" i="4"/>
  <c r="AR30" i="4" s="1"/>
  <c r="AC163" i="4"/>
  <c r="AR163" i="4" s="1"/>
  <c r="AC142" i="4"/>
  <c r="AR142" i="4" s="1"/>
  <c r="AC114" i="4"/>
  <c r="AR114" i="4" s="1"/>
  <c r="AC85" i="4"/>
  <c r="AR85" i="4" s="1"/>
  <c r="AC102" i="4"/>
  <c r="AR102" i="4" s="1"/>
  <c r="AC94" i="4"/>
  <c r="AR94" i="4" s="1"/>
  <c r="AC27" i="4"/>
  <c r="AR27" i="4" s="1"/>
  <c r="AC103" i="4"/>
  <c r="AR103" i="4" s="1"/>
  <c r="AG93" i="4"/>
  <c r="AS93" i="4" s="1"/>
  <c r="AC162" i="4"/>
  <c r="AR162" i="4" s="1"/>
  <c r="AC48" i="4"/>
  <c r="AR48" i="4" s="1"/>
  <c r="AC158" i="4"/>
  <c r="AC46" i="4"/>
  <c r="AR46" i="4" s="1"/>
  <c r="AC43" i="4"/>
  <c r="AR43" i="4" s="1"/>
  <c r="AG19" i="4"/>
  <c r="AS19" i="4" s="1"/>
  <c r="AG67" i="4"/>
  <c r="AS67" i="4" s="1"/>
  <c r="AG17" i="4"/>
  <c r="AG76" i="4"/>
  <c r="AS76" i="4" s="1"/>
  <c r="AG47" i="4"/>
  <c r="AS47" i="4" s="1"/>
  <c r="AC148" i="4"/>
  <c r="AR148" i="4" s="1"/>
  <c r="AG90" i="4"/>
  <c r="AS90" i="4" s="1"/>
  <c r="AG46" i="4"/>
  <c r="AS46" i="4" s="1"/>
  <c r="AG91" i="4"/>
  <c r="AS91" i="4" s="1"/>
  <c r="AC181" i="4"/>
  <c r="AR181" i="4" s="1"/>
  <c r="AC51" i="4"/>
  <c r="AR51" i="4" s="1"/>
  <c r="AG83" i="4"/>
  <c r="AS83" i="4" s="1"/>
  <c r="AG86" i="4"/>
  <c r="AS86" i="4" s="1"/>
  <c r="AG79" i="4"/>
  <c r="AS79" i="4" s="1"/>
  <c r="AG61" i="4"/>
  <c r="AS61" i="4" s="1"/>
  <c r="AG11" i="4"/>
  <c r="AS11" i="4" s="1"/>
  <c r="AG62" i="4"/>
  <c r="AS62" i="4" s="1"/>
  <c r="AG57" i="4"/>
  <c r="AS57" i="4" s="1"/>
  <c r="AG105" i="4"/>
  <c r="AS105" i="4" s="1"/>
  <c r="AC64" i="4"/>
  <c r="AR64" i="4" s="1"/>
  <c r="AC12" i="4"/>
  <c r="AR12" i="4" s="1"/>
  <c r="AC71" i="4"/>
  <c r="AR71" i="4" s="1"/>
  <c r="AC90" i="4"/>
  <c r="AR90" i="4" s="1"/>
  <c r="AC54" i="4"/>
  <c r="AR54" i="4" s="1"/>
  <c r="AC10" i="4"/>
  <c r="AR10" i="4" s="1"/>
  <c r="AC99" i="4"/>
  <c r="AR99" i="4" s="1"/>
  <c r="AC50" i="4"/>
  <c r="AR50" i="4" s="1"/>
  <c r="AC44" i="4"/>
  <c r="AR44" i="4" s="1"/>
  <c r="AC86" i="4"/>
  <c r="AR86" i="4" s="1"/>
  <c r="AC81" i="4"/>
  <c r="AR81" i="4" s="1"/>
  <c r="AC87" i="4"/>
  <c r="AR87" i="4" s="1"/>
  <c r="AC91" i="4"/>
  <c r="AR91" i="4" s="1"/>
  <c r="AC75" i="4"/>
  <c r="AR75" i="4" s="1"/>
  <c r="AC37" i="4"/>
  <c r="AR37" i="4" s="1"/>
  <c r="AC146" i="4"/>
  <c r="AR146" i="4" s="1"/>
  <c r="AC47" i="4"/>
  <c r="AR47" i="4" s="1"/>
  <c r="AC25" i="4"/>
  <c r="AR25" i="4" s="1"/>
  <c r="AC88" i="4"/>
  <c r="AR88" i="4" s="1"/>
  <c r="AC79" i="4"/>
  <c r="AC40" i="4"/>
  <c r="AR40" i="4" s="1"/>
  <c r="AC17" i="4"/>
  <c r="AR17" i="4" s="1"/>
  <c r="AC19" i="4"/>
  <c r="AR19" i="4" s="1"/>
  <c r="AC77" i="4"/>
  <c r="AR77" i="4" s="1"/>
  <c r="AC16" i="4"/>
  <c r="AR16" i="4" s="1"/>
  <c r="AC105" i="4"/>
  <c r="AR105" i="4" s="1"/>
  <c r="AC89" i="4"/>
  <c r="AR89" i="4" s="1"/>
  <c r="AC76" i="4"/>
  <c r="AR76" i="4" s="1"/>
  <c r="AC96" i="4"/>
  <c r="AR96" i="4" s="1"/>
  <c r="AC55" i="4"/>
  <c r="AR55" i="4" s="1"/>
  <c r="AC135" i="4"/>
  <c r="AR135" i="4" s="1"/>
  <c r="AC160" i="4"/>
  <c r="AR160" i="4" s="1"/>
  <c r="AC59" i="4"/>
  <c r="AR59" i="4" s="1"/>
  <c r="AC78" i="4"/>
  <c r="AR78" i="4" s="1"/>
  <c r="AC67" i="4"/>
  <c r="AR67" i="4" s="1"/>
  <c r="AC101" i="4"/>
  <c r="AR101" i="4" s="1"/>
  <c r="AC61" i="4"/>
  <c r="AR61" i="4" s="1"/>
  <c r="AC42" i="4"/>
  <c r="AO42" i="4" s="1"/>
  <c r="AQ42" i="4" s="1"/>
  <c r="AU42" i="4" s="1"/>
  <c r="AC52" i="4"/>
  <c r="AR52" i="4" s="1"/>
  <c r="AC107" i="4"/>
  <c r="AR107" i="4" s="1"/>
  <c r="AC22" i="4"/>
  <c r="AR22" i="4" s="1"/>
  <c r="AC57" i="4"/>
  <c r="AR57" i="4" s="1"/>
  <c r="AC117" i="4"/>
  <c r="AR117" i="4" s="1"/>
  <c r="AC23" i="4"/>
  <c r="AR23" i="4" s="1"/>
  <c r="AC35" i="4"/>
  <c r="AR35" i="4" s="1"/>
  <c r="AC33" i="4"/>
  <c r="AR33" i="4" s="1"/>
  <c r="AC29" i="4"/>
  <c r="AR29" i="4" s="1"/>
  <c r="AC60" i="4"/>
  <c r="AR60" i="4" s="1"/>
  <c r="AC13" i="4"/>
  <c r="AR13" i="4" s="1"/>
  <c r="AC45" i="4"/>
  <c r="AR45" i="4" s="1"/>
  <c r="AC63" i="4"/>
  <c r="AR63" i="4" s="1"/>
  <c r="AC92" i="4"/>
  <c r="AR92" i="4" s="1"/>
  <c r="AC69" i="4"/>
  <c r="AR69" i="4" s="1"/>
  <c r="AC39" i="4"/>
  <c r="AR39" i="4" s="1"/>
  <c r="AC93" i="4"/>
  <c r="AR93" i="4" s="1"/>
  <c r="AC28" i="4"/>
  <c r="AR28" i="4" s="1"/>
  <c r="AC36" i="4"/>
  <c r="AR36" i="4" s="1"/>
  <c r="AG77" i="4"/>
  <c r="AS77" i="4" s="1"/>
  <c r="AG40" i="4"/>
  <c r="AS40" i="4" s="1"/>
  <c r="AG50" i="4"/>
  <c r="AS50" i="4" s="1"/>
  <c r="AG25" i="4"/>
  <c r="AS25" i="4" s="1"/>
  <c r="AC175" i="4"/>
  <c r="AC15" i="4"/>
  <c r="AR15" i="4" s="1"/>
  <c r="AG73" i="4"/>
  <c r="AS73" i="4" s="1"/>
  <c r="AG41" i="4"/>
  <c r="AS41" i="4" s="1"/>
  <c r="AC176" i="4"/>
  <c r="AR176" i="4" s="1"/>
  <c r="AC82" i="4"/>
  <c r="AR82" i="4" s="1"/>
  <c r="AC26" i="4"/>
  <c r="AR26" i="4" s="1"/>
  <c r="AC31" i="4"/>
  <c r="AR31" i="4" s="1"/>
  <c r="AC14" i="4"/>
  <c r="AR14" i="4" s="1"/>
  <c r="AC18" i="4"/>
  <c r="AR18" i="4" s="1"/>
  <c r="AC38" i="4"/>
  <c r="AR38" i="4" s="1"/>
  <c r="AC34" i="4"/>
  <c r="AR34" i="4" s="1"/>
  <c r="AC80" i="4"/>
  <c r="AR80" i="4" s="1"/>
  <c r="AC156" i="4"/>
  <c r="AR156" i="4" s="1"/>
  <c r="AC149" i="4"/>
  <c r="AC32" i="4"/>
  <c r="AR32" i="4" s="1"/>
  <c r="AC66" i="4"/>
  <c r="AR66" i="4" s="1"/>
  <c r="AC84" i="4"/>
  <c r="AR84" i="4" s="1"/>
  <c r="AC95" i="4"/>
  <c r="AR95" i="4" s="1"/>
  <c r="AC73" i="4"/>
  <c r="AR73" i="4" s="1"/>
  <c r="AC62" i="4"/>
  <c r="AR62" i="4" s="1"/>
  <c r="AC112" i="4"/>
  <c r="AR112" i="4" s="1"/>
  <c r="AC74" i="4"/>
  <c r="AR74" i="4" s="1"/>
  <c r="AC106" i="4"/>
  <c r="AR106" i="4" s="1"/>
  <c r="AG102" i="4"/>
  <c r="AS102" i="4" s="1"/>
  <c r="AC195" i="4"/>
  <c r="AR195" i="4" s="1"/>
  <c r="AC144" i="4"/>
  <c r="AR144" i="4" s="1"/>
  <c r="AC41" i="4"/>
  <c r="AR41" i="4" s="1"/>
  <c r="AC11" i="4"/>
  <c r="AR11" i="4" s="1"/>
  <c r="AC58" i="4"/>
  <c r="AR58" i="4" s="1"/>
  <c r="AC98" i="4"/>
  <c r="AR98" i="4" s="1"/>
  <c r="AC20" i="4"/>
  <c r="AR20" i="4" s="1"/>
  <c r="AC180" i="4"/>
  <c r="AR180" i="4" s="1"/>
  <c r="AC203" i="4"/>
  <c r="AR203" i="4" s="1"/>
  <c r="AC100" i="4"/>
  <c r="AR100" i="4" s="1"/>
  <c r="AC49" i="4"/>
  <c r="AR49" i="4" s="1"/>
  <c r="AC9" i="4"/>
  <c r="AR9" i="4" s="1"/>
  <c r="AC104" i="4"/>
  <c r="AR104" i="4" s="1"/>
  <c r="AC56" i="4"/>
  <c r="AR56" i="4" s="1"/>
  <c r="AC97" i="4"/>
  <c r="AR97" i="4" s="1"/>
  <c r="AC109" i="4"/>
  <c r="AR109" i="4" s="1"/>
  <c r="AC68" i="4"/>
  <c r="AR68" i="4" s="1"/>
  <c r="AC21" i="4"/>
  <c r="AR21" i="4" s="1"/>
  <c r="AG12" i="4"/>
  <c r="AS12" i="4" s="1"/>
  <c r="AG63" i="4"/>
  <c r="AS63" i="4" s="1"/>
  <c r="AG34" i="4"/>
  <c r="AS34" i="4" s="1"/>
  <c r="AG70" i="4"/>
  <c r="AS70" i="4" s="1"/>
  <c r="AG13" i="4"/>
  <c r="AS13" i="4" s="1"/>
  <c r="AG103" i="4"/>
  <c r="AS103" i="4" s="1"/>
  <c r="AG53" i="4"/>
  <c r="AS53" i="4" s="1"/>
  <c r="AG38" i="4"/>
  <c r="AS38" i="4" s="1"/>
  <c r="AG85" i="4"/>
  <c r="AS85" i="4" s="1"/>
  <c r="AG39" i="4"/>
  <c r="AS39" i="4" s="1"/>
  <c r="AG43" i="4"/>
  <c r="AS43" i="4" s="1"/>
  <c r="AG44" i="4"/>
  <c r="AS44" i="4" s="1"/>
  <c r="AG109" i="4"/>
  <c r="AS109" i="4" s="1"/>
  <c r="AG104" i="4"/>
  <c r="AS104" i="4" s="1"/>
  <c r="AG69" i="4"/>
  <c r="AS69" i="4" s="1"/>
  <c r="AG35" i="4"/>
  <c r="AS35" i="4" s="1"/>
  <c r="AG18" i="4"/>
  <c r="AS18" i="4" s="1"/>
  <c r="AG100" i="4"/>
  <c r="AS100" i="4" s="1"/>
  <c r="AG26" i="4"/>
  <c r="AS26" i="4" s="1"/>
  <c r="AG23" i="4"/>
  <c r="AS23" i="4" s="1"/>
  <c r="M65" i="4"/>
  <c r="AA65" i="4" s="1"/>
  <c r="AB65" i="4"/>
  <c r="AF65" i="4"/>
  <c r="Z65" i="4"/>
  <c r="AO139" i="4"/>
  <c r="AQ139" i="4" s="1"/>
  <c r="AU139" i="4" s="1"/>
  <c r="AC145" i="4"/>
  <c r="AR145" i="4" s="1"/>
  <c r="AR132" i="4"/>
  <c r="AC133" i="4"/>
  <c r="AR133" i="4" s="1"/>
  <c r="AC110" i="4"/>
  <c r="AR110" i="4" s="1"/>
  <c r="AC191" i="4"/>
  <c r="AR191" i="4" s="1"/>
  <c r="AC159" i="4"/>
  <c r="AC164" i="4"/>
  <c r="AC152" i="4"/>
  <c r="AC177" i="4"/>
  <c r="AR177" i="4" s="1"/>
  <c r="AC128" i="4"/>
  <c r="AR128" i="4" s="1"/>
  <c r="AC167" i="4"/>
  <c r="AC173" i="4"/>
  <c r="AR173" i="4" s="1"/>
  <c r="AC120" i="4"/>
  <c r="AC153" i="4"/>
  <c r="AR153" i="4" s="1"/>
  <c r="AC137" i="4"/>
  <c r="AC172" i="4"/>
  <c r="AR172" i="4" s="1"/>
  <c r="AC131" i="4"/>
  <c r="AC185" i="4"/>
  <c r="AC116" i="4"/>
  <c r="AR116" i="4" s="1"/>
  <c r="AC124" i="4"/>
  <c r="AR124" i="4" s="1"/>
  <c r="AC122" i="4"/>
  <c r="AR122" i="4" s="1"/>
  <c r="AC151" i="4"/>
  <c r="AR151" i="4" s="1"/>
  <c r="AC207" i="4"/>
  <c r="AR207" i="4" s="1"/>
  <c r="AC115" i="4"/>
  <c r="AR115" i="4" s="1"/>
  <c r="AC157" i="4"/>
  <c r="AR157" i="4" s="1"/>
  <c r="AC169" i="4"/>
  <c r="AR169" i="4" s="1"/>
  <c r="AC182" i="4"/>
  <c r="AR182" i="4" s="1"/>
  <c r="AC202" i="4"/>
  <c r="AC123" i="4"/>
  <c r="AC140" i="4"/>
  <c r="AR140" i="4" s="1"/>
  <c r="AC113" i="4"/>
  <c r="AC130" i="4"/>
  <c r="AC126" i="4"/>
  <c r="AC161" i="4"/>
  <c r="AC165" i="4"/>
  <c r="AR111" i="4"/>
  <c r="AO111" i="4"/>
  <c r="AQ111" i="4" s="1"/>
  <c r="AU111" i="4" s="1"/>
  <c r="AC168" i="4"/>
  <c r="AC194" i="4"/>
  <c r="A265" i="2"/>
  <c r="AE65" i="4"/>
  <c r="AH65" i="4"/>
  <c r="R6" i="8"/>
  <c r="R5" i="8"/>
  <c r="S5" i="8" s="1"/>
  <c r="B265" i="2"/>
  <c r="C265" i="2"/>
  <c r="BM40" i="3"/>
  <c r="C53" i="16"/>
  <c r="D53" i="16" s="1"/>
  <c r="B139" i="2"/>
  <c r="A253" i="2" s="1"/>
  <c r="C39" i="16"/>
  <c r="D39" i="16" s="1"/>
  <c r="A237" i="2"/>
  <c r="B237" i="2"/>
  <c r="B142" i="2"/>
  <c r="A256" i="2" s="1"/>
  <c r="B77" i="1"/>
  <c r="E3" i="8"/>
  <c r="E159" i="8" s="1"/>
  <c r="E158" i="8" s="1"/>
  <c r="E157" i="8" s="1"/>
  <c r="E156" i="8" s="1"/>
  <c r="E155" i="8" s="1"/>
  <c r="E154" i="8" s="1"/>
  <c r="E153" i="8" s="1"/>
  <c r="E152" i="8" s="1"/>
  <c r="E151" i="8" s="1"/>
  <c r="E150" i="8" s="1"/>
  <c r="E149" i="8" s="1"/>
  <c r="E148" i="8" s="1"/>
  <c r="E147" i="8" s="1"/>
  <c r="E146" i="8" s="1"/>
  <c r="E145" i="8" s="1"/>
  <c r="E144" i="8" s="1"/>
  <c r="E143" i="8" s="1"/>
  <c r="E142" i="8" s="1"/>
  <c r="E141" i="8" s="1"/>
  <c r="E140" i="8" s="1"/>
  <c r="E139" i="8" s="1"/>
  <c r="E138" i="8" s="1"/>
  <c r="E137" i="8" s="1"/>
  <c r="E136" i="8" s="1"/>
  <c r="E135" i="8" s="1"/>
  <c r="E134" i="8" s="1"/>
  <c r="E133" i="8" s="1"/>
  <c r="E132" i="8" s="1"/>
  <c r="E131" i="8" s="1"/>
  <c r="E130" i="8" s="1"/>
  <c r="E129" i="8" s="1"/>
  <c r="E128" i="8" s="1"/>
  <c r="E127" i="8" s="1"/>
  <c r="E126" i="8" s="1"/>
  <c r="E125" i="8" s="1"/>
  <c r="E124" i="8" s="1"/>
  <c r="E123" i="8" s="1"/>
  <c r="E122" i="8" s="1"/>
  <c r="E121" i="8" s="1"/>
  <c r="E120" i="8" s="1"/>
  <c r="E119" i="8" s="1"/>
  <c r="E118" i="8" s="1"/>
  <c r="E117" i="8" s="1"/>
  <c r="E116" i="8" s="1"/>
  <c r="E115" i="8" s="1"/>
  <c r="E114" i="8" s="1"/>
  <c r="E113" i="8" s="1"/>
  <c r="E112" i="8" s="1"/>
  <c r="E111" i="8" s="1"/>
  <c r="E110" i="8" s="1"/>
  <c r="E109" i="8" s="1"/>
  <c r="E108" i="8" s="1"/>
  <c r="E107" i="8" s="1"/>
  <c r="E106" i="8" s="1"/>
  <c r="E105" i="8" s="1"/>
  <c r="E104" i="8" s="1"/>
  <c r="E103" i="8" s="1"/>
  <c r="E102" i="8" s="1"/>
  <c r="E101" i="8" s="1"/>
  <c r="E100" i="8" s="1"/>
  <c r="E99" i="8" s="1"/>
  <c r="E98" i="8" s="1"/>
  <c r="E97" i="8" s="1"/>
  <c r="E96" i="8" s="1"/>
  <c r="E95" i="8" s="1"/>
  <c r="E94" i="8" s="1"/>
  <c r="E93" i="8" s="1"/>
  <c r="E92" i="8" s="1"/>
  <c r="E91" i="8" s="1"/>
  <c r="E90" i="8" s="1"/>
  <c r="E89" i="8" s="1"/>
  <c r="E88" i="8" s="1"/>
  <c r="E87" i="8" s="1"/>
  <c r="E86" i="8" s="1"/>
  <c r="E85" i="8" s="1"/>
  <c r="E84" i="8" s="1"/>
  <c r="E83" i="8" s="1"/>
  <c r="E82" i="8" s="1"/>
  <c r="E81" i="8" s="1"/>
  <c r="E80" i="8" s="1"/>
  <c r="E79" i="8" s="1"/>
  <c r="E78" i="8" s="1"/>
  <c r="E77" i="8" s="1"/>
  <c r="E76" i="8" s="1"/>
  <c r="E75" i="8" s="1"/>
  <c r="E74" i="8" s="1"/>
  <c r="E73" i="8" s="1"/>
  <c r="E72" i="8" s="1"/>
  <c r="E71" i="8" s="1"/>
  <c r="E70" i="8" s="1"/>
  <c r="E69" i="8" s="1"/>
  <c r="E68" i="8" s="1"/>
  <c r="E67" i="8" s="1"/>
  <c r="E66" i="8" s="1"/>
  <c r="E65" i="8" s="1"/>
  <c r="E64" i="8" s="1"/>
  <c r="E63" i="8" s="1"/>
  <c r="E62" i="8" s="1"/>
  <c r="E61" i="8" s="1"/>
  <c r="E60" i="8" s="1"/>
  <c r="E59" i="8" s="1"/>
  <c r="E58" i="8" s="1"/>
  <c r="E57" i="8" s="1"/>
  <c r="E56" i="8" s="1"/>
  <c r="E55" i="8" s="1"/>
  <c r="E54" i="8" s="1"/>
  <c r="E53" i="8" s="1"/>
  <c r="E52" i="8" s="1"/>
  <c r="E51" i="8" s="1"/>
  <c r="E50" i="8" s="1"/>
  <c r="E49" i="8" s="1"/>
  <c r="E48" i="8" s="1"/>
  <c r="E47" i="8" s="1"/>
  <c r="E46" i="8" s="1"/>
  <c r="E45" i="8" s="1"/>
  <c r="E44" i="8" s="1"/>
  <c r="E43" i="8" s="1"/>
  <c r="E42" i="8" s="1"/>
  <c r="E41" i="8" s="1"/>
  <c r="E40" i="8" s="1"/>
  <c r="E39" i="8" s="1"/>
  <c r="E38" i="8" s="1"/>
  <c r="E37" i="8" s="1"/>
  <c r="E36" i="8" s="1"/>
  <c r="E35" i="8" s="1"/>
  <c r="E34" i="8" s="1"/>
  <c r="E33" i="8" s="1"/>
  <c r="E32" i="8" s="1"/>
  <c r="E31" i="8" s="1"/>
  <c r="E30" i="8" s="1"/>
  <c r="E29" i="8" s="1"/>
  <c r="E28" i="8" s="1"/>
  <c r="E27" i="8" s="1"/>
  <c r="E26" i="8" s="1"/>
  <c r="E25" i="8" s="1"/>
  <c r="E24" i="8" s="1"/>
  <c r="E23" i="8" s="1"/>
  <c r="E22" i="8" s="1"/>
  <c r="E21" i="8" s="1"/>
  <c r="E20" i="8" s="1"/>
  <c r="E19" i="8" s="1"/>
  <c r="E18" i="8" s="1"/>
  <c r="E17" i="8" s="1"/>
  <c r="E16" i="8" s="1"/>
  <c r="E15" i="8" s="1"/>
  <c r="E14" i="8" s="1"/>
  <c r="E13" i="8" s="1"/>
  <c r="E12" i="8" s="1"/>
  <c r="E11" i="8" s="1"/>
  <c r="E10" i="8" s="1"/>
  <c r="E9" i="8" s="1"/>
  <c r="E8" i="8" s="1"/>
  <c r="E7" i="8" s="1"/>
  <c r="E6" i="8" s="1"/>
  <c r="E4" i="8" s="1"/>
  <c r="S31" i="8" s="1"/>
  <c r="C77" i="1" s="1"/>
  <c r="D77" i="1" s="1"/>
  <c r="B75" i="1"/>
  <c r="D3" i="8"/>
  <c r="D159" i="8" s="1"/>
  <c r="D158" i="8" s="1"/>
  <c r="D157" i="8" s="1"/>
  <c r="D156" i="8" s="1"/>
  <c r="D155" i="8" s="1"/>
  <c r="D154" i="8" s="1"/>
  <c r="D153" i="8" s="1"/>
  <c r="D152" i="8" s="1"/>
  <c r="D151" i="8" s="1"/>
  <c r="D150" i="8" s="1"/>
  <c r="D149" i="8" s="1"/>
  <c r="D148" i="8" s="1"/>
  <c r="D147" i="8" s="1"/>
  <c r="D146" i="8" s="1"/>
  <c r="D145" i="8" s="1"/>
  <c r="D144" i="8" s="1"/>
  <c r="D143" i="8" s="1"/>
  <c r="D142" i="8" s="1"/>
  <c r="D141" i="8" s="1"/>
  <c r="D140" i="8" s="1"/>
  <c r="D139" i="8" s="1"/>
  <c r="D138" i="8" s="1"/>
  <c r="D137" i="8" s="1"/>
  <c r="D136" i="8" s="1"/>
  <c r="D135" i="8" s="1"/>
  <c r="D134" i="8" s="1"/>
  <c r="D133" i="8" s="1"/>
  <c r="D132" i="8" s="1"/>
  <c r="D131" i="8" s="1"/>
  <c r="D130" i="8" s="1"/>
  <c r="D129" i="8" s="1"/>
  <c r="D128" i="8" s="1"/>
  <c r="D127" i="8" s="1"/>
  <c r="D126" i="8" s="1"/>
  <c r="D125" i="8" s="1"/>
  <c r="D124" i="8" s="1"/>
  <c r="D123" i="8" s="1"/>
  <c r="D122" i="8" s="1"/>
  <c r="D121" i="8" s="1"/>
  <c r="D120" i="8" s="1"/>
  <c r="D119" i="8" s="1"/>
  <c r="D118" i="8" s="1"/>
  <c r="D117" i="8" s="1"/>
  <c r="D116" i="8" s="1"/>
  <c r="D115" i="8" s="1"/>
  <c r="D114" i="8" s="1"/>
  <c r="D113" i="8" s="1"/>
  <c r="D112" i="8" s="1"/>
  <c r="D111" i="8" s="1"/>
  <c r="D110" i="8" s="1"/>
  <c r="D109" i="8" s="1"/>
  <c r="D108" i="8" s="1"/>
  <c r="D107" i="8" s="1"/>
  <c r="D106" i="8" s="1"/>
  <c r="D105" i="8" s="1"/>
  <c r="D104" i="8" s="1"/>
  <c r="D103" i="8" s="1"/>
  <c r="D102" i="8" s="1"/>
  <c r="D101" i="8" s="1"/>
  <c r="D100" i="8" s="1"/>
  <c r="D99" i="8" s="1"/>
  <c r="D98" i="8" s="1"/>
  <c r="D97" i="8" s="1"/>
  <c r="D96" i="8" s="1"/>
  <c r="D95" i="8" s="1"/>
  <c r="D94" i="8" s="1"/>
  <c r="D93" i="8" s="1"/>
  <c r="D92" i="8" s="1"/>
  <c r="D91" i="8" s="1"/>
  <c r="D90" i="8" s="1"/>
  <c r="D89" i="8" s="1"/>
  <c r="D88" i="8" s="1"/>
  <c r="D87" i="8" s="1"/>
  <c r="D86" i="8" s="1"/>
  <c r="D85" i="8" s="1"/>
  <c r="D84" i="8" s="1"/>
  <c r="D83" i="8" s="1"/>
  <c r="D82" i="8" s="1"/>
  <c r="D81" i="8" s="1"/>
  <c r="D80" i="8" s="1"/>
  <c r="D79" i="8" s="1"/>
  <c r="D78" i="8" s="1"/>
  <c r="D77" i="8" s="1"/>
  <c r="D76" i="8" s="1"/>
  <c r="D75" i="8" s="1"/>
  <c r="D74" i="8" s="1"/>
  <c r="D73" i="8" s="1"/>
  <c r="D72" i="8" s="1"/>
  <c r="D71" i="8" s="1"/>
  <c r="D70" i="8" s="1"/>
  <c r="D69" i="8" s="1"/>
  <c r="D68" i="8" s="1"/>
  <c r="D67" i="8" s="1"/>
  <c r="D66" i="8" s="1"/>
  <c r="D65" i="8" s="1"/>
  <c r="D64" i="8" s="1"/>
  <c r="D63" i="8" s="1"/>
  <c r="D62" i="8" s="1"/>
  <c r="D61" i="8" s="1"/>
  <c r="D60" i="8" s="1"/>
  <c r="D59" i="8" s="1"/>
  <c r="D58" i="8" s="1"/>
  <c r="D57" i="8" s="1"/>
  <c r="D56" i="8" s="1"/>
  <c r="D55" i="8" s="1"/>
  <c r="D54" i="8" s="1"/>
  <c r="D53" i="8" s="1"/>
  <c r="D52" i="8" s="1"/>
  <c r="D51" i="8" s="1"/>
  <c r="D50" i="8" s="1"/>
  <c r="D49" i="8" s="1"/>
  <c r="D48" i="8" s="1"/>
  <c r="D47" i="8" s="1"/>
  <c r="D46" i="8" s="1"/>
  <c r="D45" i="8" s="1"/>
  <c r="D44" i="8" s="1"/>
  <c r="D43" i="8" s="1"/>
  <c r="D42" i="8" s="1"/>
  <c r="D41" i="8" s="1"/>
  <c r="D40" i="8" s="1"/>
  <c r="D39" i="8" s="1"/>
  <c r="D38" i="8" s="1"/>
  <c r="D37" i="8" s="1"/>
  <c r="D36" i="8" s="1"/>
  <c r="D35" i="8" s="1"/>
  <c r="D34" i="8" s="1"/>
  <c r="D33" i="8" s="1"/>
  <c r="D32" i="8" s="1"/>
  <c r="D31" i="8" s="1"/>
  <c r="D30" i="8" s="1"/>
  <c r="D29" i="8" s="1"/>
  <c r="D28" i="8" s="1"/>
  <c r="D27" i="8" s="1"/>
  <c r="D26" i="8" s="1"/>
  <c r="D25" i="8" s="1"/>
  <c r="D24" i="8" s="1"/>
  <c r="D23" i="8" s="1"/>
  <c r="D22" i="8" s="1"/>
  <c r="D21" i="8" s="1"/>
  <c r="D20" i="8" s="1"/>
  <c r="D19" i="8" s="1"/>
  <c r="D18" i="8" s="1"/>
  <c r="D17" i="8" s="1"/>
  <c r="D16" i="8" s="1"/>
  <c r="D15" i="8" s="1"/>
  <c r="D14" i="8" s="1"/>
  <c r="D13" i="8" s="1"/>
  <c r="D12" i="8" s="1"/>
  <c r="D11" i="8" s="1"/>
  <c r="D10" i="8" s="1"/>
  <c r="D9" i="8" s="1"/>
  <c r="D8" i="8" s="1"/>
  <c r="D7" i="8" s="1"/>
  <c r="D6" i="8" s="1"/>
  <c r="D4" i="8" s="1"/>
  <c r="S29" i="8" s="1"/>
  <c r="C75" i="1" s="1"/>
  <c r="D75" i="1" s="1"/>
  <c r="R30" i="8"/>
  <c r="R28" i="8"/>
  <c r="AQ41" i="3"/>
  <c r="AR41" i="3"/>
  <c r="A42" i="3"/>
  <c r="B41" i="3"/>
  <c r="D41" i="3"/>
  <c r="C41" i="3"/>
  <c r="G41" i="3"/>
  <c r="H41" i="3" s="1"/>
  <c r="F41" i="3"/>
  <c r="BN40" i="3"/>
  <c r="AO136" i="4" l="1"/>
  <c r="AQ136" i="4" s="1"/>
  <c r="AU136" i="4" s="1"/>
  <c r="AO184" i="4"/>
  <c r="AQ184" i="4" s="1"/>
  <c r="AU184" i="4" s="1"/>
  <c r="AR201" i="4"/>
  <c r="AO166" i="4"/>
  <c r="AQ166" i="4" s="1"/>
  <c r="AU166" i="4" s="1"/>
  <c r="AO149" i="4"/>
  <c r="AQ149" i="4" s="1"/>
  <c r="AU149" i="4" s="1"/>
  <c r="AO192" i="4"/>
  <c r="AQ192" i="4" s="1"/>
  <c r="AU192" i="4" s="1"/>
  <c r="AR121" i="4"/>
  <c r="AO170" i="4"/>
  <c r="AQ170" i="4" s="1"/>
  <c r="AU170" i="4" s="1"/>
  <c r="AR198" i="4"/>
  <c r="AO125" i="4"/>
  <c r="AQ125" i="4" s="1"/>
  <c r="AU125" i="4" s="1"/>
  <c r="AO186" i="4"/>
  <c r="AQ186" i="4" s="1"/>
  <c r="AU186" i="4" s="1"/>
  <c r="AO138" i="4"/>
  <c r="AQ138" i="4" s="1"/>
  <c r="AU138" i="4" s="1"/>
  <c r="AO188" i="4"/>
  <c r="AQ188" i="4" s="1"/>
  <c r="AU188" i="4" s="1"/>
  <c r="AO154" i="4"/>
  <c r="AQ154" i="4" s="1"/>
  <c r="AU154" i="4" s="1"/>
  <c r="AO183" i="4"/>
  <c r="AQ183" i="4" s="1"/>
  <c r="AU183" i="4" s="1"/>
  <c r="AR200" i="4"/>
  <c r="AO141" i="4"/>
  <c r="AQ141" i="4" s="1"/>
  <c r="AU141" i="4" s="1"/>
  <c r="AR127" i="4"/>
  <c r="AO150" i="4"/>
  <c r="AQ150" i="4" s="1"/>
  <c r="AU150" i="4" s="1"/>
  <c r="AO208" i="4"/>
  <c r="AQ208" i="4" s="1"/>
  <c r="AU208" i="4" s="1"/>
  <c r="AO118" i="4"/>
  <c r="AQ118" i="4" s="1"/>
  <c r="AU118" i="4" s="1"/>
  <c r="AO134" i="4"/>
  <c r="AQ134" i="4" s="1"/>
  <c r="AU134" i="4" s="1"/>
  <c r="AR179" i="4"/>
  <c r="AO119" i="4"/>
  <c r="AQ119" i="4" s="1"/>
  <c r="AU119" i="4" s="1"/>
  <c r="AO175" i="4"/>
  <c r="AQ175" i="4" s="1"/>
  <c r="AU175" i="4" s="1"/>
  <c r="AO129" i="4"/>
  <c r="AQ129" i="4" s="1"/>
  <c r="AU129" i="4" s="1"/>
  <c r="AO131" i="4"/>
  <c r="AQ131" i="4" s="1"/>
  <c r="AU131" i="4" s="1"/>
  <c r="AO202" i="4"/>
  <c r="AQ202" i="4" s="1"/>
  <c r="AU202" i="4" s="1"/>
  <c r="AO185" i="4"/>
  <c r="AQ185" i="4" s="1"/>
  <c r="AU185" i="4" s="1"/>
  <c r="AR171" i="4"/>
  <c r="AO164" i="4"/>
  <c r="AQ164" i="4" s="1"/>
  <c r="AU164" i="4" s="1"/>
  <c r="AO205" i="4"/>
  <c r="AQ205" i="4" s="1"/>
  <c r="AU205" i="4" s="1"/>
  <c r="AO152" i="4"/>
  <c r="AQ152" i="4" s="1"/>
  <c r="AU152" i="4" s="1"/>
  <c r="AO137" i="4"/>
  <c r="AQ137" i="4" s="1"/>
  <c r="AU137" i="4" s="1"/>
  <c r="AO196" i="4"/>
  <c r="AQ196" i="4" s="1"/>
  <c r="AU196" i="4" s="1"/>
  <c r="AO143" i="4"/>
  <c r="AQ143" i="4" s="1"/>
  <c r="AU143" i="4" s="1"/>
  <c r="AO204" i="4"/>
  <c r="AQ204" i="4" s="1"/>
  <c r="AU204" i="4" s="1"/>
  <c r="AO167" i="4"/>
  <c r="AQ167" i="4" s="1"/>
  <c r="AU167" i="4" s="1"/>
  <c r="AO120" i="4"/>
  <c r="AQ120" i="4" s="1"/>
  <c r="AU120" i="4" s="1"/>
  <c r="AO189" i="4"/>
  <c r="AQ189" i="4" s="1"/>
  <c r="AU189" i="4" s="1"/>
  <c r="AO147" i="4"/>
  <c r="AQ147" i="4" s="1"/>
  <c r="AU147" i="4" s="1"/>
  <c r="AO187" i="4"/>
  <c r="AQ187" i="4" s="1"/>
  <c r="AU187" i="4" s="1"/>
  <c r="AO160" i="4"/>
  <c r="AQ160" i="4" s="1"/>
  <c r="AU160" i="4" s="1"/>
  <c r="AO158" i="4"/>
  <c r="AQ158" i="4" s="1"/>
  <c r="AU158" i="4" s="1"/>
  <c r="AR136" i="4"/>
  <c r="AR193" i="4"/>
  <c r="AO178" i="4"/>
  <c r="AQ178" i="4" s="1"/>
  <c r="AU178" i="4" s="1"/>
  <c r="AO197" i="4"/>
  <c r="AQ197" i="4" s="1"/>
  <c r="AU197" i="4" s="1"/>
  <c r="AO199" i="4"/>
  <c r="AQ199" i="4" s="1"/>
  <c r="AU199" i="4" s="1"/>
  <c r="AR129" i="4"/>
  <c r="AO206" i="4"/>
  <c r="AQ206" i="4" s="1"/>
  <c r="AU206" i="4" s="1"/>
  <c r="AO142" i="4"/>
  <c r="AQ142" i="4" s="1"/>
  <c r="AU142" i="4" s="1"/>
  <c r="AO22" i="4"/>
  <c r="AQ22" i="4" s="1"/>
  <c r="AU22" i="4" s="1"/>
  <c r="AR143" i="4"/>
  <c r="AO162" i="4"/>
  <c r="AQ162" i="4" s="1"/>
  <c r="AU162" i="4" s="1"/>
  <c r="AO41" i="4"/>
  <c r="AQ41" i="4" s="1"/>
  <c r="AU41" i="4" s="1"/>
  <c r="AO36" i="4"/>
  <c r="AQ36" i="4" s="1"/>
  <c r="AU36" i="4" s="1"/>
  <c r="AO72" i="4"/>
  <c r="AQ72" i="4" s="1"/>
  <c r="AU72" i="4" s="1"/>
  <c r="AR175" i="4"/>
  <c r="AO97" i="4"/>
  <c r="AQ97" i="4" s="1"/>
  <c r="AU97" i="4" s="1"/>
  <c r="AO92" i="4"/>
  <c r="AQ92" i="4" s="1"/>
  <c r="AU92" i="4" s="1"/>
  <c r="AO146" i="4"/>
  <c r="AQ146" i="4" s="1"/>
  <c r="AU146" i="4" s="1"/>
  <c r="AO163" i="4"/>
  <c r="AQ163" i="4" s="1"/>
  <c r="AU163" i="4" s="1"/>
  <c r="AO73" i="4"/>
  <c r="AQ73" i="4" s="1"/>
  <c r="AU73" i="4" s="1"/>
  <c r="AO51" i="4"/>
  <c r="AQ51" i="4" s="1"/>
  <c r="AU51" i="4" s="1"/>
  <c r="AO107" i="4"/>
  <c r="AQ107" i="4" s="1"/>
  <c r="AU107" i="4" s="1"/>
  <c r="AO155" i="4"/>
  <c r="AQ155" i="4" s="1"/>
  <c r="AU155" i="4" s="1"/>
  <c r="AO174" i="4"/>
  <c r="AQ174" i="4" s="1"/>
  <c r="AU174" i="4" s="1"/>
  <c r="AO35" i="4"/>
  <c r="AQ35" i="4" s="1"/>
  <c r="AU35" i="4" s="1"/>
  <c r="AO78" i="4"/>
  <c r="AQ78" i="4" s="1"/>
  <c r="AU78" i="4" s="1"/>
  <c r="AO50" i="4"/>
  <c r="AQ50" i="4" s="1"/>
  <c r="AU50" i="4" s="1"/>
  <c r="AO34" i="4"/>
  <c r="AQ34" i="4" s="1"/>
  <c r="AU34" i="4" s="1"/>
  <c r="AO30" i="4"/>
  <c r="AQ30" i="4" s="1"/>
  <c r="AU30" i="4" s="1"/>
  <c r="AO181" i="4"/>
  <c r="AQ181" i="4" s="1"/>
  <c r="AU181" i="4" s="1"/>
  <c r="AO81" i="4"/>
  <c r="AQ81" i="4" s="1"/>
  <c r="AU81" i="4" s="1"/>
  <c r="AO117" i="4"/>
  <c r="AQ117" i="4" s="1"/>
  <c r="AU117" i="4" s="1"/>
  <c r="AO52" i="4"/>
  <c r="AQ52" i="4" s="1"/>
  <c r="AU52" i="4" s="1"/>
  <c r="AO67" i="4"/>
  <c r="AQ67" i="4" s="1"/>
  <c r="AU67" i="4" s="1"/>
  <c r="AO91" i="4"/>
  <c r="AQ91" i="4" s="1"/>
  <c r="AU91" i="4" s="1"/>
  <c r="AO49" i="4"/>
  <c r="AQ49" i="4" s="1"/>
  <c r="AU49" i="4" s="1"/>
  <c r="AO191" i="4"/>
  <c r="AQ191" i="4" s="1"/>
  <c r="AU191" i="4" s="1"/>
  <c r="AO209" i="4"/>
  <c r="AQ209" i="4" s="1"/>
  <c r="AU209" i="4" s="1"/>
  <c r="B308" i="2" s="1"/>
  <c r="AO114" i="4"/>
  <c r="AQ114" i="4" s="1"/>
  <c r="AU114" i="4" s="1"/>
  <c r="AO94" i="4"/>
  <c r="AQ94" i="4" s="1"/>
  <c r="AU94" i="4" s="1"/>
  <c r="AO45" i="4"/>
  <c r="AQ45" i="4" s="1"/>
  <c r="AU45" i="4" s="1"/>
  <c r="AO24" i="4"/>
  <c r="AQ24" i="4" s="1"/>
  <c r="AU24" i="4" s="1"/>
  <c r="AO19" i="4"/>
  <c r="AQ19" i="4" s="1"/>
  <c r="AU19" i="4" s="1"/>
  <c r="AO55" i="4"/>
  <c r="AQ55" i="4" s="1"/>
  <c r="AU55" i="4" s="1"/>
  <c r="AO190" i="4"/>
  <c r="AQ190" i="4" s="1"/>
  <c r="AU190" i="4" s="1"/>
  <c r="AR42" i="4"/>
  <c r="AO58" i="4"/>
  <c r="AQ58" i="4" s="1"/>
  <c r="AU58" i="4" s="1"/>
  <c r="AO93" i="4"/>
  <c r="AQ93" i="4" s="1"/>
  <c r="AU93" i="4" s="1"/>
  <c r="AO10" i="4"/>
  <c r="AQ10" i="4" s="1"/>
  <c r="AU10" i="4" s="1"/>
  <c r="AO68" i="4"/>
  <c r="AQ68" i="4" s="1"/>
  <c r="AU68" i="4" s="1"/>
  <c r="AO48" i="4"/>
  <c r="AQ48" i="4" s="1"/>
  <c r="AU48" i="4" s="1"/>
  <c r="AO84" i="4"/>
  <c r="AQ84" i="4" s="1"/>
  <c r="AU84" i="4" s="1"/>
  <c r="AO63" i="4"/>
  <c r="AQ63" i="4" s="1"/>
  <c r="AU63" i="4" s="1"/>
  <c r="AO33" i="4"/>
  <c r="AQ33" i="4" s="1"/>
  <c r="AU33" i="4" s="1"/>
  <c r="AR158" i="4"/>
  <c r="AO79" i="4"/>
  <c r="AQ79" i="4" s="1"/>
  <c r="AU79" i="4" s="1"/>
  <c r="AO17" i="4"/>
  <c r="AQ17" i="4" s="1"/>
  <c r="AU17" i="4" s="1"/>
  <c r="AO15" i="4"/>
  <c r="AQ15" i="4" s="1"/>
  <c r="AU15" i="4" s="1"/>
  <c r="AO71" i="4"/>
  <c r="AQ71" i="4" s="1"/>
  <c r="AU71" i="4" s="1"/>
  <c r="AO57" i="4"/>
  <c r="AQ57" i="4" s="1"/>
  <c r="AU57" i="4" s="1"/>
  <c r="AO88" i="4"/>
  <c r="AQ88" i="4" s="1"/>
  <c r="AU88" i="4" s="1"/>
  <c r="AO37" i="4"/>
  <c r="AQ37" i="4" s="1"/>
  <c r="AU37" i="4" s="1"/>
  <c r="AO99" i="4"/>
  <c r="AQ99" i="4" s="1"/>
  <c r="AU99" i="4" s="1"/>
  <c r="AO156" i="4"/>
  <c r="AQ156" i="4" s="1"/>
  <c r="AU156" i="4" s="1"/>
  <c r="AO89" i="4"/>
  <c r="AQ89" i="4" s="1"/>
  <c r="AU89" i="4" s="1"/>
  <c r="AO195" i="4"/>
  <c r="AQ195" i="4" s="1"/>
  <c r="AU195" i="4" s="1"/>
  <c r="AO148" i="4"/>
  <c r="AQ148" i="4" s="1"/>
  <c r="AU148" i="4" s="1"/>
  <c r="AO112" i="4"/>
  <c r="AQ112" i="4" s="1"/>
  <c r="AU112" i="4" s="1"/>
  <c r="AO109" i="4"/>
  <c r="AQ109" i="4" s="1"/>
  <c r="AU109" i="4" s="1"/>
  <c r="B309" i="2" s="1"/>
  <c r="AO85" i="4"/>
  <c r="AQ85" i="4" s="1"/>
  <c r="AU85" i="4" s="1"/>
  <c r="AO108" i="4"/>
  <c r="AQ108" i="4" s="1"/>
  <c r="AU108" i="4" s="1"/>
  <c r="AO82" i="4"/>
  <c r="AQ82" i="4" s="1"/>
  <c r="AU82" i="4" s="1"/>
  <c r="AO86" i="4"/>
  <c r="AQ86" i="4" s="1"/>
  <c r="AU86" i="4" s="1"/>
  <c r="AO29" i="4"/>
  <c r="AQ29" i="4" s="1"/>
  <c r="AU29" i="4" s="1"/>
  <c r="AO75" i="4"/>
  <c r="AQ75" i="4" s="1"/>
  <c r="AU75" i="4" s="1"/>
  <c r="AO27" i="4"/>
  <c r="AQ27" i="4" s="1"/>
  <c r="AU27" i="4" s="1"/>
  <c r="AO180" i="4"/>
  <c r="AQ180" i="4" s="1"/>
  <c r="AU180" i="4" s="1"/>
  <c r="AO135" i="4"/>
  <c r="AQ135" i="4" s="1"/>
  <c r="AU135" i="4" s="1"/>
  <c r="AO203" i="4"/>
  <c r="AQ203" i="4" s="1"/>
  <c r="AU203" i="4" s="1"/>
  <c r="AO21" i="4"/>
  <c r="AQ21" i="4" s="1"/>
  <c r="AU21" i="4" s="1"/>
  <c r="AO98" i="4"/>
  <c r="AQ98" i="4" s="1"/>
  <c r="AU98" i="4" s="1"/>
  <c r="AO90" i="4"/>
  <c r="AQ90" i="4" s="1"/>
  <c r="AU90" i="4" s="1"/>
  <c r="AO105" i="4"/>
  <c r="AQ105" i="4" s="1"/>
  <c r="AU105" i="4" s="1"/>
  <c r="AO101" i="4"/>
  <c r="AQ101" i="4" s="1"/>
  <c r="AU101" i="4" s="1"/>
  <c r="AO144" i="4"/>
  <c r="AQ144" i="4" s="1"/>
  <c r="AU144" i="4" s="1"/>
  <c r="AR149" i="4"/>
  <c r="AO87" i="4"/>
  <c r="AQ87" i="4" s="1"/>
  <c r="AU87" i="4" s="1"/>
  <c r="AO77" i="4"/>
  <c r="AQ77" i="4" s="1"/>
  <c r="AU77" i="4" s="1"/>
  <c r="AS17" i="4"/>
  <c r="AR79" i="4"/>
  <c r="AO76" i="4"/>
  <c r="AQ76" i="4" s="1"/>
  <c r="AU76" i="4" s="1"/>
  <c r="AO95" i="4"/>
  <c r="AQ95" i="4" s="1"/>
  <c r="AU95" i="4" s="1"/>
  <c r="AO56" i="4"/>
  <c r="AQ56" i="4" s="1"/>
  <c r="AU56" i="4" s="1"/>
  <c r="AO60" i="4"/>
  <c r="AQ60" i="4" s="1"/>
  <c r="AU60" i="4" s="1"/>
  <c r="AO74" i="4"/>
  <c r="AQ74" i="4" s="1"/>
  <c r="AU74" i="4" s="1"/>
  <c r="AO28" i="4"/>
  <c r="AQ28" i="4" s="1"/>
  <c r="AU28" i="4" s="1"/>
  <c r="AO26" i="4"/>
  <c r="AQ26" i="4" s="1"/>
  <c r="AU26" i="4" s="1"/>
  <c r="AO47" i="4"/>
  <c r="AQ47" i="4" s="1"/>
  <c r="AU47" i="4" s="1"/>
  <c r="AO40" i="4"/>
  <c r="AQ40" i="4" s="1"/>
  <c r="AU40" i="4" s="1"/>
  <c r="AO83" i="4"/>
  <c r="AQ83" i="4" s="1"/>
  <c r="AU83" i="4" s="1"/>
  <c r="AO106" i="4"/>
  <c r="AQ106" i="4" s="1"/>
  <c r="AU106" i="4" s="1"/>
  <c r="AG65" i="4"/>
  <c r="AS65" i="4" s="1"/>
  <c r="AO145" i="4"/>
  <c r="AQ145" i="4" s="1"/>
  <c r="AU145" i="4" s="1"/>
  <c r="AO69" i="4"/>
  <c r="AQ69" i="4" s="1"/>
  <c r="AU69" i="4" s="1"/>
  <c r="AO59" i="4"/>
  <c r="AQ59" i="4" s="1"/>
  <c r="AU59" i="4" s="1"/>
  <c r="AO53" i="4"/>
  <c r="AQ53" i="4" s="1"/>
  <c r="AU53" i="4" s="1"/>
  <c r="AO31" i="4"/>
  <c r="AQ31" i="4" s="1"/>
  <c r="AU31" i="4" s="1"/>
  <c r="AO64" i="4"/>
  <c r="AQ64" i="4" s="1"/>
  <c r="AU64" i="4" s="1"/>
  <c r="AO46" i="4"/>
  <c r="AQ46" i="4" s="1"/>
  <c r="AU46" i="4" s="1"/>
  <c r="AO32" i="4"/>
  <c r="AQ32" i="4" s="1"/>
  <c r="AU32" i="4" s="1"/>
  <c r="AO61" i="4"/>
  <c r="AQ61" i="4" s="1"/>
  <c r="AU61" i="4" s="1"/>
  <c r="AO54" i="4"/>
  <c r="AQ54" i="4" s="1"/>
  <c r="AU54" i="4" s="1"/>
  <c r="AO43" i="4"/>
  <c r="AQ43" i="4" s="1"/>
  <c r="AU43" i="4" s="1"/>
  <c r="AO96" i="4"/>
  <c r="AQ96" i="4" s="1"/>
  <c r="AU96" i="4" s="1"/>
  <c r="AO20" i="4"/>
  <c r="AQ20" i="4" s="1"/>
  <c r="AU20" i="4" s="1"/>
  <c r="AO25" i="4"/>
  <c r="AQ25" i="4" s="1"/>
  <c r="AU25" i="4" s="1"/>
  <c r="AO16" i="4"/>
  <c r="AQ16" i="4" s="1"/>
  <c r="AU16" i="4" s="1"/>
  <c r="AO23" i="4"/>
  <c r="AQ23" i="4" s="1"/>
  <c r="AU23" i="4" s="1"/>
  <c r="AO80" i="4"/>
  <c r="AQ80" i="4" s="1"/>
  <c r="AU80" i="4" s="1"/>
  <c r="AO62" i="4"/>
  <c r="AQ62" i="4" s="1"/>
  <c r="AU62" i="4" s="1"/>
  <c r="AO11" i="4"/>
  <c r="AQ11" i="4" s="1"/>
  <c r="AU11" i="4" s="1"/>
  <c r="AO70" i="4"/>
  <c r="AQ70" i="4" s="1"/>
  <c r="AU70" i="4" s="1"/>
  <c r="AO38" i="4"/>
  <c r="AQ38" i="4" s="1"/>
  <c r="AU38" i="4" s="1"/>
  <c r="AO44" i="4"/>
  <c r="AQ44" i="4" s="1"/>
  <c r="AU44" i="4" s="1"/>
  <c r="AO102" i="4"/>
  <c r="AQ102" i="4" s="1"/>
  <c r="AU102" i="4" s="1"/>
  <c r="AO9" i="4"/>
  <c r="AQ9" i="4" s="1"/>
  <c r="AU9" i="4" s="1"/>
  <c r="AO176" i="4"/>
  <c r="AQ176" i="4" s="1"/>
  <c r="AU176" i="4" s="1"/>
  <c r="AO14" i="4"/>
  <c r="AQ14" i="4" s="1"/>
  <c r="AU14" i="4" s="1"/>
  <c r="AO66" i="4"/>
  <c r="AQ66" i="4" s="1"/>
  <c r="AU66" i="4" s="1"/>
  <c r="AC65" i="4"/>
  <c r="AR65" i="4" s="1"/>
  <c r="AO100" i="4"/>
  <c r="AQ100" i="4" s="1"/>
  <c r="AU100" i="4" s="1"/>
  <c r="AR167" i="4"/>
  <c r="AO18" i="4"/>
  <c r="AQ18" i="4" s="1"/>
  <c r="AU18" i="4" s="1"/>
  <c r="AO104" i="4"/>
  <c r="AQ104" i="4" s="1"/>
  <c r="AU104" i="4" s="1"/>
  <c r="AO39" i="4"/>
  <c r="AQ39" i="4" s="1"/>
  <c r="AU39" i="4" s="1"/>
  <c r="AO12" i="4"/>
  <c r="AQ12" i="4" s="1"/>
  <c r="AU12" i="4" s="1"/>
  <c r="AO103" i="4"/>
  <c r="AQ103" i="4" s="1"/>
  <c r="AU103" i="4" s="1"/>
  <c r="AO13" i="4"/>
  <c r="AQ13" i="4" s="1"/>
  <c r="AU13" i="4" s="1"/>
  <c r="AO110" i="4"/>
  <c r="AQ110" i="4" s="1"/>
  <c r="AU110" i="4" s="1"/>
  <c r="AO182" i="4"/>
  <c r="AQ182" i="4" s="1"/>
  <c r="AU182" i="4" s="1"/>
  <c r="AR137" i="4"/>
  <c r="AO133" i="4"/>
  <c r="AQ133" i="4" s="1"/>
  <c r="AU133" i="4" s="1"/>
  <c r="AO177" i="4"/>
  <c r="AQ177" i="4" s="1"/>
  <c r="AU177" i="4" s="1"/>
  <c r="AO173" i="4"/>
  <c r="AQ173" i="4" s="1"/>
  <c r="AU173" i="4" s="1"/>
  <c r="AO122" i="4"/>
  <c r="AQ122" i="4" s="1"/>
  <c r="AU122" i="4" s="1"/>
  <c r="AR164" i="4"/>
  <c r="AR131" i="4"/>
  <c r="AO128" i="4"/>
  <c r="AQ128" i="4" s="1"/>
  <c r="AU128" i="4" s="1"/>
  <c r="AR152" i="4"/>
  <c r="AO140" i="4"/>
  <c r="AQ140" i="4" s="1"/>
  <c r="AU140" i="4" s="1"/>
  <c r="AR185" i="4"/>
  <c r="AR159" i="4"/>
  <c r="AO159" i="4"/>
  <c r="AQ159" i="4" s="1"/>
  <c r="AU159" i="4" s="1"/>
  <c r="AR202" i="4"/>
  <c r="AO115" i="4"/>
  <c r="AQ115" i="4" s="1"/>
  <c r="AU115" i="4" s="1"/>
  <c r="AO169" i="4"/>
  <c r="AQ169" i="4" s="1"/>
  <c r="AU169" i="4" s="1"/>
  <c r="AO172" i="4"/>
  <c r="AQ172" i="4" s="1"/>
  <c r="AU172" i="4" s="1"/>
  <c r="AR120" i="4"/>
  <c r="AO124" i="4"/>
  <c r="AQ124" i="4" s="1"/>
  <c r="AU124" i="4" s="1"/>
  <c r="AO116" i="4"/>
  <c r="AQ116" i="4" s="1"/>
  <c r="AU116" i="4" s="1"/>
  <c r="AO153" i="4"/>
  <c r="AQ153" i="4" s="1"/>
  <c r="AU153" i="4" s="1"/>
  <c r="AO207" i="4"/>
  <c r="AQ207" i="4" s="1"/>
  <c r="AU207" i="4" s="1"/>
  <c r="AO151" i="4"/>
  <c r="AQ151" i="4" s="1"/>
  <c r="AU151" i="4" s="1"/>
  <c r="AO157" i="4"/>
  <c r="AQ157" i="4" s="1"/>
  <c r="AU157" i="4" s="1"/>
  <c r="AR123" i="4"/>
  <c r="AO123" i="4"/>
  <c r="AQ123" i="4" s="1"/>
  <c r="AU123" i="4" s="1"/>
  <c r="AR126" i="4"/>
  <c r="AO126" i="4"/>
  <c r="AQ126" i="4" s="1"/>
  <c r="AU126" i="4" s="1"/>
  <c r="AR168" i="4"/>
  <c r="AO168" i="4"/>
  <c r="AQ168" i="4" s="1"/>
  <c r="AU168" i="4" s="1"/>
  <c r="AR161" i="4"/>
  <c r="AO161" i="4"/>
  <c r="AQ161" i="4" s="1"/>
  <c r="AU161" i="4" s="1"/>
  <c r="AR130" i="4"/>
  <c r="AO130" i="4"/>
  <c r="AQ130" i="4" s="1"/>
  <c r="AU130" i="4" s="1"/>
  <c r="AR194" i="4"/>
  <c r="AO194" i="4"/>
  <c r="AQ194" i="4" s="1"/>
  <c r="AU194" i="4" s="1"/>
  <c r="AR165" i="4"/>
  <c r="AO165" i="4"/>
  <c r="AQ165" i="4" s="1"/>
  <c r="AU165" i="4" s="1"/>
  <c r="AR113" i="4"/>
  <c r="AO113" i="4"/>
  <c r="AQ113" i="4" s="1"/>
  <c r="AU113" i="4" s="1"/>
  <c r="H3" i="8"/>
  <c r="R23" i="8"/>
  <c r="R13" i="8"/>
  <c r="B66" i="2"/>
  <c r="BM41" i="3"/>
  <c r="B253" i="2"/>
  <c r="C41" i="16"/>
  <c r="D41" i="16" s="1"/>
  <c r="C40" i="16"/>
  <c r="D40" i="16" s="1"/>
  <c r="B140" i="2"/>
  <c r="B256" i="2"/>
  <c r="BN41" i="3"/>
  <c r="R29" i="8"/>
  <c r="R31" i="8"/>
  <c r="AQ42" i="3"/>
  <c r="B42" i="3"/>
  <c r="A43" i="3"/>
  <c r="AR42" i="3"/>
  <c r="C42" i="3"/>
  <c r="D42" i="3"/>
  <c r="G42" i="3"/>
  <c r="H42" i="3" s="1"/>
  <c r="F42" i="3"/>
  <c r="AO65" i="4" l="1"/>
  <c r="AQ65" i="4" s="1"/>
  <c r="AU65" i="4" s="1"/>
  <c r="A254" i="2"/>
  <c r="B254" i="2"/>
  <c r="AD33" i="3"/>
  <c r="B141" i="2"/>
  <c r="AE29" i="3" s="1"/>
  <c r="B143" i="2"/>
  <c r="AK19" i="3" s="1"/>
  <c r="AD22" i="3"/>
  <c r="AD16" i="3"/>
  <c r="AD17" i="3"/>
  <c r="AD34" i="3"/>
  <c r="AD36" i="3"/>
  <c r="AD11" i="3"/>
  <c r="AD42" i="3"/>
  <c r="AD12" i="3"/>
  <c r="AD23" i="3"/>
  <c r="AD14" i="3"/>
  <c r="AD29" i="3"/>
  <c r="AD683" i="3"/>
  <c r="AD25" i="3"/>
  <c r="AD18" i="3"/>
  <c r="AD37" i="3"/>
  <c r="AD9" i="3"/>
  <c r="AD19" i="3"/>
  <c r="AD32" i="3"/>
  <c r="AD31" i="3"/>
  <c r="B149" i="2"/>
  <c r="P41" i="3" s="1"/>
  <c r="AD21" i="3"/>
  <c r="AD20" i="3"/>
  <c r="AD13" i="3"/>
  <c r="AD39" i="3"/>
  <c r="AD35" i="3"/>
  <c r="AD10" i="3"/>
  <c r="AD28" i="3"/>
  <c r="AD24" i="3"/>
  <c r="AD38" i="3"/>
  <c r="AD26" i="3"/>
  <c r="AD682" i="3"/>
  <c r="AD27" i="3"/>
  <c r="AD30" i="3"/>
  <c r="AD15" i="3"/>
  <c r="AD41" i="3"/>
  <c r="AD40" i="3"/>
  <c r="BM42" i="3"/>
  <c r="BN42" i="3"/>
  <c r="AQ43" i="3"/>
  <c r="AR43" i="3"/>
  <c r="A44" i="3"/>
  <c r="B43" i="3"/>
  <c r="C43" i="3"/>
  <c r="D43" i="3"/>
  <c r="AD43" i="3"/>
  <c r="G43" i="3"/>
  <c r="H43" i="3" s="1"/>
  <c r="F43" i="3"/>
  <c r="AK12" i="3" l="1"/>
  <c r="AM42" i="3"/>
  <c r="AF26" i="3"/>
  <c r="AK16" i="3"/>
  <c r="AF35" i="3"/>
  <c r="AF21" i="3"/>
  <c r="O27" i="3"/>
  <c r="AF33" i="3"/>
  <c r="AF30" i="3"/>
  <c r="AE37" i="3"/>
  <c r="AE43" i="3"/>
  <c r="AE41" i="3"/>
  <c r="AF9" i="3"/>
  <c r="O41" i="3"/>
  <c r="O13" i="3"/>
  <c r="P22" i="3"/>
  <c r="O683" i="3"/>
  <c r="M682" i="3"/>
  <c r="P26" i="3"/>
  <c r="P14" i="3"/>
  <c r="P36" i="3"/>
  <c r="A257" i="2"/>
  <c r="AK30" i="3"/>
  <c r="AE12" i="3"/>
  <c r="AF13" i="3"/>
  <c r="AE15" i="3"/>
  <c r="M19" i="3"/>
  <c r="P42" i="3"/>
  <c r="O12" i="3"/>
  <c r="O28" i="3"/>
  <c r="P17" i="3"/>
  <c r="O23" i="3"/>
  <c r="P15" i="3"/>
  <c r="P16" i="3"/>
  <c r="P682" i="3"/>
  <c r="AF38" i="3"/>
  <c r="AF27" i="3"/>
  <c r="AE38" i="3"/>
  <c r="M24" i="3"/>
  <c r="AE10" i="3"/>
  <c r="M26" i="3"/>
  <c r="M43" i="3"/>
  <c r="AE18" i="3"/>
  <c r="AF12" i="3"/>
  <c r="AF23" i="3"/>
  <c r="AF29" i="3"/>
  <c r="AG29" i="3" s="1"/>
  <c r="AF17" i="3"/>
  <c r="AE40" i="3"/>
  <c r="AF22" i="3"/>
  <c r="AF37" i="3"/>
  <c r="AF683" i="3"/>
  <c r="AF24" i="3"/>
  <c r="AF16" i="3"/>
  <c r="B152" i="2"/>
  <c r="V42" i="3" s="1"/>
  <c r="AE23" i="3"/>
  <c r="M25" i="3"/>
  <c r="M31" i="3"/>
  <c r="AE11" i="3"/>
  <c r="M28" i="3"/>
  <c r="M37" i="3"/>
  <c r="M11" i="3"/>
  <c r="M36" i="3"/>
  <c r="AF39" i="3"/>
  <c r="AE27" i="3"/>
  <c r="AE14" i="3"/>
  <c r="M34" i="3"/>
  <c r="AE20" i="3"/>
  <c r="M23" i="3"/>
  <c r="M38" i="3"/>
  <c r="AE42" i="3"/>
  <c r="M27" i="3"/>
  <c r="P20" i="3"/>
  <c r="P21" i="3"/>
  <c r="O32" i="3"/>
  <c r="P24" i="3"/>
  <c r="P35" i="3"/>
  <c r="O38" i="3"/>
  <c r="O10" i="3"/>
  <c r="O30" i="3"/>
  <c r="O35" i="3"/>
  <c r="P40" i="3"/>
  <c r="O24" i="3"/>
  <c r="P37" i="3"/>
  <c r="P23" i="3"/>
  <c r="O9" i="3"/>
  <c r="O37" i="3"/>
  <c r="O36" i="3"/>
  <c r="O16" i="3"/>
  <c r="O25" i="3"/>
  <c r="P13" i="3"/>
  <c r="O42" i="3"/>
  <c r="AM39" i="3"/>
  <c r="B151" i="2"/>
  <c r="T42" i="3" s="1"/>
  <c r="AM29" i="3"/>
  <c r="AM24" i="3"/>
  <c r="AM37" i="3"/>
  <c r="AK43" i="3"/>
  <c r="AM27" i="3"/>
  <c r="AM682" i="3"/>
  <c r="AK11" i="3"/>
  <c r="AK23" i="3"/>
  <c r="AM26" i="3"/>
  <c r="AK32" i="3"/>
  <c r="AM17" i="3"/>
  <c r="AK33" i="3"/>
  <c r="AK29" i="3"/>
  <c r="AO29" i="3" s="1"/>
  <c r="AK41" i="3"/>
  <c r="AM20" i="3"/>
  <c r="AK21" i="3"/>
  <c r="AM15" i="3"/>
  <c r="AK15" i="3"/>
  <c r="AM31" i="3"/>
  <c r="AM11" i="3"/>
  <c r="AM683" i="3"/>
  <c r="AK17" i="3"/>
  <c r="AK682" i="3"/>
  <c r="AM30" i="3"/>
  <c r="AK14" i="3"/>
  <c r="AK27" i="3"/>
  <c r="AK22" i="3"/>
  <c r="AK26" i="3"/>
  <c r="AK20" i="3"/>
  <c r="AK31" i="3"/>
  <c r="AM28" i="3"/>
  <c r="AK38" i="3"/>
  <c r="AM43" i="3"/>
  <c r="AK39" i="3"/>
  <c r="AM38" i="3"/>
  <c r="AM23" i="3"/>
  <c r="AM16" i="3"/>
  <c r="AM19" i="3"/>
  <c r="AN19" i="3" s="1"/>
  <c r="AK24" i="3"/>
  <c r="AM41" i="3"/>
  <c r="AK28" i="3"/>
  <c r="AK36" i="3"/>
  <c r="AM18" i="3"/>
  <c r="AM13" i="3"/>
  <c r="AK34" i="3"/>
  <c r="B257" i="2"/>
  <c r="AM40" i="3"/>
  <c r="AK683" i="3"/>
  <c r="AM21" i="3"/>
  <c r="AK9" i="3"/>
  <c r="B150" i="2"/>
  <c r="R42" i="3" s="1"/>
  <c r="AM12" i="3"/>
  <c r="AK25" i="3"/>
  <c r="AK13" i="3"/>
  <c r="AK37" i="3"/>
  <c r="AM10" i="3"/>
  <c r="AM9" i="3"/>
  <c r="AM34" i="3"/>
  <c r="AK42" i="3"/>
  <c r="AM33" i="3"/>
  <c r="AK40" i="3"/>
  <c r="AM14" i="3"/>
  <c r="AM22" i="3"/>
  <c r="AN22" i="3" s="1"/>
  <c r="AK35" i="3"/>
  <c r="AM25" i="3"/>
  <c r="AN25" i="3" s="1"/>
  <c r="AM32" i="3"/>
  <c r="AM35" i="3"/>
  <c r="AM36" i="3"/>
  <c r="AK10" i="3"/>
  <c r="AK18" i="3"/>
  <c r="AE683" i="3"/>
  <c r="AE24" i="3"/>
  <c r="AE21" i="3"/>
  <c r="AE22" i="3"/>
  <c r="AE9" i="3"/>
  <c r="M41" i="3"/>
  <c r="O39" i="3"/>
  <c r="P43" i="3"/>
  <c r="AF43" i="3"/>
  <c r="O43" i="3"/>
  <c r="AE30" i="3"/>
  <c r="AE31" i="3"/>
  <c r="AF28" i="3"/>
  <c r="B255" i="2"/>
  <c r="AF15" i="3"/>
  <c r="AH15" i="3" s="1"/>
  <c r="AF11" i="3"/>
  <c r="AF32" i="3"/>
  <c r="AF34" i="3"/>
  <c r="AF18" i="3"/>
  <c r="AF25" i="3"/>
  <c r="AF682" i="3"/>
  <c r="AE682" i="3"/>
  <c r="AE34" i="3"/>
  <c r="AF19" i="3"/>
  <c r="AF14" i="3"/>
  <c r="AF10" i="3"/>
  <c r="AF36" i="3"/>
  <c r="M40" i="3"/>
  <c r="AE26" i="3"/>
  <c r="A255" i="2"/>
  <c r="AF31" i="3"/>
  <c r="AF40" i="3"/>
  <c r="P31" i="3"/>
  <c r="F73" i="1"/>
  <c r="P9" i="3"/>
  <c r="AF20" i="3"/>
  <c r="AG20" i="3" s="1"/>
  <c r="O29" i="3"/>
  <c r="P19" i="3"/>
  <c r="O22" i="3"/>
  <c r="O21" i="3"/>
  <c r="O20" i="3"/>
  <c r="O19" i="3"/>
  <c r="P11" i="3"/>
  <c r="P27" i="3"/>
  <c r="P28" i="3"/>
  <c r="P32" i="3"/>
  <c r="P18" i="3"/>
  <c r="O15" i="3"/>
  <c r="O11" i="3"/>
  <c r="O31" i="3"/>
  <c r="O682" i="3"/>
  <c r="P683" i="3"/>
  <c r="AE39" i="3"/>
  <c r="AE32" i="3"/>
  <c r="AE17" i="3"/>
  <c r="AE13" i="3"/>
  <c r="AE25" i="3"/>
  <c r="M14" i="3"/>
  <c r="M35" i="3"/>
  <c r="M13" i="3"/>
  <c r="M29" i="3"/>
  <c r="AE16" i="3"/>
  <c r="AG16" i="3" s="1"/>
  <c r="M39" i="3"/>
  <c r="M15" i="3"/>
  <c r="M22" i="3"/>
  <c r="M10" i="3"/>
  <c r="M21" i="3"/>
  <c r="M42" i="3"/>
  <c r="P29" i="3"/>
  <c r="O33" i="3"/>
  <c r="P10" i="3"/>
  <c r="O14" i="3"/>
  <c r="P30" i="3"/>
  <c r="O17" i="3"/>
  <c r="O18" i="3"/>
  <c r="P12" i="3"/>
  <c r="O26" i="3"/>
  <c r="O40" i="3"/>
  <c r="AE35" i="3"/>
  <c r="AE19" i="3"/>
  <c r="M20" i="3"/>
  <c r="M18" i="3"/>
  <c r="AE28" i="3"/>
  <c r="M9" i="3"/>
  <c r="M12" i="3"/>
  <c r="P25" i="3"/>
  <c r="P38" i="3"/>
  <c r="P33" i="3"/>
  <c r="P39" i="3"/>
  <c r="AE36" i="3"/>
  <c r="M32" i="3"/>
  <c r="M30" i="3"/>
  <c r="P34" i="3"/>
  <c r="O34" i="3"/>
  <c r="M17" i="3"/>
  <c r="M16" i="3"/>
  <c r="M33" i="3"/>
  <c r="M683" i="3"/>
  <c r="AF42" i="3"/>
  <c r="AH42" i="3" s="1"/>
  <c r="AF41" i="3"/>
  <c r="AE33" i="3"/>
  <c r="AG33" i="3" s="1"/>
  <c r="A684" i="3"/>
  <c r="AF684" i="3" s="1"/>
  <c r="BN43" i="3"/>
  <c r="BM43" i="3"/>
  <c r="AR44" i="3"/>
  <c r="B44" i="3"/>
  <c r="AQ44" i="3"/>
  <c r="A45" i="3"/>
  <c r="C44" i="3"/>
  <c r="AM44" i="3"/>
  <c r="AK44" i="3"/>
  <c r="AD44" i="3"/>
  <c r="O44" i="3"/>
  <c r="AF44" i="3"/>
  <c r="AE44" i="3"/>
  <c r="M44" i="3"/>
  <c r="P44" i="3"/>
  <c r="F44" i="3"/>
  <c r="D44" i="3"/>
  <c r="G44" i="3"/>
  <c r="H44" i="3" s="1"/>
  <c r="AG19" i="3" l="1"/>
  <c r="AO12" i="3"/>
  <c r="T38" i="3"/>
  <c r="T27" i="3"/>
  <c r="T26" i="3"/>
  <c r="F75" i="1"/>
  <c r="T20" i="3"/>
  <c r="T37" i="3"/>
  <c r="T40" i="3"/>
  <c r="T33" i="3"/>
  <c r="S28" i="3"/>
  <c r="AH9" i="3"/>
  <c r="S44" i="3"/>
  <c r="S10" i="3"/>
  <c r="S13" i="3"/>
  <c r="S17" i="3"/>
  <c r="T18" i="3"/>
  <c r="S11" i="3"/>
  <c r="AG13" i="3"/>
  <c r="AH23" i="3"/>
  <c r="S34" i="3"/>
  <c r="T30" i="3"/>
  <c r="T14" i="3"/>
  <c r="T23" i="3"/>
  <c r="S43" i="3"/>
  <c r="V34" i="3"/>
  <c r="V682" i="3"/>
  <c r="AN43" i="3"/>
  <c r="AO682" i="3"/>
  <c r="AG683" i="3"/>
  <c r="AO24" i="3"/>
  <c r="AN682" i="3"/>
  <c r="R14" i="3"/>
  <c r="R24" i="3"/>
  <c r="Q10" i="3"/>
  <c r="R31" i="3"/>
  <c r="R11" i="3"/>
  <c r="R43" i="3"/>
  <c r="Q41" i="3"/>
  <c r="AN41" i="3"/>
  <c r="AH12" i="3"/>
  <c r="AO16" i="3"/>
  <c r="AN36" i="3"/>
  <c r="Q23" i="3"/>
  <c r="Q21" i="3"/>
  <c r="AO39" i="3"/>
  <c r="AN17" i="3"/>
  <c r="AG38" i="3"/>
  <c r="AH24" i="3"/>
  <c r="AN26" i="3"/>
  <c r="AO11" i="3"/>
  <c r="AG28" i="3"/>
  <c r="AO13" i="3"/>
  <c r="AN27" i="3"/>
  <c r="AO40" i="3"/>
  <c r="AO28" i="3"/>
  <c r="S42" i="3"/>
  <c r="AG23" i="3"/>
  <c r="AO42" i="3"/>
  <c r="U40" i="3"/>
  <c r="V33" i="3"/>
  <c r="V29" i="3"/>
  <c r="V37" i="3"/>
  <c r="AH35" i="3"/>
  <c r="AG26" i="3"/>
  <c r="AH25" i="3"/>
  <c r="AG18" i="3"/>
  <c r="Q684" i="3"/>
  <c r="AN16" i="3"/>
  <c r="Y42" i="3"/>
  <c r="Z42" i="3" s="1"/>
  <c r="AO17" i="3"/>
  <c r="AN9" i="3"/>
  <c r="Q35" i="3"/>
  <c r="R38" i="3"/>
  <c r="Q20" i="3"/>
  <c r="Q683" i="3"/>
  <c r="R10" i="3"/>
  <c r="Q13" i="3"/>
  <c r="R41" i="3"/>
  <c r="Q26" i="3"/>
  <c r="R17" i="3"/>
  <c r="AN35" i="3"/>
  <c r="AN34" i="3"/>
  <c r="AN683" i="3"/>
  <c r="AO23" i="3"/>
  <c r="AO30" i="3"/>
  <c r="AO15" i="3"/>
  <c r="AH29" i="3"/>
  <c r="AU29" i="3" s="1"/>
  <c r="U24" i="3"/>
  <c r="U21" i="3"/>
  <c r="V28" i="3"/>
  <c r="U682" i="3"/>
  <c r="AH38" i="3"/>
  <c r="V31" i="3"/>
  <c r="V15" i="3"/>
  <c r="U26" i="3"/>
  <c r="V10" i="3"/>
  <c r="U20" i="3"/>
  <c r="U28" i="3"/>
  <c r="V32" i="3"/>
  <c r="U10" i="3"/>
  <c r="AD684" i="3"/>
  <c r="AO21" i="3"/>
  <c r="AG37" i="3"/>
  <c r="V44" i="3"/>
  <c r="AH26" i="3"/>
  <c r="U42" i="3"/>
  <c r="V14" i="3"/>
  <c r="V11" i="3"/>
  <c r="U19" i="3"/>
  <c r="V38" i="3"/>
  <c r="V36" i="3"/>
  <c r="U36" i="3"/>
  <c r="U31" i="3"/>
  <c r="V39" i="3"/>
  <c r="V35" i="3"/>
  <c r="U30" i="3"/>
  <c r="U14" i="3"/>
  <c r="U29" i="3"/>
  <c r="V21" i="3"/>
  <c r="V16" i="3"/>
  <c r="V43" i="3"/>
  <c r="U25" i="3"/>
  <c r="AN11" i="3"/>
  <c r="AO19" i="3"/>
  <c r="AN12" i="3"/>
  <c r="V12" i="3"/>
  <c r="AO26" i="3"/>
  <c r="AO27" i="3"/>
  <c r="AH33" i="3"/>
  <c r="AT33" i="3" s="1"/>
  <c r="AO41" i="3"/>
  <c r="AN39" i="3"/>
  <c r="AG12" i="3"/>
  <c r="AH37" i="3"/>
  <c r="U44" i="3"/>
  <c r="V27" i="3"/>
  <c r="U23" i="3"/>
  <c r="U12" i="3"/>
  <c r="U35" i="3"/>
  <c r="U33" i="3"/>
  <c r="V25" i="3"/>
  <c r="U18" i="3"/>
  <c r="U16" i="3"/>
  <c r="A687" i="3"/>
  <c r="AR687" i="3" s="1"/>
  <c r="U13" i="3"/>
  <c r="U27" i="3"/>
  <c r="V22" i="3"/>
  <c r="V18" i="3"/>
  <c r="V20" i="3"/>
  <c r="V26" i="3"/>
  <c r="U32" i="3"/>
  <c r="V683" i="3"/>
  <c r="V41" i="3"/>
  <c r="AG24" i="3"/>
  <c r="V24" i="3"/>
  <c r="U17" i="3"/>
  <c r="U9" i="3"/>
  <c r="U34" i="3"/>
  <c r="V23" i="3"/>
  <c r="U11" i="3"/>
  <c r="V30" i="3"/>
  <c r="U37" i="3"/>
  <c r="V13" i="3"/>
  <c r="U22" i="3"/>
  <c r="U15" i="3"/>
  <c r="U38" i="3"/>
  <c r="V40" i="3"/>
  <c r="AG35" i="3"/>
  <c r="AT35" i="3" s="1"/>
  <c r="V19" i="3"/>
  <c r="V9" i="3"/>
  <c r="U41" i="3"/>
  <c r="U43" i="3"/>
  <c r="V17" i="3"/>
  <c r="U39" i="3"/>
  <c r="F76" i="1"/>
  <c r="U683" i="3"/>
  <c r="AG41" i="3"/>
  <c r="AG40" i="3"/>
  <c r="AH10" i="3"/>
  <c r="AH11" i="3"/>
  <c r="AH21" i="3"/>
  <c r="AN37" i="3"/>
  <c r="AN21" i="3"/>
  <c r="AO18" i="3"/>
  <c r="AO38" i="3"/>
  <c r="AN28" i="3"/>
  <c r="AO22" i="3"/>
  <c r="AN14" i="3"/>
  <c r="AN24" i="3"/>
  <c r="AG14" i="3"/>
  <c r="AH22" i="3"/>
  <c r="AH27" i="3"/>
  <c r="AH43" i="3"/>
  <c r="AH30" i="3"/>
  <c r="AH683" i="3"/>
  <c r="V684" i="3"/>
  <c r="Q16" i="3"/>
  <c r="Q14" i="3"/>
  <c r="R23" i="3"/>
  <c r="R29" i="3"/>
  <c r="Q36" i="3"/>
  <c r="Q12" i="3"/>
  <c r="Q31" i="3"/>
  <c r="A685" i="3"/>
  <c r="G685" i="3" s="1"/>
  <c r="H685" i="3" s="1"/>
  <c r="Q682" i="3"/>
  <c r="R13" i="3"/>
  <c r="Q33" i="3"/>
  <c r="R15" i="3"/>
  <c r="R683" i="3"/>
  <c r="AN42" i="3"/>
  <c r="R19" i="3"/>
  <c r="Q9" i="3"/>
  <c r="AO14" i="3"/>
  <c r="A686" i="3"/>
  <c r="U686" i="3" s="1"/>
  <c r="T22" i="3"/>
  <c r="T12" i="3"/>
  <c r="S36" i="3"/>
  <c r="S38" i="3"/>
  <c r="S18" i="3"/>
  <c r="S23" i="3"/>
  <c r="T21" i="3"/>
  <c r="T683" i="3"/>
  <c r="S32" i="3"/>
  <c r="S37" i="3"/>
  <c r="T32" i="3"/>
  <c r="S26" i="3"/>
  <c r="S40" i="3"/>
  <c r="R18" i="3"/>
  <c r="T10" i="3"/>
  <c r="S9" i="3"/>
  <c r="T682" i="3"/>
  <c r="S41" i="3"/>
  <c r="T9" i="3"/>
  <c r="Q27" i="3"/>
  <c r="AG30" i="3"/>
  <c r="AN30" i="3"/>
  <c r="AG27" i="3"/>
  <c r="AG10" i="3"/>
  <c r="AG17" i="3"/>
  <c r="AG39" i="3"/>
  <c r="AH14" i="3"/>
  <c r="AH18" i="3"/>
  <c r="AG43" i="3"/>
  <c r="AG22" i="3"/>
  <c r="AN40" i="3"/>
  <c r="AN38" i="3"/>
  <c r="AO31" i="3"/>
  <c r="AN20" i="3"/>
  <c r="AN33" i="3"/>
  <c r="AO32" i="3"/>
  <c r="AN23" i="3"/>
  <c r="AO43" i="3"/>
  <c r="S684" i="3"/>
  <c r="G684" i="3"/>
  <c r="H684" i="3" s="1"/>
  <c r="T44" i="3"/>
  <c r="R44" i="3"/>
  <c r="Q44" i="3"/>
  <c r="R20" i="3"/>
  <c r="R12" i="3"/>
  <c r="R36" i="3"/>
  <c r="Q11" i="3"/>
  <c r="Q34" i="3"/>
  <c r="F74" i="1"/>
  <c r="R27" i="3"/>
  <c r="Q29" i="3"/>
  <c r="Q24" i="3"/>
  <c r="R34" i="3"/>
  <c r="Q17" i="3"/>
  <c r="R9" i="3"/>
  <c r="R35" i="3"/>
  <c r="R28" i="3"/>
  <c r="R33" i="3"/>
  <c r="Q38" i="3"/>
  <c r="R39" i="3"/>
  <c r="Q40" i="3"/>
  <c r="Q37" i="3"/>
  <c r="R32" i="3"/>
  <c r="R30" i="3"/>
  <c r="R37" i="3"/>
  <c r="Q15" i="3"/>
  <c r="R22" i="3"/>
  <c r="Q32" i="3"/>
  <c r="Q30" i="3"/>
  <c r="R682" i="3"/>
  <c r="Q43" i="3"/>
  <c r="AO33" i="3"/>
  <c r="Q22" i="3"/>
  <c r="Q19" i="3"/>
  <c r="Q18" i="3"/>
  <c r="R26" i="3"/>
  <c r="R40" i="3"/>
  <c r="AN32" i="3"/>
  <c r="AO37" i="3"/>
  <c r="S20" i="3"/>
  <c r="S29" i="3"/>
  <c r="S21" i="3"/>
  <c r="T24" i="3"/>
  <c r="T29" i="3"/>
  <c r="T25" i="3"/>
  <c r="T13" i="3"/>
  <c r="S19" i="3"/>
  <c r="S35" i="3"/>
  <c r="S31" i="3"/>
  <c r="S24" i="3"/>
  <c r="S12" i="3"/>
  <c r="T17" i="3"/>
  <c r="S16" i="3"/>
  <c r="T28" i="3"/>
  <c r="S682" i="3"/>
  <c r="S39" i="3"/>
  <c r="T41" i="3"/>
  <c r="S33" i="3"/>
  <c r="T34" i="3"/>
  <c r="S15" i="3"/>
  <c r="T16" i="3"/>
  <c r="T15" i="3"/>
  <c r="S30" i="3"/>
  <c r="T31" i="3"/>
  <c r="T36" i="3"/>
  <c r="S683" i="3"/>
  <c r="R21" i="3"/>
  <c r="R16" i="3"/>
  <c r="Q39" i="3"/>
  <c r="S25" i="3"/>
  <c r="S14" i="3"/>
  <c r="T11" i="3"/>
  <c r="T19" i="3"/>
  <c r="T39" i="3"/>
  <c r="S27" i="3"/>
  <c r="S22" i="3"/>
  <c r="T35" i="3"/>
  <c r="R25" i="3"/>
  <c r="T43" i="3"/>
  <c r="Q42" i="3"/>
  <c r="AO683" i="3"/>
  <c r="AO10" i="3"/>
  <c r="Q28" i="3"/>
  <c r="Q25" i="3"/>
  <c r="AG21" i="3"/>
  <c r="AE684" i="3"/>
  <c r="AK684" i="3"/>
  <c r="O684" i="3"/>
  <c r="AG9" i="3"/>
  <c r="AH36" i="3"/>
  <c r="AG15" i="3"/>
  <c r="AT15" i="3" s="1"/>
  <c r="AH17" i="3"/>
  <c r="AH39" i="3"/>
  <c r="AG42" i="3"/>
  <c r="AT42" i="3" s="1"/>
  <c r="AG34" i="3"/>
  <c r="AH31" i="3"/>
  <c r="AG31" i="3"/>
  <c r="AH41" i="3"/>
  <c r="AH13" i="3"/>
  <c r="AH40" i="3"/>
  <c r="M684" i="3"/>
  <c r="AH20" i="3"/>
  <c r="AT20" i="3" s="1"/>
  <c r="U684" i="3"/>
  <c r="D684" i="3"/>
  <c r="T684" i="3"/>
  <c r="C684" i="3"/>
  <c r="AH16" i="3"/>
  <c r="AT16" i="3" s="1"/>
  <c r="P684" i="3"/>
  <c r="AM684" i="3"/>
  <c r="R684" i="3"/>
  <c r="AN29" i="3"/>
  <c r="AN31" i="3"/>
  <c r="AN15" i="3"/>
  <c r="AO20" i="3"/>
  <c r="AO25" i="3"/>
  <c r="AO34" i="3"/>
  <c r="AN18" i="3"/>
  <c r="AO35" i="3"/>
  <c r="AN10" i="3"/>
  <c r="AO9" i="3"/>
  <c r="AN13" i="3"/>
  <c r="AO36" i="3"/>
  <c r="AG32" i="3"/>
  <c r="AH682" i="3"/>
  <c r="AG25" i="3"/>
  <c r="AH34" i="3"/>
  <c r="AH19" i="3"/>
  <c r="AT19" i="3" s="1"/>
  <c r="AG11" i="3"/>
  <c r="AH32" i="3"/>
  <c r="AG682" i="3"/>
  <c r="AG36" i="3"/>
  <c r="AH28" i="3"/>
  <c r="B684" i="3"/>
  <c r="AR684" i="3"/>
  <c r="F684" i="3"/>
  <c r="AQ684" i="3"/>
  <c r="BM44" i="3"/>
  <c r="AO44" i="3"/>
  <c r="AG44" i="3"/>
  <c r="AH44" i="3"/>
  <c r="AQ45" i="3"/>
  <c r="AR45" i="3"/>
  <c r="A46" i="3"/>
  <c r="B45" i="3"/>
  <c r="AM45" i="3"/>
  <c r="AK45" i="3"/>
  <c r="T45" i="3"/>
  <c r="C45" i="3"/>
  <c r="Q45" i="3"/>
  <c r="P45" i="3"/>
  <c r="R45" i="3"/>
  <c r="AD45" i="3"/>
  <c r="O45" i="3"/>
  <c r="AE45" i="3"/>
  <c r="M45" i="3"/>
  <c r="U45" i="3"/>
  <c r="AF45" i="3"/>
  <c r="V45" i="3"/>
  <c r="D45" i="3"/>
  <c r="G45" i="3"/>
  <c r="H45" i="3" s="1"/>
  <c r="F45" i="3"/>
  <c r="S45" i="3"/>
  <c r="BN44" i="3"/>
  <c r="AN44" i="3"/>
  <c r="X683" i="3" l="1"/>
  <c r="X17" i="3"/>
  <c r="AU12" i="3"/>
  <c r="Y26" i="3"/>
  <c r="Z26" i="3" s="1"/>
  <c r="X34" i="3"/>
  <c r="Y23" i="3"/>
  <c r="Z23" i="3" s="1"/>
  <c r="AU23" i="3"/>
  <c r="Y40" i="3"/>
  <c r="Z40" i="3" s="1"/>
  <c r="U685" i="3"/>
  <c r="D686" i="3"/>
  <c r="AT683" i="3"/>
  <c r="Y38" i="3"/>
  <c r="Z38" i="3" s="1"/>
  <c r="Y14" i="3"/>
  <c r="Z14" i="3" s="1"/>
  <c r="AF685" i="3"/>
  <c r="AT23" i="3"/>
  <c r="O686" i="3"/>
  <c r="M686" i="3"/>
  <c r="AU35" i="3"/>
  <c r="AV35" i="3" s="1"/>
  <c r="X10" i="3"/>
  <c r="D685" i="3"/>
  <c r="AU38" i="3"/>
  <c r="AK685" i="3"/>
  <c r="AU28" i="3"/>
  <c r="AT11" i="3"/>
  <c r="AP9" i="3"/>
  <c r="Y31" i="3"/>
  <c r="Z31" i="3" s="1"/>
  <c r="X26" i="3"/>
  <c r="AQ685" i="3"/>
  <c r="AX21" i="3"/>
  <c r="AX23" i="3"/>
  <c r="AU24" i="3"/>
  <c r="AT37" i="3"/>
  <c r="S686" i="3"/>
  <c r="X28" i="3"/>
  <c r="Y24" i="3"/>
  <c r="Z24" i="3" s="1"/>
  <c r="X44" i="3"/>
  <c r="B686" i="3"/>
  <c r="R686" i="3"/>
  <c r="AW682" i="3"/>
  <c r="AX35" i="3"/>
  <c r="AH684" i="3"/>
  <c r="X21" i="3"/>
  <c r="X37" i="3"/>
  <c r="Y34" i="3"/>
  <c r="Z34" i="3" s="1"/>
  <c r="Y19" i="3"/>
  <c r="Z19" i="3" s="1"/>
  <c r="AT38" i="3"/>
  <c r="Y29" i="3"/>
  <c r="Z29" i="3" s="1"/>
  <c r="X40" i="3"/>
  <c r="AX12" i="3"/>
  <c r="AX683" i="3"/>
  <c r="X29" i="3"/>
  <c r="AT43" i="3"/>
  <c r="Y10" i="3"/>
  <c r="Z10" i="3" s="1"/>
  <c r="X16" i="3"/>
  <c r="Y37" i="3"/>
  <c r="Z37" i="3" s="1"/>
  <c r="Y33" i="3"/>
  <c r="Z33" i="3" s="1"/>
  <c r="AU21" i="3"/>
  <c r="AU683" i="3"/>
  <c r="Y11" i="3"/>
  <c r="Z11" i="3" s="1"/>
  <c r="AT18" i="3"/>
  <c r="AT29" i="3"/>
  <c r="AV29" i="3" s="1"/>
  <c r="D687" i="3"/>
  <c r="AU18" i="3"/>
  <c r="AU25" i="3"/>
  <c r="AW29" i="3"/>
  <c r="X682" i="3"/>
  <c r="AW16" i="3"/>
  <c r="X13" i="3"/>
  <c r="AW21" i="3"/>
  <c r="AY21" i="3" s="1"/>
  <c r="AW23" i="3"/>
  <c r="X20" i="3"/>
  <c r="AX40" i="3"/>
  <c r="X22" i="3"/>
  <c r="X33" i="3"/>
  <c r="Y28" i="3"/>
  <c r="Z28" i="3" s="1"/>
  <c r="AW33" i="3"/>
  <c r="Y682" i="3"/>
  <c r="Z682" i="3" s="1"/>
  <c r="AX38" i="3"/>
  <c r="X19" i="3"/>
  <c r="Y18" i="3"/>
  <c r="Z18" i="3" s="1"/>
  <c r="X12" i="3"/>
  <c r="Y27" i="3"/>
  <c r="Z27" i="3" s="1"/>
  <c r="Y21" i="3"/>
  <c r="Z21" i="3" s="1"/>
  <c r="X14" i="3"/>
  <c r="AW26" i="3"/>
  <c r="Y32" i="3"/>
  <c r="Z32" i="3" s="1"/>
  <c r="AT26" i="3"/>
  <c r="P687" i="3"/>
  <c r="AX26" i="3"/>
  <c r="AW30" i="3"/>
  <c r="AG684" i="3"/>
  <c r="AU26" i="3"/>
  <c r="AX37" i="3"/>
  <c r="S687" i="3"/>
  <c r="T687" i="3"/>
  <c r="AE687" i="3"/>
  <c r="B687" i="3"/>
  <c r="AX24" i="3"/>
  <c r="AU37" i="3"/>
  <c r="Y683" i="3"/>
  <c r="Z683" i="3" s="1"/>
  <c r="AX43" i="3"/>
  <c r="Y35" i="3"/>
  <c r="Z35" i="3" s="1"/>
  <c r="Y36" i="3"/>
  <c r="Z36" i="3" s="1"/>
  <c r="Y12" i="3"/>
  <c r="Z12" i="3" s="1"/>
  <c r="AU27" i="3"/>
  <c r="X15" i="3"/>
  <c r="AW37" i="3"/>
  <c r="X18" i="3"/>
  <c r="AX33" i="3"/>
  <c r="Y43" i="3"/>
  <c r="Z43" i="3" s="1"/>
  <c r="X31" i="3"/>
  <c r="AX27" i="3"/>
  <c r="AR685" i="3"/>
  <c r="AD685" i="3"/>
  <c r="C687" i="3"/>
  <c r="AU33" i="3"/>
  <c r="AV33" i="3" s="1"/>
  <c r="R685" i="3"/>
  <c r="F687" i="3"/>
  <c r="G686" i="3"/>
  <c r="H686" i="3" s="1"/>
  <c r="P686" i="3"/>
  <c r="P685" i="3"/>
  <c r="AW24" i="3"/>
  <c r="F686" i="3"/>
  <c r="V686" i="3"/>
  <c r="AE686" i="3"/>
  <c r="M685" i="3"/>
  <c r="Y30" i="3"/>
  <c r="Z30" i="3" s="1"/>
  <c r="X9" i="3"/>
  <c r="Y41" i="3"/>
  <c r="Z41" i="3" s="1"/>
  <c r="Y20" i="3"/>
  <c r="Z20" i="3" s="1"/>
  <c r="Y22" i="3"/>
  <c r="Z22" i="3" s="1"/>
  <c r="Y25" i="3"/>
  <c r="Z25" i="3" s="1"/>
  <c r="X30" i="3"/>
  <c r="X36" i="3"/>
  <c r="Y44" i="3"/>
  <c r="Z44" i="3" s="1"/>
  <c r="AX14" i="3"/>
  <c r="AW27" i="3"/>
  <c r="AT30" i="3"/>
  <c r="AW17" i="3"/>
  <c r="AU43" i="3"/>
  <c r="AW22" i="3"/>
  <c r="AX41" i="3"/>
  <c r="AT12" i="3"/>
  <c r="AV12" i="3" s="1"/>
  <c r="AW683" i="3"/>
  <c r="AW12" i="3"/>
  <c r="AT22" i="3"/>
  <c r="AX16" i="3"/>
  <c r="AU17" i="3"/>
  <c r="AU34" i="3"/>
  <c r="AT41" i="3"/>
  <c r="AT17" i="3"/>
  <c r="X42" i="3"/>
  <c r="Y16" i="3"/>
  <c r="Z16" i="3" s="1"/>
  <c r="Y17" i="3"/>
  <c r="Z17" i="3" s="1"/>
  <c r="X35" i="3"/>
  <c r="X32" i="3"/>
  <c r="X23" i="3"/>
  <c r="AW39" i="3"/>
  <c r="X39" i="3"/>
  <c r="AW43" i="3"/>
  <c r="AU22" i="3"/>
  <c r="AU10" i="3"/>
  <c r="X41" i="3"/>
  <c r="Y39" i="3"/>
  <c r="Z39" i="3" s="1"/>
  <c r="X24" i="3"/>
  <c r="AW18" i="3"/>
  <c r="X27" i="3"/>
  <c r="X38" i="3"/>
  <c r="Y15" i="3"/>
  <c r="Z15" i="3" s="1"/>
  <c r="Y13" i="3"/>
  <c r="Z13" i="3" s="1"/>
  <c r="AU30" i="3"/>
  <c r="AT27" i="3"/>
  <c r="AU14" i="3"/>
  <c r="X43" i="3"/>
  <c r="Y9" i="3"/>
  <c r="Z9" i="3" s="1"/>
  <c r="X11" i="3"/>
  <c r="AW38" i="3"/>
  <c r="R687" i="3"/>
  <c r="Q687" i="3"/>
  <c r="AM687" i="3"/>
  <c r="G687" i="3"/>
  <c r="H687" i="3" s="1"/>
  <c r="M687" i="3"/>
  <c r="AT10" i="3"/>
  <c r="AW10" i="3"/>
  <c r="AX30" i="3"/>
  <c r="AX18" i="3"/>
  <c r="AT40" i="3"/>
  <c r="S685" i="3"/>
  <c r="C685" i="3"/>
  <c r="AM685" i="3"/>
  <c r="AO685" i="3" s="1"/>
  <c r="O685" i="3"/>
  <c r="AX22" i="3"/>
  <c r="AK687" i="3"/>
  <c r="V687" i="3"/>
  <c r="AD687" i="3"/>
  <c r="T685" i="3"/>
  <c r="AE685" i="3"/>
  <c r="AT24" i="3"/>
  <c r="AW14" i="3"/>
  <c r="U687" i="3"/>
  <c r="AF687" i="3"/>
  <c r="AQ686" i="3"/>
  <c r="T686" i="3"/>
  <c r="C686" i="3"/>
  <c r="AM686" i="3"/>
  <c r="AK686" i="3"/>
  <c r="O687" i="3"/>
  <c r="AQ687" i="3"/>
  <c r="F685" i="3"/>
  <c r="Q686" i="3"/>
  <c r="AD686" i="3"/>
  <c r="V685" i="3"/>
  <c r="Q685" i="3"/>
  <c r="AR686" i="3"/>
  <c r="B685" i="3"/>
  <c r="AF686" i="3"/>
  <c r="AT14" i="3"/>
  <c r="AX15" i="3"/>
  <c r="X25" i="3"/>
  <c r="AW42" i="3"/>
  <c r="AT31" i="3"/>
  <c r="AX10" i="3"/>
  <c r="AT682" i="3"/>
  <c r="AU15" i="3"/>
  <c r="AV15" i="3" s="1"/>
  <c r="AX29" i="3"/>
  <c r="AW34" i="3"/>
  <c r="AX9" i="3"/>
  <c r="AX34" i="3"/>
  <c r="AX39" i="3"/>
  <c r="AX11" i="3"/>
  <c r="AX682" i="3"/>
  <c r="AY682" i="3" s="1"/>
  <c r="AW28" i="3"/>
  <c r="AU9" i="3"/>
  <c r="AU3" i="3" s="1"/>
  <c r="AU4" i="3" s="1"/>
  <c r="AT9" i="3"/>
  <c r="AT3" i="3" s="1"/>
  <c r="AT4" i="3" s="1"/>
  <c r="AW9" i="3"/>
  <c r="AT21" i="3"/>
  <c r="AX42" i="3"/>
  <c r="AI9" i="3"/>
  <c r="AU42" i="3"/>
  <c r="AV42" i="3" s="1"/>
  <c r="AU16" i="3"/>
  <c r="AX17" i="3"/>
  <c r="AU41" i="3"/>
  <c r="AN684" i="3"/>
  <c r="AU31" i="3"/>
  <c r="AW15" i="3"/>
  <c r="AU682" i="3"/>
  <c r="AT39" i="3"/>
  <c r="AU39" i="3"/>
  <c r="AW11" i="3"/>
  <c r="AX20" i="3"/>
  <c r="AO684" i="3"/>
  <c r="AU11" i="3"/>
  <c r="AV11" i="3" s="1"/>
  <c r="AW40" i="3"/>
  <c r="AX28" i="3"/>
  <c r="AT36" i="3"/>
  <c r="AW25" i="3"/>
  <c r="Y684" i="3"/>
  <c r="Z684" i="3" s="1"/>
  <c r="AX25" i="3"/>
  <c r="AW31" i="3"/>
  <c r="AX13" i="3"/>
  <c r="AT32" i="3"/>
  <c r="AT13" i="3"/>
  <c r="AW41" i="3"/>
  <c r="AW13" i="3"/>
  <c r="AU13" i="3"/>
  <c r="AT34" i="3"/>
  <c r="AU40" i="3"/>
  <c r="AX32" i="3"/>
  <c r="AT28" i="3"/>
  <c r="AU20" i="3"/>
  <c r="AV20" i="3" s="1"/>
  <c r="AW20" i="3"/>
  <c r="X684" i="3"/>
  <c r="AW32" i="3"/>
  <c r="AX36" i="3"/>
  <c r="AW35" i="3"/>
  <c r="AU32" i="3"/>
  <c r="AU36" i="3"/>
  <c r="AU19" i="3"/>
  <c r="AV19" i="3" s="1"/>
  <c r="AX19" i="3"/>
  <c r="AT25" i="3"/>
  <c r="AW19" i="3"/>
  <c r="AW36" i="3"/>
  <c r="AX31" i="3"/>
  <c r="BM45" i="3"/>
  <c r="AU44" i="3"/>
  <c r="AG45" i="3"/>
  <c r="AO45" i="3"/>
  <c r="AT44" i="3"/>
  <c r="AW44" i="3"/>
  <c r="X45" i="3"/>
  <c r="Y45" i="3"/>
  <c r="Z45" i="3" s="1"/>
  <c r="BN45" i="3"/>
  <c r="AQ46" i="3"/>
  <c r="B46" i="3"/>
  <c r="A47" i="3"/>
  <c r="AR46" i="3"/>
  <c r="D46" i="3"/>
  <c r="AM46" i="3"/>
  <c r="T46" i="3"/>
  <c r="R46" i="3"/>
  <c r="AK46" i="3"/>
  <c r="O46" i="3"/>
  <c r="Q46" i="3"/>
  <c r="AD46" i="3"/>
  <c r="P46" i="3"/>
  <c r="M46" i="3"/>
  <c r="AF46" i="3"/>
  <c r="U46" i="3"/>
  <c r="V46" i="3"/>
  <c r="AE46" i="3"/>
  <c r="G46" i="3"/>
  <c r="H46" i="3" s="1"/>
  <c r="C46" i="3"/>
  <c r="F46" i="3"/>
  <c r="S46" i="3"/>
  <c r="AN45" i="3"/>
  <c r="AX44" i="3"/>
  <c r="AH45" i="3"/>
  <c r="AY12" i="3" l="1"/>
  <c r="BA29" i="3"/>
  <c r="BB29" i="3" s="1"/>
  <c r="AY16" i="3"/>
  <c r="AY24" i="3"/>
  <c r="AV14" i="3"/>
  <c r="AY9" i="3"/>
  <c r="AY18" i="3"/>
  <c r="AV23" i="3"/>
  <c r="AY36" i="3"/>
  <c r="AV683" i="3"/>
  <c r="BA23" i="3"/>
  <c r="BB23" i="3" s="1"/>
  <c r="AW684" i="3"/>
  <c r="AV38" i="3"/>
  <c r="AT684" i="3"/>
  <c r="AV41" i="3"/>
  <c r="AV28" i="3"/>
  <c r="AV37" i="3"/>
  <c r="BA24" i="3"/>
  <c r="BF24" i="3" s="1"/>
  <c r="BA37" i="3"/>
  <c r="BF37" i="3" s="1"/>
  <c r="AY683" i="3"/>
  <c r="AY35" i="3"/>
  <c r="BC35" i="3" s="1"/>
  <c r="BG35" i="3" s="1"/>
  <c r="BH35" i="3" s="1"/>
  <c r="BI35" i="3" s="1"/>
  <c r="AY17" i="3"/>
  <c r="BC12" i="3"/>
  <c r="BD12" i="3" s="1"/>
  <c r="AV43" i="3"/>
  <c r="AY23" i="3"/>
  <c r="AV21" i="3"/>
  <c r="BC21" i="3" s="1"/>
  <c r="BG21" i="3" s="1"/>
  <c r="BH21" i="3" s="1"/>
  <c r="BI21" i="3" s="1"/>
  <c r="AV18" i="3"/>
  <c r="AY41" i="3"/>
  <c r="AY40" i="3"/>
  <c r="AH687" i="3"/>
  <c r="AG687" i="3"/>
  <c r="AH685" i="3"/>
  <c r="AY38" i="3"/>
  <c r="AY29" i="3"/>
  <c r="BC29" i="3" s="1"/>
  <c r="BG29" i="3" s="1"/>
  <c r="BH29" i="3" s="1"/>
  <c r="BI29" i="3" s="1"/>
  <c r="AY37" i="3"/>
  <c r="AV30" i="3"/>
  <c r="AV22" i="3"/>
  <c r="AV17" i="3"/>
  <c r="BA33" i="3"/>
  <c r="BF33" i="3" s="1"/>
  <c r="AV26" i="3"/>
  <c r="AY33" i="3"/>
  <c r="BC33" i="3" s="1"/>
  <c r="BD33" i="3" s="1"/>
  <c r="AU684" i="3"/>
  <c r="BA12" i="3"/>
  <c r="BB12" i="3" s="1"/>
  <c r="AV40" i="3"/>
  <c r="AV27" i="3"/>
  <c r="BA30" i="3"/>
  <c r="BQ30" i="3" s="1"/>
  <c r="BA14" i="3"/>
  <c r="BQ14" i="3" s="1"/>
  <c r="AY26" i="3"/>
  <c r="BA26" i="3"/>
  <c r="BB26" i="3" s="1"/>
  <c r="BA38" i="3"/>
  <c r="BB38" i="3" s="1"/>
  <c r="AY30" i="3"/>
  <c r="Y686" i="3"/>
  <c r="Z686" i="3" s="1"/>
  <c r="AG685" i="3"/>
  <c r="BA16" i="3"/>
  <c r="BF16" i="3" s="1"/>
  <c r="BA43" i="3"/>
  <c r="BB43" i="3" s="1"/>
  <c r="X686" i="3"/>
  <c r="AN685" i="3"/>
  <c r="AY14" i="3"/>
  <c r="X687" i="3"/>
  <c r="AY27" i="3"/>
  <c r="BA683" i="3"/>
  <c r="BB683" i="3" s="1"/>
  <c r="AY22" i="3"/>
  <c r="AV10" i="3"/>
  <c r="AY43" i="3"/>
  <c r="BA27" i="3"/>
  <c r="BQ27" i="3" s="1"/>
  <c r="AV16" i="3"/>
  <c r="BC16" i="3" s="1"/>
  <c r="BG16" i="3" s="1"/>
  <c r="BH16" i="3" s="1"/>
  <c r="BI16" i="3" s="1"/>
  <c r="AV24" i="3"/>
  <c r="AO687" i="3"/>
  <c r="BA18" i="3"/>
  <c r="BB18" i="3" s="1"/>
  <c r="AY39" i="3"/>
  <c r="BA34" i="3"/>
  <c r="BF34" i="3" s="1"/>
  <c r="BJ33" i="3" s="1"/>
  <c r="BK33" i="3" s="1"/>
  <c r="BA25" i="3"/>
  <c r="BF25" i="3" s="1"/>
  <c r="BA40" i="3"/>
  <c r="BQ40" i="3" s="1"/>
  <c r="BA22" i="3"/>
  <c r="BB22" i="3" s="1"/>
  <c r="AX684" i="3"/>
  <c r="AG686" i="3"/>
  <c r="AO686" i="3"/>
  <c r="Y685" i="3"/>
  <c r="Z685" i="3" s="1"/>
  <c r="X685" i="3"/>
  <c r="BA10" i="3"/>
  <c r="BB10" i="3" s="1"/>
  <c r="AN687" i="3"/>
  <c r="Y687" i="3"/>
  <c r="Z687" i="3" s="1"/>
  <c r="AV32" i="3"/>
  <c r="BA9" i="3"/>
  <c r="BQ9" i="3" s="1"/>
  <c r="AY10" i="3"/>
  <c r="AV25" i="3"/>
  <c r="BA17" i="3"/>
  <c r="BF17" i="3" s="1"/>
  <c r="AH686" i="3"/>
  <c r="AN686" i="3"/>
  <c r="AY15" i="3"/>
  <c r="BC15" i="3" s="1"/>
  <c r="BG15" i="3" s="1"/>
  <c r="BH15" i="3" s="1"/>
  <c r="BI15" i="3" s="1"/>
  <c r="AV34" i="3"/>
  <c r="BA15" i="3"/>
  <c r="BQ15" i="3" s="1"/>
  <c r="BA42" i="3"/>
  <c r="BQ42" i="3" s="1"/>
  <c r="AY42" i="3"/>
  <c r="BC42" i="3" s="1"/>
  <c r="AV36" i="3"/>
  <c r="AV31" i="3"/>
  <c r="BA19" i="3"/>
  <c r="BB19" i="3" s="1"/>
  <c r="AV39" i="3"/>
  <c r="AY20" i="3"/>
  <c r="BC20" i="3" s="1"/>
  <c r="BA682" i="3"/>
  <c r="BF682" i="3" s="1"/>
  <c r="AY34" i="3"/>
  <c r="BA21" i="3"/>
  <c r="BF21" i="3" s="1"/>
  <c r="AV9" i="3"/>
  <c r="BA31" i="3"/>
  <c r="BB31" i="3" s="1"/>
  <c r="AV682" i="3"/>
  <c r="BC682" i="3" s="1"/>
  <c r="BD682" i="3" s="1"/>
  <c r="AY11" i="3"/>
  <c r="BC11" i="3" s="1"/>
  <c r="BD11" i="3" s="1"/>
  <c r="AY28" i="3"/>
  <c r="BA39" i="3"/>
  <c r="BF39" i="3" s="1"/>
  <c r="BA11" i="3"/>
  <c r="BF11" i="3" s="1"/>
  <c r="BA41" i="3"/>
  <c r="BF41" i="3" s="1"/>
  <c r="BA28" i="3"/>
  <c r="BB28" i="3" s="1"/>
  <c r="AY31" i="3"/>
  <c r="AY25" i="3"/>
  <c r="AY13" i="3"/>
  <c r="AY32" i="3"/>
  <c r="BA13" i="3"/>
  <c r="BB13" i="3" s="1"/>
  <c r="BA36" i="3"/>
  <c r="BF36" i="3" s="1"/>
  <c r="BA32" i="3"/>
  <c r="BQ32" i="3" s="1"/>
  <c r="AV13" i="3"/>
  <c r="BA35" i="3"/>
  <c r="BB35" i="3" s="1"/>
  <c r="BA20" i="3"/>
  <c r="BF20" i="3" s="1"/>
  <c r="AY19" i="3"/>
  <c r="BC19" i="3" s="1"/>
  <c r="BD19" i="3" s="1"/>
  <c r="BF29" i="3"/>
  <c r="BQ29" i="3"/>
  <c r="AV44" i="3"/>
  <c r="BN46" i="3"/>
  <c r="AX45" i="3"/>
  <c r="AY44" i="3"/>
  <c r="AG46" i="3"/>
  <c r="AN46" i="3"/>
  <c r="X46" i="3"/>
  <c r="Y46" i="3"/>
  <c r="Z46" i="3" s="1"/>
  <c r="AQ47" i="3"/>
  <c r="AR47" i="3"/>
  <c r="A48" i="3"/>
  <c r="B47" i="3"/>
  <c r="C47" i="3"/>
  <c r="AM47" i="3"/>
  <c r="D47" i="3"/>
  <c r="AK47" i="3"/>
  <c r="T47" i="3"/>
  <c r="Q47" i="3"/>
  <c r="AD47" i="3"/>
  <c r="R47" i="3"/>
  <c r="P47" i="3"/>
  <c r="O47" i="3"/>
  <c r="AE47" i="3"/>
  <c r="M47" i="3"/>
  <c r="AF47" i="3"/>
  <c r="U47" i="3"/>
  <c r="V47" i="3"/>
  <c r="F47" i="3"/>
  <c r="G47" i="3"/>
  <c r="H47" i="3" s="1"/>
  <c r="S47" i="3"/>
  <c r="BA44" i="3"/>
  <c r="AH46" i="3"/>
  <c r="AT45" i="3"/>
  <c r="AW45" i="3"/>
  <c r="AU45" i="3"/>
  <c r="BM46" i="3"/>
  <c r="AO46" i="3"/>
  <c r="AV684" i="3" l="1"/>
  <c r="BC38" i="3"/>
  <c r="BD38" i="3" s="1"/>
  <c r="BC43" i="3"/>
  <c r="BG43" i="3" s="1"/>
  <c r="BH43" i="3" s="1"/>
  <c r="BI43" i="3" s="1"/>
  <c r="BF23" i="3"/>
  <c r="BC17" i="3"/>
  <c r="BD17" i="3" s="1"/>
  <c r="BC24" i="3"/>
  <c r="BD24" i="3" s="1"/>
  <c r="BC18" i="3"/>
  <c r="BG18" i="3" s="1"/>
  <c r="BH18" i="3" s="1"/>
  <c r="BI18" i="3" s="1"/>
  <c r="BC14" i="3"/>
  <c r="BD14" i="3" s="1"/>
  <c r="BC9" i="3"/>
  <c r="BG9" i="3" s="1"/>
  <c r="BH9" i="3" s="1"/>
  <c r="BI9" i="3" s="1"/>
  <c r="BC26" i="3"/>
  <c r="BG26" i="3" s="1"/>
  <c r="BH26" i="3" s="1"/>
  <c r="BI26" i="3" s="1"/>
  <c r="BC23" i="3"/>
  <c r="BD23" i="3" s="1"/>
  <c r="BC36" i="3"/>
  <c r="BD36" i="3" s="1"/>
  <c r="BC683" i="3"/>
  <c r="BG683" i="3" s="1"/>
  <c r="BH683" i="3" s="1"/>
  <c r="BI683" i="3" s="1"/>
  <c r="BC28" i="3"/>
  <c r="BD28" i="3" s="1"/>
  <c r="BQ23" i="3"/>
  <c r="BC34" i="3"/>
  <c r="BD34" i="3" s="1"/>
  <c r="AY684" i="3"/>
  <c r="BC684" i="3" s="1"/>
  <c r="BD684" i="3" s="1"/>
  <c r="BB37" i="3"/>
  <c r="BQ37" i="3"/>
  <c r="BJ36" i="3"/>
  <c r="BK36" i="3" s="1"/>
  <c r="BG12" i="3"/>
  <c r="BH12" i="3" s="1"/>
  <c r="BI12" i="3" s="1"/>
  <c r="BJ23" i="3"/>
  <c r="BK23" i="3" s="1"/>
  <c r="BC41" i="3"/>
  <c r="BD41" i="3" s="1"/>
  <c r="BF30" i="3"/>
  <c r="BJ29" i="3" s="1"/>
  <c r="BK29" i="3" s="1"/>
  <c r="BQ24" i="3"/>
  <c r="BC37" i="3"/>
  <c r="BG37" i="3" s="1"/>
  <c r="BH37" i="3" s="1"/>
  <c r="BI37" i="3" s="1"/>
  <c r="BB24" i="3"/>
  <c r="BJ24" i="3"/>
  <c r="BK24" i="3" s="1"/>
  <c r="BC40" i="3"/>
  <c r="BG40" i="3" s="1"/>
  <c r="BH40" i="3" s="1"/>
  <c r="BI40" i="3" s="1"/>
  <c r="AU687" i="3"/>
  <c r="BB30" i="3"/>
  <c r="BG17" i="3"/>
  <c r="BH17" i="3" s="1"/>
  <c r="BI17" i="3" s="1"/>
  <c r="BC30" i="3"/>
  <c r="BD30" i="3" s="1"/>
  <c r="AT687" i="3"/>
  <c r="BQ26" i="3"/>
  <c r="BF683" i="3"/>
  <c r="AU685" i="3"/>
  <c r="AX685" i="3"/>
  <c r="BA684" i="3"/>
  <c r="BF684" i="3" s="1"/>
  <c r="BQ33" i="3"/>
  <c r="BB33" i="3"/>
  <c r="BB14" i="3"/>
  <c r="BF12" i="3"/>
  <c r="BJ11" i="3" s="1"/>
  <c r="BK11" i="3" s="1"/>
  <c r="BC22" i="3"/>
  <c r="BG22" i="3" s="1"/>
  <c r="BH22" i="3" s="1"/>
  <c r="BI22" i="3" s="1"/>
  <c r="BQ43" i="3"/>
  <c r="AT685" i="3"/>
  <c r="BQ17" i="3"/>
  <c r="BB42" i="3"/>
  <c r="BF43" i="3"/>
  <c r="BF26" i="3"/>
  <c r="BJ25" i="3" s="1"/>
  <c r="BK25" i="3" s="1"/>
  <c r="BQ34" i="3"/>
  <c r="BQ12" i="3"/>
  <c r="AW685" i="3"/>
  <c r="BF14" i="3"/>
  <c r="BC27" i="3"/>
  <c r="BD27" i="3" s="1"/>
  <c r="BF38" i="3"/>
  <c r="BJ38" i="3" s="1"/>
  <c r="BC32" i="3"/>
  <c r="BG32" i="3" s="1"/>
  <c r="BH32" i="3" s="1"/>
  <c r="BI32" i="3" s="1"/>
  <c r="BF32" i="3"/>
  <c r="BJ32" i="3" s="1"/>
  <c r="BK32" i="3" s="1"/>
  <c r="BC25" i="3"/>
  <c r="BG25" i="3" s="1"/>
  <c r="BH25" i="3" s="1"/>
  <c r="BI25" i="3" s="1"/>
  <c r="BQ25" i="3"/>
  <c r="BQ38" i="3"/>
  <c r="BB25" i="3"/>
  <c r="BQ22" i="3"/>
  <c r="BQ16" i="3"/>
  <c r="BB16" i="3"/>
  <c r="BJ16" i="3"/>
  <c r="BK16" i="3" s="1"/>
  <c r="AX687" i="3"/>
  <c r="BQ19" i="3"/>
  <c r="BF22" i="3"/>
  <c r="BJ22" i="3" s="1"/>
  <c r="BK22" i="3" s="1"/>
  <c r="BQ10" i="3"/>
  <c r="AW687" i="3"/>
  <c r="BC10" i="3"/>
  <c r="BD10" i="3" s="1"/>
  <c r="BB27" i="3"/>
  <c r="BF18" i="3"/>
  <c r="BJ17" i="3" s="1"/>
  <c r="BK17" i="3" s="1"/>
  <c r="BF9" i="3"/>
  <c r="BB34" i="3"/>
  <c r="BF27" i="3"/>
  <c r="BQ18" i="3"/>
  <c r="BF40" i="3"/>
  <c r="BJ40" i="3" s="1"/>
  <c r="BK40" i="3" s="1"/>
  <c r="BQ36" i="3"/>
  <c r="BB36" i="3"/>
  <c r="BB20" i="3"/>
  <c r="BQ13" i="3"/>
  <c r="BF19" i="3"/>
  <c r="BJ19" i="3" s="1"/>
  <c r="BK19" i="3" s="1"/>
  <c r="BB17" i="3"/>
  <c r="BF28" i="3"/>
  <c r="BJ28" i="3" s="1"/>
  <c r="BK28" i="3" s="1"/>
  <c r="BQ28" i="3"/>
  <c r="BF42" i="3"/>
  <c r="BJ41" i="3" s="1"/>
  <c r="BK41" i="3" s="1"/>
  <c r="BF10" i="3"/>
  <c r="BJ10" i="3" s="1"/>
  <c r="BK10" i="3" s="1"/>
  <c r="BC39" i="3"/>
  <c r="BD39" i="3" s="1"/>
  <c r="BF15" i="3"/>
  <c r="BJ15" i="3" s="1"/>
  <c r="BK15" i="3" s="1"/>
  <c r="BG14" i="3"/>
  <c r="BH14" i="3" s="1"/>
  <c r="BI14" i="3" s="1"/>
  <c r="BB40" i="3"/>
  <c r="AU686" i="3"/>
  <c r="AT686" i="3"/>
  <c r="BB9" i="3"/>
  <c r="BQ31" i="3"/>
  <c r="BB15" i="3"/>
  <c r="BF31" i="3"/>
  <c r="BB21" i="3"/>
  <c r="BB11" i="3"/>
  <c r="BQ21" i="3"/>
  <c r="AW686" i="3"/>
  <c r="AX686" i="3"/>
  <c r="BC31" i="3"/>
  <c r="BG31" i="3" s="1"/>
  <c r="BH31" i="3" s="1"/>
  <c r="BI31" i="3" s="1"/>
  <c r="BG33" i="3"/>
  <c r="BH33" i="3" s="1"/>
  <c r="BI33" i="3" s="1"/>
  <c r="BG42" i="3"/>
  <c r="BH42" i="3" s="1"/>
  <c r="BI42" i="3" s="1"/>
  <c r="BD42" i="3"/>
  <c r="BG20" i="3"/>
  <c r="BH20" i="3" s="1"/>
  <c r="BI20" i="3" s="1"/>
  <c r="BD20" i="3"/>
  <c r="BQ20" i="3"/>
  <c r="BJ20" i="3"/>
  <c r="BK20" i="3" s="1"/>
  <c r="BB682" i="3"/>
  <c r="BQ39" i="3"/>
  <c r="BF13" i="3"/>
  <c r="BG682" i="3"/>
  <c r="BH682" i="3" s="1"/>
  <c r="BI682" i="3" s="1"/>
  <c r="BB39" i="3"/>
  <c r="BF35" i="3"/>
  <c r="BJ34" i="3" s="1"/>
  <c r="BK34" i="3" s="1"/>
  <c r="BQ41" i="3"/>
  <c r="BB41" i="3"/>
  <c r="BQ11" i="3"/>
  <c r="BG19" i="3"/>
  <c r="BH19" i="3" s="1"/>
  <c r="BI19" i="3" s="1"/>
  <c r="BC13" i="3"/>
  <c r="BG13" i="3" s="1"/>
  <c r="BH13" i="3" s="1"/>
  <c r="BI13" i="3" s="1"/>
  <c r="BD35" i="3"/>
  <c r="BB32" i="3"/>
  <c r="BQ35" i="3"/>
  <c r="BN47" i="3"/>
  <c r="BG38" i="3"/>
  <c r="BH38" i="3" s="1"/>
  <c r="BI38" i="3" s="1"/>
  <c r="BG11" i="3"/>
  <c r="BH11" i="3" s="1"/>
  <c r="BI11" i="3" s="1"/>
  <c r="BD15" i="3"/>
  <c r="BD21" i="3"/>
  <c r="BD16" i="3"/>
  <c r="BD29" i="3"/>
  <c r="BC44" i="3"/>
  <c r="BG44" i="3" s="1"/>
  <c r="BH44" i="3" s="1"/>
  <c r="BI44" i="3" s="1"/>
  <c r="BD43" i="3"/>
  <c r="AT46" i="3"/>
  <c r="BM47" i="3"/>
  <c r="AO47" i="3"/>
  <c r="AY45" i="3"/>
  <c r="AU46" i="3"/>
  <c r="AX46" i="3"/>
  <c r="AV45" i="3"/>
  <c r="BB44" i="3"/>
  <c r="BF44" i="3"/>
  <c r="BQ44" i="3"/>
  <c r="Y47" i="3"/>
  <c r="Z47" i="3" s="1"/>
  <c r="AR48" i="3"/>
  <c r="B48" i="3"/>
  <c r="AQ48" i="3"/>
  <c r="A49" i="3"/>
  <c r="AM48" i="3"/>
  <c r="R48" i="3"/>
  <c r="AK48" i="3"/>
  <c r="S48" i="3"/>
  <c r="T48" i="3"/>
  <c r="AD48" i="3"/>
  <c r="O48" i="3"/>
  <c r="P48" i="3"/>
  <c r="M48" i="3"/>
  <c r="AE48" i="3"/>
  <c r="AF48" i="3"/>
  <c r="U48" i="3"/>
  <c r="V48" i="3"/>
  <c r="Q48" i="3"/>
  <c r="C48" i="3"/>
  <c r="D48" i="3"/>
  <c r="G48" i="3"/>
  <c r="H48" i="3" s="1"/>
  <c r="F48" i="3"/>
  <c r="BA45" i="3"/>
  <c r="AW46" i="3"/>
  <c r="AG47" i="3"/>
  <c r="AH47" i="3"/>
  <c r="X47" i="3"/>
  <c r="AN47" i="3"/>
  <c r="BG24" i="3" l="1"/>
  <c r="BH24" i="3" s="1"/>
  <c r="BI24" i="3" s="1"/>
  <c r="BD18" i="3"/>
  <c r="BD9" i="3"/>
  <c r="BD26" i="3"/>
  <c r="BG23" i="3"/>
  <c r="BH23" i="3" s="1"/>
  <c r="BI23" i="3" s="1"/>
  <c r="AY687" i="3"/>
  <c r="BD683" i="3"/>
  <c r="BG36" i="3"/>
  <c r="BH36" i="3" s="1"/>
  <c r="BI36" i="3" s="1"/>
  <c r="BG28" i="3"/>
  <c r="BH28" i="3" s="1"/>
  <c r="BI28" i="3" s="1"/>
  <c r="BJ30" i="3"/>
  <c r="BK30" i="3" s="1"/>
  <c r="BG34" i="3"/>
  <c r="BH34" i="3" s="1"/>
  <c r="BI34" i="3" s="1"/>
  <c r="BG41" i="3"/>
  <c r="BH41" i="3" s="1"/>
  <c r="BI41" i="3" s="1"/>
  <c r="AV46" i="3"/>
  <c r="AV687" i="3"/>
  <c r="BD37" i="3"/>
  <c r="BD40" i="3"/>
  <c r="BG30" i="3"/>
  <c r="BH30" i="3" s="1"/>
  <c r="BI30" i="3" s="1"/>
  <c r="AO48" i="3"/>
  <c r="BJ43" i="3"/>
  <c r="BK43" i="3" s="1"/>
  <c r="BB684" i="3"/>
  <c r="AV685" i="3"/>
  <c r="BJ37" i="3"/>
  <c r="BK37" i="3" s="1"/>
  <c r="BD22" i="3"/>
  <c r="BJ13" i="3"/>
  <c r="BK13" i="3" s="1"/>
  <c r="AY685" i="3"/>
  <c r="BJ26" i="3"/>
  <c r="BK26" i="3" s="1"/>
  <c r="BD25" i="3"/>
  <c r="BA685" i="3"/>
  <c r="BB685" i="3" s="1"/>
  <c r="BG27" i="3"/>
  <c r="BH27" i="3" s="1"/>
  <c r="BI27" i="3" s="1"/>
  <c r="BD32" i="3"/>
  <c r="BA687" i="3"/>
  <c r="BB687" i="3" s="1"/>
  <c r="BJ31" i="3"/>
  <c r="BK31" i="3" s="1"/>
  <c r="BJ27" i="3"/>
  <c r="BK27" i="3" s="1"/>
  <c r="BJ21" i="3"/>
  <c r="BK21" i="3" s="1"/>
  <c r="BJ39" i="3"/>
  <c r="BJ42" i="3"/>
  <c r="BK42" i="3" s="1"/>
  <c r="BJ12" i="3"/>
  <c r="BK12" i="3" s="1"/>
  <c r="BG10" i="3"/>
  <c r="BH10" i="3" s="1"/>
  <c r="BI10" i="3" s="1"/>
  <c r="BJ18" i="3"/>
  <c r="BK18" i="3" s="1"/>
  <c r="BJ9" i="3"/>
  <c r="BK9" i="3" s="1"/>
  <c r="BG39" i="3"/>
  <c r="BH39" i="3" s="1"/>
  <c r="BI39" i="3" s="1"/>
  <c r="BD31" i="3"/>
  <c r="BJ14" i="3"/>
  <c r="BK14" i="3" s="1"/>
  <c r="BJ35" i="3"/>
  <c r="BK35" i="3" s="1"/>
  <c r="AV686" i="3"/>
  <c r="BG684" i="3"/>
  <c r="BH684" i="3" s="1"/>
  <c r="BI684" i="3" s="1"/>
  <c r="BA686" i="3"/>
  <c r="BB686" i="3" s="1"/>
  <c r="AY686" i="3"/>
  <c r="BK38" i="3"/>
  <c r="BD13" i="3"/>
  <c r="BD44" i="3"/>
  <c r="BN48" i="3"/>
  <c r="BC45" i="3"/>
  <c r="BD45" i="3" s="1"/>
  <c r="BA46" i="3"/>
  <c r="BQ46" i="3" s="1"/>
  <c r="AU47" i="3"/>
  <c r="AH48" i="3"/>
  <c r="AN48" i="3"/>
  <c r="X48" i="3"/>
  <c r="AY46" i="3"/>
  <c r="BB45" i="3"/>
  <c r="BF45" i="3"/>
  <c r="BJ44" i="3" s="1"/>
  <c r="BK44" i="3" s="1"/>
  <c r="BQ45" i="3"/>
  <c r="Y48" i="3"/>
  <c r="Z48" i="3" s="1"/>
  <c r="AQ49" i="3"/>
  <c r="AR49" i="3"/>
  <c r="A50" i="3"/>
  <c r="B49" i="3"/>
  <c r="D49" i="3"/>
  <c r="AK49" i="3"/>
  <c r="R49" i="3"/>
  <c r="AM49" i="3"/>
  <c r="S49" i="3"/>
  <c r="Q49" i="3"/>
  <c r="AD49" i="3"/>
  <c r="AE49" i="3"/>
  <c r="U49" i="3"/>
  <c r="P49" i="3"/>
  <c r="O49" i="3"/>
  <c r="AF49" i="3"/>
  <c r="M49" i="3"/>
  <c r="V49" i="3"/>
  <c r="C49" i="3"/>
  <c r="G49" i="3"/>
  <c r="H49" i="3" s="1"/>
  <c r="F49" i="3"/>
  <c r="T49" i="3"/>
  <c r="AT47" i="3"/>
  <c r="AW47" i="3"/>
  <c r="BM48" i="3"/>
  <c r="AG48" i="3"/>
  <c r="AX47" i="3"/>
  <c r="BC687" i="3" l="1"/>
  <c r="BD687" i="3" s="1"/>
  <c r="BC685" i="3"/>
  <c r="BD685" i="3" s="1"/>
  <c r="BC46" i="3"/>
  <c r="BG46" i="3" s="1"/>
  <c r="BH46" i="3" s="1"/>
  <c r="BI46" i="3" s="1"/>
  <c r="BK39" i="3"/>
  <c r="BF685" i="3"/>
  <c r="BF687" i="3"/>
  <c r="BC686" i="3"/>
  <c r="BF686" i="3"/>
  <c r="AN49" i="3"/>
  <c r="BB46" i="3"/>
  <c r="BM49" i="3"/>
  <c r="BG45" i="3"/>
  <c r="BH45" i="3" s="1"/>
  <c r="BI45" i="3" s="1"/>
  <c r="BF46" i="3"/>
  <c r="BJ45" i="3" s="1"/>
  <c r="BN49" i="3"/>
  <c r="AW48" i="3"/>
  <c r="Y49" i="3"/>
  <c r="Z49" i="3" s="1"/>
  <c r="AV47" i="3"/>
  <c r="BA47" i="3"/>
  <c r="AQ50" i="3"/>
  <c r="B50" i="3"/>
  <c r="A51" i="3"/>
  <c r="AR50" i="3"/>
  <c r="C50" i="3"/>
  <c r="AK50" i="3"/>
  <c r="T50" i="3"/>
  <c r="AM50" i="3"/>
  <c r="Q50" i="3"/>
  <c r="AD50" i="3"/>
  <c r="P50" i="3"/>
  <c r="S50" i="3"/>
  <c r="O50" i="3"/>
  <c r="AE50" i="3"/>
  <c r="AF50" i="3"/>
  <c r="U50" i="3"/>
  <c r="M50" i="3"/>
  <c r="V50" i="3"/>
  <c r="D50" i="3"/>
  <c r="G50" i="3"/>
  <c r="H50" i="3" s="1"/>
  <c r="F50" i="3"/>
  <c r="R50" i="3"/>
  <c r="AU48" i="3"/>
  <c r="AX48" i="3"/>
  <c r="X49" i="3"/>
  <c r="AH49" i="3"/>
  <c r="AY47" i="3"/>
  <c r="AT48" i="3"/>
  <c r="AG49" i="3"/>
  <c r="AO49" i="3"/>
  <c r="BM50" i="3" l="1"/>
  <c r="BG687" i="3"/>
  <c r="BH687" i="3" s="1"/>
  <c r="BI687" i="3" s="1"/>
  <c r="BG685" i="3"/>
  <c r="BH685" i="3" s="1"/>
  <c r="BI685" i="3" s="1"/>
  <c r="BD46" i="3"/>
  <c r="AN50" i="3"/>
  <c r="BG686" i="3"/>
  <c r="BH686" i="3" s="1"/>
  <c r="BI686" i="3" s="1"/>
  <c r="BD686" i="3"/>
  <c r="BN50" i="3"/>
  <c r="BC47" i="3"/>
  <c r="BD47" i="3" s="1"/>
  <c r="AY48" i="3"/>
  <c r="AG50" i="3"/>
  <c r="BK45" i="3"/>
  <c r="Y50" i="3"/>
  <c r="Z50" i="3" s="1"/>
  <c r="AQ51" i="3"/>
  <c r="AR51" i="3"/>
  <c r="A52" i="3"/>
  <c r="B51" i="3"/>
  <c r="D51" i="3"/>
  <c r="S51" i="3"/>
  <c r="AK51" i="3"/>
  <c r="AM51" i="3"/>
  <c r="AD51" i="3"/>
  <c r="Q51" i="3"/>
  <c r="R51" i="3"/>
  <c r="P51" i="3"/>
  <c r="O51" i="3"/>
  <c r="AE51" i="3"/>
  <c r="M51" i="3"/>
  <c r="AF51" i="3"/>
  <c r="U51" i="3"/>
  <c r="V51" i="3"/>
  <c r="C51" i="3"/>
  <c r="G51" i="3"/>
  <c r="H51" i="3" s="1"/>
  <c r="F51" i="3"/>
  <c r="T51" i="3"/>
  <c r="AX49" i="3"/>
  <c r="AO50" i="3"/>
  <c r="AT49" i="3"/>
  <c r="AW49" i="3"/>
  <c r="X50" i="3"/>
  <c r="AV48" i="3"/>
  <c r="BA48" i="3"/>
  <c r="BB47" i="3"/>
  <c r="BQ47" i="3"/>
  <c r="BF47" i="3"/>
  <c r="BJ46" i="3" s="1"/>
  <c r="BK46" i="3" s="1"/>
  <c r="AU49" i="3"/>
  <c r="AH50" i="3"/>
  <c r="BM51" i="3" l="1"/>
  <c r="AU50" i="3"/>
  <c r="BN51" i="3"/>
  <c r="BG47" i="3"/>
  <c r="BH47" i="3" s="1"/>
  <c r="BI47" i="3" s="1"/>
  <c r="BC48" i="3"/>
  <c r="BG48" i="3" s="1"/>
  <c r="BH48" i="3" s="1"/>
  <c r="BI48" i="3" s="1"/>
  <c r="Y51" i="3"/>
  <c r="Z51" i="3" s="1"/>
  <c r="AN51" i="3"/>
  <c r="AT50" i="3"/>
  <c r="AW50" i="3"/>
  <c r="AG51" i="3"/>
  <c r="AY49" i="3"/>
  <c r="BF48" i="3"/>
  <c r="BJ47" i="3" s="1"/>
  <c r="BK47" i="3" s="1"/>
  <c r="BB48" i="3"/>
  <c r="BQ48" i="3"/>
  <c r="AV49" i="3"/>
  <c r="BA49" i="3"/>
  <c r="AR52" i="3"/>
  <c r="B52" i="3"/>
  <c r="AQ52" i="3"/>
  <c r="A53" i="3"/>
  <c r="D52" i="3"/>
  <c r="AK52" i="3"/>
  <c r="R52" i="3"/>
  <c r="AM52" i="3"/>
  <c r="C52" i="3"/>
  <c r="P52" i="3"/>
  <c r="AD52" i="3"/>
  <c r="M52" i="3"/>
  <c r="AE52" i="3"/>
  <c r="U52" i="3"/>
  <c r="O52" i="3"/>
  <c r="AF52" i="3"/>
  <c r="V52" i="3"/>
  <c r="Q52" i="3"/>
  <c r="G52" i="3"/>
  <c r="H52" i="3" s="1"/>
  <c r="F52" i="3"/>
  <c r="T52" i="3"/>
  <c r="S52" i="3"/>
  <c r="AX50" i="3"/>
  <c r="X51" i="3"/>
  <c r="AH51" i="3"/>
  <c r="AO51" i="3"/>
  <c r="BN52" i="3" l="1"/>
  <c r="BD48" i="3"/>
  <c r="AV50" i="3"/>
  <c r="AY50" i="3"/>
  <c r="AN52" i="3"/>
  <c r="BM52" i="3"/>
  <c r="AT51" i="3"/>
  <c r="AG52" i="3"/>
  <c r="BC49" i="3"/>
  <c r="BG49" i="3" s="1"/>
  <c r="BH49" i="3" s="1"/>
  <c r="BI49" i="3" s="1"/>
  <c r="AW51" i="3"/>
  <c r="AU51" i="3"/>
  <c r="X52" i="3"/>
  <c r="Y52" i="3"/>
  <c r="Z52" i="3" s="1"/>
  <c r="BA50" i="3"/>
  <c r="BF50" i="3" s="1"/>
  <c r="AQ53" i="3"/>
  <c r="AR53" i="3"/>
  <c r="A54" i="3"/>
  <c r="B53" i="3"/>
  <c r="S53" i="3"/>
  <c r="AM53" i="3"/>
  <c r="AK53" i="3"/>
  <c r="Q53" i="3"/>
  <c r="AD53" i="3"/>
  <c r="P53" i="3"/>
  <c r="T53" i="3"/>
  <c r="R53" i="3"/>
  <c r="O53" i="3"/>
  <c r="AF53" i="3"/>
  <c r="M53" i="3"/>
  <c r="AE53" i="3"/>
  <c r="U53" i="3"/>
  <c r="V53" i="3"/>
  <c r="F53" i="3"/>
  <c r="D53" i="3"/>
  <c r="C53" i="3"/>
  <c r="G53" i="3"/>
  <c r="H53" i="3" s="1"/>
  <c r="BQ49" i="3"/>
  <c r="BB49" i="3"/>
  <c r="BF49" i="3"/>
  <c r="BJ48" i="3" s="1"/>
  <c r="BK48" i="3" s="1"/>
  <c r="AX51" i="3"/>
  <c r="AO52" i="3"/>
  <c r="AH52" i="3"/>
  <c r="BN53" i="3" l="1"/>
  <c r="BC50" i="3"/>
  <c r="BG50" i="3" s="1"/>
  <c r="BH50" i="3" s="1"/>
  <c r="BI50" i="3" s="1"/>
  <c r="AV51" i="3"/>
  <c r="AX52" i="3"/>
  <c r="BD49" i="3"/>
  <c r="BM53" i="3"/>
  <c r="BA51" i="3"/>
  <c r="BF51" i="3" s="1"/>
  <c r="AT52" i="3"/>
  <c r="AU52" i="3"/>
  <c r="AW52" i="3"/>
  <c r="AH53" i="3"/>
  <c r="AO53" i="3"/>
  <c r="BB50" i="3"/>
  <c r="BQ50" i="3"/>
  <c r="Y53" i="3"/>
  <c r="Z53" i="3" s="1"/>
  <c r="AY51" i="3"/>
  <c r="AG53" i="3"/>
  <c r="AN53" i="3"/>
  <c r="BJ49" i="3"/>
  <c r="BK49" i="3" s="1"/>
  <c r="AQ54" i="3"/>
  <c r="B54" i="3"/>
  <c r="A55" i="3"/>
  <c r="AR54" i="3"/>
  <c r="D54" i="3"/>
  <c r="C54" i="3"/>
  <c r="AK54" i="3"/>
  <c r="S54" i="3"/>
  <c r="AM54" i="3"/>
  <c r="Q54" i="3"/>
  <c r="R54" i="3"/>
  <c r="O54" i="3"/>
  <c r="AD54" i="3"/>
  <c r="M54" i="3"/>
  <c r="AE54" i="3"/>
  <c r="AF54" i="3"/>
  <c r="U54" i="3"/>
  <c r="P54" i="3"/>
  <c r="V54" i="3"/>
  <c r="F54" i="3"/>
  <c r="G54" i="3"/>
  <c r="H54" i="3" s="1"/>
  <c r="T54" i="3"/>
  <c r="X53" i="3"/>
  <c r="BN54" i="3" l="1"/>
  <c r="BM54" i="3"/>
  <c r="BD50" i="3"/>
  <c r="BC51" i="3"/>
  <c r="BD51" i="3" s="1"/>
  <c r="BQ51" i="3"/>
  <c r="AN54" i="3"/>
  <c r="AY52" i="3"/>
  <c r="AG54" i="3"/>
  <c r="BB51" i="3"/>
  <c r="AX53" i="3"/>
  <c r="BA52" i="3"/>
  <c r="BF52" i="3" s="1"/>
  <c r="BJ51" i="3" s="1"/>
  <c r="AT53" i="3"/>
  <c r="AU53" i="3"/>
  <c r="AV52" i="3"/>
  <c r="AH54" i="3"/>
  <c r="AO54" i="3"/>
  <c r="Y54" i="3"/>
  <c r="Z54" i="3" s="1"/>
  <c r="X54" i="3"/>
  <c r="AW53" i="3"/>
  <c r="AQ55" i="3"/>
  <c r="AR55" i="3"/>
  <c r="A56" i="3"/>
  <c r="B55" i="3"/>
  <c r="C55" i="3"/>
  <c r="AM55" i="3"/>
  <c r="AK55" i="3"/>
  <c r="T55" i="3"/>
  <c r="Q55" i="3"/>
  <c r="R55" i="3"/>
  <c r="AD55" i="3"/>
  <c r="O55" i="3"/>
  <c r="P55" i="3"/>
  <c r="AE55" i="3"/>
  <c r="M55" i="3"/>
  <c r="V55" i="3"/>
  <c r="U55" i="3"/>
  <c r="AF55" i="3"/>
  <c r="G55" i="3"/>
  <c r="H55" i="3" s="1"/>
  <c r="F55" i="3"/>
  <c r="D55" i="3"/>
  <c r="S55" i="3"/>
  <c r="BJ50" i="3"/>
  <c r="BK50" i="3" s="1"/>
  <c r="BG51" i="3" l="1"/>
  <c r="BH51" i="3" s="1"/>
  <c r="BI51" i="3" s="1"/>
  <c r="BK51" i="3"/>
  <c r="AY53" i="3"/>
  <c r="AU54" i="3"/>
  <c r="BB52" i="3"/>
  <c r="BM55" i="3"/>
  <c r="BC52" i="3"/>
  <c r="BG52" i="3" s="1"/>
  <c r="BH52" i="3" s="1"/>
  <c r="BI52" i="3" s="1"/>
  <c r="AT54" i="3"/>
  <c r="BQ52" i="3"/>
  <c r="AV53" i="3"/>
  <c r="AN55" i="3"/>
  <c r="AX54" i="3"/>
  <c r="AW54" i="3"/>
  <c r="Y55" i="3"/>
  <c r="Z55" i="3" s="1"/>
  <c r="AR56" i="3"/>
  <c r="B56" i="3"/>
  <c r="AQ56" i="3"/>
  <c r="A57" i="3"/>
  <c r="C56" i="3"/>
  <c r="T56" i="3"/>
  <c r="Q56" i="3"/>
  <c r="AK56" i="3"/>
  <c r="AM56" i="3"/>
  <c r="R56" i="3"/>
  <c r="AD56" i="3"/>
  <c r="P56" i="3"/>
  <c r="O56" i="3"/>
  <c r="AE56" i="3"/>
  <c r="V56" i="3"/>
  <c r="M56" i="3"/>
  <c r="AF56" i="3"/>
  <c r="U56" i="3"/>
  <c r="G56" i="3"/>
  <c r="H56" i="3" s="1"/>
  <c r="F56" i="3"/>
  <c r="D56" i="3"/>
  <c r="S56" i="3"/>
  <c r="BN55" i="3"/>
  <c r="AH55" i="3"/>
  <c r="AO55" i="3"/>
  <c r="BA53" i="3"/>
  <c r="X55" i="3"/>
  <c r="AG55" i="3"/>
  <c r="BD52" i="3" l="1"/>
  <c r="AV54" i="3"/>
  <c r="BC53" i="3"/>
  <c r="BG53" i="3" s="1"/>
  <c r="BH53" i="3" s="1"/>
  <c r="BI53" i="3" s="1"/>
  <c r="AN56" i="3"/>
  <c r="BM56" i="3"/>
  <c r="BA54" i="3"/>
  <c r="BB54" i="3" s="1"/>
  <c r="AY54" i="3"/>
  <c r="AW55" i="3"/>
  <c r="X56" i="3"/>
  <c r="Y56" i="3"/>
  <c r="Z56" i="3" s="1"/>
  <c r="AT55" i="3"/>
  <c r="BN56" i="3"/>
  <c r="AH56" i="3"/>
  <c r="BB53" i="3"/>
  <c r="BQ53" i="3"/>
  <c r="BF53" i="3"/>
  <c r="BJ52" i="3" s="1"/>
  <c r="BK52" i="3" s="1"/>
  <c r="AU55" i="3"/>
  <c r="AX55" i="3"/>
  <c r="AQ57" i="3"/>
  <c r="AR57" i="3"/>
  <c r="A58" i="3"/>
  <c r="B57" i="3"/>
  <c r="AM57" i="3"/>
  <c r="Q57" i="3"/>
  <c r="AK57" i="3"/>
  <c r="T57" i="3"/>
  <c r="P57" i="3"/>
  <c r="O57" i="3"/>
  <c r="AD57" i="3"/>
  <c r="AF57" i="3"/>
  <c r="U57" i="3"/>
  <c r="AE57" i="3"/>
  <c r="M57" i="3"/>
  <c r="V57" i="3"/>
  <c r="C57" i="3"/>
  <c r="D57" i="3"/>
  <c r="G57" i="3"/>
  <c r="H57" i="3" s="1"/>
  <c r="R57" i="3"/>
  <c r="F57" i="3"/>
  <c r="S57" i="3"/>
  <c r="AG56" i="3"/>
  <c r="AO56" i="3"/>
  <c r="BM57" i="3" l="1"/>
  <c r="AO57" i="3"/>
  <c r="BC54" i="3"/>
  <c r="BD54" i="3" s="1"/>
  <c r="BD53" i="3"/>
  <c r="BN57" i="3"/>
  <c r="AY55" i="3"/>
  <c r="BF54" i="3"/>
  <c r="BJ53" i="3" s="1"/>
  <c r="BK53" i="3" s="1"/>
  <c r="BQ54" i="3"/>
  <c r="AH57" i="3"/>
  <c r="Y57" i="3"/>
  <c r="Z57" i="3" s="1"/>
  <c r="AV55" i="3"/>
  <c r="BA55" i="3"/>
  <c r="AW56" i="3"/>
  <c r="X57" i="3"/>
  <c r="AG57" i="3"/>
  <c r="AT56" i="3"/>
  <c r="AX56" i="3"/>
  <c r="AQ58" i="3"/>
  <c r="B58" i="3"/>
  <c r="A59" i="3"/>
  <c r="AR58" i="3"/>
  <c r="D58" i="3"/>
  <c r="AK58" i="3"/>
  <c r="S58" i="3"/>
  <c r="Q58" i="3"/>
  <c r="AM58" i="3"/>
  <c r="T58" i="3"/>
  <c r="R58" i="3"/>
  <c r="AD58" i="3"/>
  <c r="P58" i="3"/>
  <c r="O58" i="3"/>
  <c r="AE58" i="3"/>
  <c r="M58" i="3"/>
  <c r="AF58" i="3"/>
  <c r="U58" i="3"/>
  <c r="V58" i="3"/>
  <c r="C58" i="3"/>
  <c r="G58" i="3"/>
  <c r="H58" i="3" s="1"/>
  <c r="F58" i="3"/>
  <c r="AN57" i="3"/>
  <c r="AU56" i="3"/>
  <c r="BN58" i="3" l="1"/>
  <c r="BM58" i="3"/>
  <c r="AT57" i="3"/>
  <c r="BG54" i="3"/>
  <c r="BH54" i="3" s="1"/>
  <c r="BI54" i="3" s="1"/>
  <c r="BC55" i="3"/>
  <c r="BG55" i="3" s="1"/>
  <c r="BH55" i="3" s="1"/>
  <c r="BI55" i="3" s="1"/>
  <c r="AN58" i="3"/>
  <c r="AU57" i="3"/>
  <c r="AX57" i="3"/>
  <c r="Y58" i="3"/>
  <c r="Z58" i="3" s="1"/>
  <c r="AQ59" i="3"/>
  <c r="AR59" i="3"/>
  <c r="A60" i="3"/>
  <c r="B59" i="3"/>
  <c r="D59" i="3"/>
  <c r="AK59" i="3"/>
  <c r="C59" i="3"/>
  <c r="AM59" i="3"/>
  <c r="R59" i="3"/>
  <c r="Q59" i="3"/>
  <c r="AD59" i="3"/>
  <c r="P59" i="3"/>
  <c r="O59" i="3"/>
  <c r="AE59" i="3"/>
  <c r="M59" i="3"/>
  <c r="V59" i="3"/>
  <c r="AF59" i="3"/>
  <c r="U59" i="3"/>
  <c r="F59" i="3"/>
  <c r="BM59" i="3" s="1"/>
  <c r="G59" i="3"/>
  <c r="H59" i="3" s="1"/>
  <c r="T59" i="3"/>
  <c r="S59" i="3"/>
  <c r="BA56" i="3"/>
  <c r="AV56" i="3"/>
  <c r="AG58" i="3"/>
  <c r="AW57" i="3"/>
  <c r="AY56" i="3"/>
  <c r="BQ55" i="3"/>
  <c r="BF55" i="3"/>
  <c r="BJ54" i="3" s="1"/>
  <c r="BK54" i="3" s="1"/>
  <c r="BB55" i="3"/>
  <c r="X58" i="3"/>
  <c r="AH58" i="3"/>
  <c r="AO58" i="3"/>
  <c r="AV57" i="3" l="1"/>
  <c r="BD55" i="3"/>
  <c r="AN59" i="3"/>
  <c r="AU58" i="3"/>
  <c r="BN59" i="3"/>
  <c r="AY57" i="3"/>
  <c r="AG59" i="3"/>
  <c r="BA57" i="3"/>
  <c r="BB57" i="3" s="1"/>
  <c r="X59" i="3"/>
  <c r="AT58" i="3"/>
  <c r="AW58" i="3"/>
  <c r="BB56" i="3"/>
  <c r="BQ56" i="3"/>
  <c r="BF56" i="3"/>
  <c r="BJ55" i="3" s="1"/>
  <c r="BK55" i="3" s="1"/>
  <c r="Y59" i="3"/>
  <c r="Z59" i="3" s="1"/>
  <c r="AR60" i="3"/>
  <c r="B60" i="3"/>
  <c r="AQ60" i="3"/>
  <c r="A61" i="3"/>
  <c r="D60" i="3"/>
  <c r="AK60" i="3"/>
  <c r="AM60" i="3"/>
  <c r="T60" i="3"/>
  <c r="Q60" i="3"/>
  <c r="AD60" i="3"/>
  <c r="O60" i="3"/>
  <c r="S60" i="3"/>
  <c r="P60" i="3"/>
  <c r="AF60" i="3"/>
  <c r="V60" i="3"/>
  <c r="M60" i="3"/>
  <c r="AE60" i="3"/>
  <c r="U60" i="3"/>
  <c r="G60" i="3"/>
  <c r="H60" i="3" s="1"/>
  <c r="F60" i="3"/>
  <c r="R60" i="3"/>
  <c r="C60" i="3"/>
  <c r="AX58" i="3"/>
  <c r="AH59" i="3"/>
  <c r="BC56" i="3"/>
  <c r="AO59" i="3"/>
  <c r="AU59" i="3" l="1"/>
  <c r="BC57" i="3"/>
  <c r="BD57" i="3" s="1"/>
  <c r="BN60" i="3"/>
  <c r="BQ57" i="3"/>
  <c r="AW59" i="3"/>
  <c r="AT59" i="3"/>
  <c r="AV59" i="3" s="1"/>
  <c r="AN60" i="3"/>
  <c r="BF57" i="3"/>
  <c r="BJ56" i="3" s="1"/>
  <c r="X60" i="3"/>
  <c r="AG60" i="3"/>
  <c r="AQ61" i="3"/>
  <c r="AR61" i="3"/>
  <c r="A62" i="3"/>
  <c r="B61" i="3"/>
  <c r="D61" i="3"/>
  <c r="C61" i="3"/>
  <c r="AM61" i="3"/>
  <c r="S61" i="3"/>
  <c r="AK61" i="3"/>
  <c r="Q61" i="3"/>
  <c r="R61" i="3"/>
  <c r="AD61" i="3"/>
  <c r="P61" i="3"/>
  <c r="M61" i="3"/>
  <c r="AE61" i="3"/>
  <c r="O61" i="3"/>
  <c r="V61" i="3"/>
  <c r="U61" i="3"/>
  <c r="AF61" i="3"/>
  <c r="F61" i="3"/>
  <c r="G61" i="3"/>
  <c r="H61" i="3" s="1"/>
  <c r="BN61" i="3" s="1"/>
  <c r="T61" i="3"/>
  <c r="BA58" i="3"/>
  <c r="AV58" i="3"/>
  <c r="AX59" i="3"/>
  <c r="BM60" i="3"/>
  <c r="AH60" i="3"/>
  <c r="AO60" i="3"/>
  <c r="BD56" i="3"/>
  <c r="BG56" i="3"/>
  <c r="BH56" i="3" s="1"/>
  <c r="BI56" i="3" s="1"/>
  <c r="Y60" i="3"/>
  <c r="Z60" i="3" s="1"/>
  <c r="AY58" i="3"/>
  <c r="BK56" i="3" l="1"/>
  <c r="BG57" i="3"/>
  <c r="BH57" i="3" s="1"/>
  <c r="BI57" i="3" s="1"/>
  <c r="AY59" i="3"/>
  <c r="BC59" i="3" s="1"/>
  <c r="BG59" i="3" s="1"/>
  <c r="BH59" i="3" s="1"/>
  <c r="BI59" i="3" s="1"/>
  <c r="BM61" i="3"/>
  <c r="AO61" i="3"/>
  <c r="AT60" i="3"/>
  <c r="AW60" i="3"/>
  <c r="BC58" i="3"/>
  <c r="BG58" i="3" s="1"/>
  <c r="BH58" i="3" s="1"/>
  <c r="BI58" i="3" s="1"/>
  <c r="AX60" i="3"/>
  <c r="AH61" i="3"/>
  <c r="AG61" i="3"/>
  <c r="BB58" i="3"/>
  <c r="BQ58" i="3"/>
  <c r="BF58" i="3"/>
  <c r="BJ57" i="3" s="1"/>
  <c r="BK57" i="3" s="1"/>
  <c r="AU60" i="3"/>
  <c r="Y61" i="3"/>
  <c r="Z61" i="3" s="1"/>
  <c r="X61" i="3"/>
  <c r="BA59" i="3"/>
  <c r="AQ62" i="3"/>
  <c r="B62" i="3"/>
  <c r="A63" i="3"/>
  <c r="AR62" i="3"/>
  <c r="D62" i="3"/>
  <c r="AM62" i="3"/>
  <c r="Q62" i="3"/>
  <c r="R62" i="3"/>
  <c r="AK62" i="3"/>
  <c r="P62" i="3"/>
  <c r="O62" i="3"/>
  <c r="AD62" i="3"/>
  <c r="M62" i="3"/>
  <c r="AE62" i="3"/>
  <c r="AF62" i="3"/>
  <c r="V62" i="3"/>
  <c r="U62" i="3"/>
  <c r="F62" i="3"/>
  <c r="C62" i="3"/>
  <c r="T62" i="3"/>
  <c r="G62" i="3"/>
  <c r="H62" i="3" s="1"/>
  <c r="S62" i="3"/>
  <c r="AN61" i="3"/>
  <c r="BN62" i="3" l="1"/>
  <c r="AY60" i="3"/>
  <c r="BD58" i="3"/>
  <c r="BD59" i="3"/>
  <c r="BM62" i="3"/>
  <c r="AV60" i="3"/>
  <c r="AT61" i="3"/>
  <c r="AX61" i="3"/>
  <c r="AN62" i="3"/>
  <c r="AW61" i="3"/>
  <c r="AG62" i="3"/>
  <c r="AU61" i="3"/>
  <c r="BA60" i="3"/>
  <c r="BB60" i="3" s="1"/>
  <c r="X62" i="3"/>
  <c r="Y62" i="3"/>
  <c r="Z62" i="3" s="1"/>
  <c r="AQ63" i="3"/>
  <c r="AR63" i="3"/>
  <c r="A64" i="3"/>
  <c r="B63" i="3"/>
  <c r="D63" i="3"/>
  <c r="AK63" i="3"/>
  <c r="AM63" i="3"/>
  <c r="Q63" i="3"/>
  <c r="AD63" i="3"/>
  <c r="O63" i="3"/>
  <c r="P63" i="3"/>
  <c r="M63" i="3"/>
  <c r="AF63" i="3"/>
  <c r="AE63" i="3"/>
  <c r="U63" i="3"/>
  <c r="V63" i="3"/>
  <c r="C63" i="3"/>
  <c r="G63" i="3"/>
  <c r="H63" i="3" s="1"/>
  <c r="R63" i="3"/>
  <c r="F63" i="3"/>
  <c r="S63" i="3"/>
  <c r="T63" i="3"/>
  <c r="AH62" i="3"/>
  <c r="AO62" i="3"/>
  <c r="BQ59" i="3"/>
  <c r="BB59" i="3"/>
  <c r="BF59" i="3"/>
  <c r="BJ58" i="3" s="1"/>
  <c r="BK58" i="3" s="1"/>
  <c r="BC60" i="3" l="1"/>
  <c r="BD60" i="3" s="1"/>
  <c r="AV61" i="3"/>
  <c r="BM63" i="3"/>
  <c r="BN63" i="3"/>
  <c r="AO63" i="3"/>
  <c r="AU62" i="3"/>
  <c r="AT62" i="3"/>
  <c r="BF60" i="3"/>
  <c r="BJ59" i="3" s="1"/>
  <c r="BK59" i="3" s="1"/>
  <c r="BQ60" i="3"/>
  <c r="AY61" i="3"/>
  <c r="AW62" i="3"/>
  <c r="BA61" i="3"/>
  <c r="BQ61" i="3" s="1"/>
  <c r="Y63" i="3"/>
  <c r="Z63" i="3" s="1"/>
  <c r="AG63" i="3"/>
  <c r="AQ64" i="3"/>
  <c r="B64" i="3"/>
  <c r="A65" i="3"/>
  <c r="AR64" i="3"/>
  <c r="D64" i="3"/>
  <c r="C64" i="3"/>
  <c r="AM64" i="3"/>
  <c r="Q64" i="3"/>
  <c r="AK64" i="3"/>
  <c r="R64" i="3"/>
  <c r="S64" i="3"/>
  <c r="AD64" i="3"/>
  <c r="P64" i="3"/>
  <c r="O64" i="3"/>
  <c r="V64" i="3"/>
  <c r="AE64" i="3"/>
  <c r="AF64" i="3"/>
  <c r="M64" i="3"/>
  <c r="U64" i="3"/>
  <c r="F64" i="3"/>
  <c r="G64" i="3"/>
  <c r="H64" i="3" s="1"/>
  <c r="BN64" i="3" s="1"/>
  <c r="T64" i="3"/>
  <c r="AX62" i="3"/>
  <c r="X63" i="3"/>
  <c r="AH63" i="3"/>
  <c r="AN63" i="3"/>
  <c r="BG60" i="3" l="1"/>
  <c r="BH60" i="3" s="1"/>
  <c r="BI60" i="3" s="1"/>
  <c r="BM64" i="3"/>
  <c r="BC61" i="3"/>
  <c r="BD61" i="3" s="1"/>
  <c r="AO64" i="3"/>
  <c r="AV62" i="3"/>
  <c r="AG64" i="3"/>
  <c r="BF61" i="3"/>
  <c r="BJ60" i="3" s="1"/>
  <c r="BA62" i="3"/>
  <c r="BB62" i="3" s="1"/>
  <c r="BB61" i="3"/>
  <c r="AX63" i="3"/>
  <c r="AT63" i="3"/>
  <c r="Y64" i="3"/>
  <c r="Z64" i="3" s="1"/>
  <c r="AQ65" i="3"/>
  <c r="AR65" i="3"/>
  <c r="A66" i="3"/>
  <c r="B65" i="3"/>
  <c r="AK65" i="3"/>
  <c r="AM65" i="3"/>
  <c r="T65" i="3"/>
  <c r="R65" i="3"/>
  <c r="AD65" i="3"/>
  <c r="O65" i="3"/>
  <c r="S65" i="3"/>
  <c r="Q65" i="3"/>
  <c r="P65" i="3"/>
  <c r="M65" i="3"/>
  <c r="V65" i="3"/>
  <c r="U65" i="3"/>
  <c r="AF65" i="3"/>
  <c r="AE65" i="3"/>
  <c r="D65" i="3"/>
  <c r="F65" i="3"/>
  <c r="C65" i="3"/>
  <c r="G65" i="3"/>
  <c r="H65" i="3" s="1"/>
  <c r="AW63" i="3"/>
  <c r="AU63" i="3"/>
  <c r="AY62" i="3"/>
  <c r="AH64" i="3"/>
  <c r="AN64" i="3"/>
  <c r="X64" i="3"/>
  <c r="BK60" i="3" l="1"/>
  <c r="BG61" i="3"/>
  <c r="BH61" i="3" s="1"/>
  <c r="BI61" i="3" s="1"/>
  <c r="AV63" i="3"/>
  <c r="BC62" i="3"/>
  <c r="BD62" i="3" s="1"/>
  <c r="BQ62" i="3"/>
  <c r="AU64" i="3"/>
  <c r="AY63" i="3"/>
  <c r="BF62" i="3"/>
  <c r="BJ61" i="3" s="1"/>
  <c r="BK61" i="3" s="1"/>
  <c r="AO65" i="3"/>
  <c r="AT64" i="3"/>
  <c r="AW64" i="3"/>
  <c r="X65" i="3"/>
  <c r="Y65" i="3"/>
  <c r="Z65" i="3" s="1"/>
  <c r="AX64" i="3"/>
  <c r="BN65" i="3"/>
  <c r="BM65" i="3"/>
  <c r="AG65" i="3"/>
  <c r="AN65" i="3"/>
  <c r="BA63" i="3"/>
  <c r="AQ66" i="3"/>
  <c r="B66" i="3"/>
  <c r="A67" i="3"/>
  <c r="AR66" i="3"/>
  <c r="C66" i="3"/>
  <c r="Q66" i="3"/>
  <c r="AM66" i="3"/>
  <c r="AK66" i="3"/>
  <c r="AD66" i="3"/>
  <c r="R66" i="3"/>
  <c r="O66" i="3"/>
  <c r="AE66" i="3"/>
  <c r="M66" i="3"/>
  <c r="V66" i="3"/>
  <c r="U66" i="3"/>
  <c r="AF66" i="3"/>
  <c r="D66" i="3"/>
  <c r="F66" i="3"/>
  <c r="S66" i="3"/>
  <c r="T66" i="3"/>
  <c r="G66" i="3"/>
  <c r="H66" i="3" s="1"/>
  <c r="P66" i="3"/>
  <c r="AH65" i="3"/>
  <c r="BN66" i="3" l="1"/>
  <c r="AV64" i="3"/>
  <c r="BC63" i="3"/>
  <c r="BD63" i="3" s="1"/>
  <c r="BG62" i="3"/>
  <c r="BH62" i="3" s="1"/>
  <c r="BI62" i="3" s="1"/>
  <c r="BM66" i="3"/>
  <c r="AY64" i="3"/>
  <c r="AX65" i="3"/>
  <c r="AO66" i="3"/>
  <c r="BF63" i="3"/>
  <c r="BJ62" i="3" s="1"/>
  <c r="BK62" i="3" s="1"/>
  <c r="BQ63" i="3"/>
  <c r="BB63" i="3"/>
  <c r="Y66" i="3"/>
  <c r="Z66" i="3" s="1"/>
  <c r="AQ67" i="3"/>
  <c r="AR67" i="3"/>
  <c r="A68" i="3"/>
  <c r="B67" i="3"/>
  <c r="C67" i="3"/>
  <c r="AM67" i="3"/>
  <c r="S67" i="3"/>
  <c r="AK67" i="3"/>
  <c r="R67" i="3"/>
  <c r="Q67" i="3"/>
  <c r="AD67" i="3"/>
  <c r="P67" i="3"/>
  <c r="T67" i="3"/>
  <c r="O67" i="3"/>
  <c r="M67" i="3"/>
  <c r="AF67" i="3"/>
  <c r="V67" i="3"/>
  <c r="AE67" i="3"/>
  <c r="U67" i="3"/>
  <c r="D67" i="3"/>
  <c r="G67" i="3"/>
  <c r="H67" i="3" s="1"/>
  <c r="F67" i="3"/>
  <c r="AU65" i="3"/>
  <c r="X66" i="3"/>
  <c r="AH66" i="3"/>
  <c r="AN66" i="3"/>
  <c r="AT65" i="3"/>
  <c r="AW65" i="3"/>
  <c r="BA64" i="3"/>
  <c r="AG66" i="3"/>
  <c r="BC64" i="3" l="1"/>
  <c r="BD64" i="3" s="1"/>
  <c r="AO67" i="3"/>
  <c r="BG63" i="3"/>
  <c r="BH63" i="3" s="1"/>
  <c r="BI63" i="3" s="1"/>
  <c r="BM67" i="3"/>
  <c r="AT66" i="3"/>
  <c r="AY65" i="3"/>
  <c r="AG67" i="3"/>
  <c r="Y67" i="3"/>
  <c r="Z67" i="3" s="1"/>
  <c r="AH67" i="3"/>
  <c r="AN67" i="3"/>
  <c r="BF64" i="3"/>
  <c r="BJ63" i="3" s="1"/>
  <c r="BK63" i="3" s="1"/>
  <c r="BQ64" i="3"/>
  <c r="BB64" i="3"/>
  <c r="AV65" i="3"/>
  <c r="BA65" i="3"/>
  <c r="AQ68" i="3"/>
  <c r="B68" i="3"/>
  <c r="A69" i="3"/>
  <c r="AR68" i="3"/>
  <c r="AM68" i="3"/>
  <c r="AK68" i="3"/>
  <c r="D68" i="3"/>
  <c r="R68" i="3"/>
  <c r="T68" i="3"/>
  <c r="Q68" i="3"/>
  <c r="AD68" i="3"/>
  <c r="P68" i="3"/>
  <c r="AF68" i="3"/>
  <c r="V68" i="3"/>
  <c r="U68" i="3"/>
  <c r="O68" i="3"/>
  <c r="AE68" i="3"/>
  <c r="M68" i="3"/>
  <c r="C68" i="3"/>
  <c r="G68" i="3"/>
  <c r="H68" i="3" s="1"/>
  <c r="F68" i="3"/>
  <c r="S68" i="3"/>
  <c r="AW66" i="3"/>
  <c r="AU66" i="3"/>
  <c r="AX66" i="3"/>
  <c r="BN67" i="3"/>
  <c r="X67" i="3"/>
  <c r="BM68" i="3" l="1"/>
  <c r="BG64" i="3"/>
  <c r="BH64" i="3" s="1"/>
  <c r="BI64" i="3" s="1"/>
  <c r="AG68" i="3"/>
  <c r="AU67" i="3"/>
  <c r="AT67" i="3"/>
  <c r="BC65" i="3"/>
  <c r="BG65" i="3" s="1"/>
  <c r="BH65" i="3" s="1"/>
  <c r="BI65" i="3" s="1"/>
  <c r="AV66" i="3"/>
  <c r="AN68" i="3"/>
  <c r="AX67" i="3"/>
  <c r="AY66" i="3"/>
  <c r="Y68" i="3"/>
  <c r="Z68" i="3" s="1"/>
  <c r="BQ65" i="3"/>
  <c r="BF65" i="3"/>
  <c r="BB65" i="3"/>
  <c r="AH68" i="3"/>
  <c r="X68" i="3"/>
  <c r="BN68" i="3"/>
  <c r="AO68" i="3"/>
  <c r="AW67" i="3"/>
  <c r="BA66" i="3"/>
  <c r="AQ69" i="3"/>
  <c r="AR69" i="3"/>
  <c r="A70" i="3"/>
  <c r="B69" i="3"/>
  <c r="C69" i="3"/>
  <c r="AM69" i="3"/>
  <c r="S69" i="3"/>
  <c r="R69" i="3"/>
  <c r="D69" i="3"/>
  <c r="AK69" i="3"/>
  <c r="Q69" i="3"/>
  <c r="AD69" i="3"/>
  <c r="O69" i="3"/>
  <c r="P69" i="3"/>
  <c r="M69" i="3"/>
  <c r="AE69" i="3"/>
  <c r="U69" i="3"/>
  <c r="V69" i="3"/>
  <c r="AF69" i="3"/>
  <c r="F69" i="3"/>
  <c r="G69" i="3"/>
  <c r="H69" i="3" s="1"/>
  <c r="BN69" i="3" s="1"/>
  <c r="T69" i="3"/>
  <c r="BD65" i="3" l="1"/>
  <c r="AO69" i="3"/>
  <c r="AV67" i="3"/>
  <c r="BM69" i="3"/>
  <c r="BC66" i="3"/>
  <c r="BD66" i="3" s="1"/>
  <c r="AX68" i="3"/>
  <c r="AG69" i="3"/>
  <c r="BA67" i="3"/>
  <c r="BB67" i="3" s="1"/>
  <c r="AT68" i="3"/>
  <c r="AY67" i="3"/>
  <c r="AU68" i="3"/>
  <c r="AW68" i="3"/>
  <c r="Y69" i="3"/>
  <c r="Z69" i="3" s="1"/>
  <c r="BF66" i="3"/>
  <c r="BJ65" i="3" s="1"/>
  <c r="BK65" i="3" s="1"/>
  <c r="BB66" i="3"/>
  <c r="BQ66" i="3"/>
  <c r="AQ70" i="3"/>
  <c r="B70" i="3"/>
  <c r="A71" i="3"/>
  <c r="AR70" i="3"/>
  <c r="C70" i="3"/>
  <c r="D70" i="3"/>
  <c r="AK70" i="3"/>
  <c r="T70" i="3"/>
  <c r="AM70" i="3"/>
  <c r="R70" i="3"/>
  <c r="Q70" i="3"/>
  <c r="AD70" i="3"/>
  <c r="P70" i="3"/>
  <c r="O70" i="3"/>
  <c r="AE70" i="3"/>
  <c r="AF70" i="3"/>
  <c r="M70" i="3"/>
  <c r="V70" i="3"/>
  <c r="U70" i="3"/>
  <c r="G70" i="3"/>
  <c r="H70" i="3" s="1"/>
  <c r="F70" i="3"/>
  <c r="S70" i="3"/>
  <c r="AH69" i="3"/>
  <c r="AN69" i="3"/>
  <c r="X69" i="3"/>
  <c r="BJ64" i="3"/>
  <c r="BK64" i="3" s="1"/>
  <c r="BM70" i="3" l="1"/>
  <c r="BN70" i="3"/>
  <c r="AY68" i="3"/>
  <c r="AN70" i="3"/>
  <c r="BG66" i="3"/>
  <c r="BH66" i="3" s="1"/>
  <c r="BI66" i="3" s="1"/>
  <c r="BC67" i="3"/>
  <c r="BD67" i="3" s="1"/>
  <c r="AV68" i="3"/>
  <c r="BQ67" i="3"/>
  <c r="AT69" i="3"/>
  <c r="BF67" i="3"/>
  <c r="BJ66" i="3" s="1"/>
  <c r="BA68" i="3"/>
  <c r="BQ68" i="3" s="1"/>
  <c r="AX69" i="3"/>
  <c r="X70" i="3"/>
  <c r="AQ71" i="3"/>
  <c r="AR71" i="3"/>
  <c r="A72" i="3"/>
  <c r="B71" i="3"/>
  <c r="AM71" i="3"/>
  <c r="AK71" i="3"/>
  <c r="R71" i="3"/>
  <c r="AD71" i="3"/>
  <c r="P71" i="3"/>
  <c r="Q71" i="3"/>
  <c r="AE71" i="3"/>
  <c r="AF71" i="3"/>
  <c r="O71" i="3"/>
  <c r="M71" i="3"/>
  <c r="V71" i="3"/>
  <c r="U71" i="3"/>
  <c r="D71" i="3"/>
  <c r="G71" i="3"/>
  <c r="H71" i="3" s="1"/>
  <c r="C71" i="3"/>
  <c r="F71" i="3"/>
  <c r="T71" i="3"/>
  <c r="S71" i="3"/>
  <c r="AU69" i="3"/>
  <c r="AW69" i="3"/>
  <c r="AG70" i="3"/>
  <c r="AO70" i="3"/>
  <c r="Y70" i="3"/>
  <c r="Z70" i="3" s="1"/>
  <c r="AH70" i="3"/>
  <c r="BC68" i="3" l="1"/>
  <c r="BG68" i="3" s="1"/>
  <c r="BH68" i="3" s="1"/>
  <c r="BI68" i="3" s="1"/>
  <c r="BG67" i="3"/>
  <c r="BH67" i="3" s="1"/>
  <c r="BI67" i="3" s="1"/>
  <c r="BK66" i="3"/>
  <c r="BM71" i="3"/>
  <c r="BN71" i="3"/>
  <c r="AN71" i="3"/>
  <c r="BB68" i="3"/>
  <c r="AV69" i="3"/>
  <c r="BF68" i="3"/>
  <c r="BJ67" i="3" s="1"/>
  <c r="AX70" i="3"/>
  <c r="AY69" i="3"/>
  <c r="AO71" i="3"/>
  <c r="AG71" i="3"/>
  <c r="X71" i="3"/>
  <c r="BA69" i="3"/>
  <c r="BQ69" i="3" s="1"/>
  <c r="Y71" i="3"/>
  <c r="Z71" i="3" s="1"/>
  <c r="AH71" i="3"/>
  <c r="AQ72" i="3"/>
  <c r="B72" i="3"/>
  <c r="A73" i="3"/>
  <c r="AR72" i="3"/>
  <c r="D72" i="3"/>
  <c r="Q72" i="3"/>
  <c r="R72" i="3"/>
  <c r="AM72" i="3"/>
  <c r="AK72" i="3"/>
  <c r="S72" i="3"/>
  <c r="AD72" i="3"/>
  <c r="P72" i="3"/>
  <c r="O72" i="3"/>
  <c r="M72" i="3"/>
  <c r="U72" i="3"/>
  <c r="AF72" i="3"/>
  <c r="AE72" i="3"/>
  <c r="V72" i="3"/>
  <c r="F72" i="3"/>
  <c r="G72" i="3"/>
  <c r="H72" i="3" s="1"/>
  <c r="C72" i="3"/>
  <c r="T72" i="3"/>
  <c r="AT70" i="3"/>
  <c r="AU70" i="3"/>
  <c r="AW70" i="3"/>
  <c r="BK67" i="3" l="1"/>
  <c r="BD68" i="3"/>
  <c r="BN72" i="3"/>
  <c r="AG72" i="3"/>
  <c r="AO72" i="3"/>
  <c r="BF69" i="3"/>
  <c r="BJ68" i="3" s="1"/>
  <c r="BK68" i="3" s="1"/>
  <c r="X72" i="3"/>
  <c r="BC69" i="3"/>
  <c r="BG69" i="3" s="1"/>
  <c r="BH69" i="3" s="1"/>
  <c r="BI69" i="3" s="1"/>
  <c r="AY70" i="3"/>
  <c r="AU71" i="3"/>
  <c r="Y72" i="3"/>
  <c r="Z72" i="3" s="1"/>
  <c r="AX71" i="3"/>
  <c r="AW71" i="3"/>
  <c r="AT71" i="3"/>
  <c r="BB69" i="3"/>
  <c r="AV70" i="3"/>
  <c r="BA70" i="3"/>
  <c r="AN72" i="3"/>
  <c r="AQ73" i="3"/>
  <c r="AR73" i="3"/>
  <c r="A74" i="3"/>
  <c r="B73" i="3"/>
  <c r="AM73" i="3"/>
  <c r="D73" i="3"/>
  <c r="C73" i="3"/>
  <c r="AK73" i="3"/>
  <c r="R73" i="3"/>
  <c r="Q73" i="3"/>
  <c r="AD73" i="3"/>
  <c r="P73" i="3"/>
  <c r="O73" i="3"/>
  <c r="M73" i="3"/>
  <c r="AF73" i="3"/>
  <c r="AE73" i="3"/>
  <c r="U73" i="3"/>
  <c r="V73" i="3"/>
  <c r="G73" i="3"/>
  <c r="H73" i="3" s="1"/>
  <c r="F73" i="3"/>
  <c r="S73" i="3"/>
  <c r="T73" i="3"/>
  <c r="BM72" i="3"/>
  <c r="AH72" i="3"/>
  <c r="AV71" i="3" l="1"/>
  <c r="BC70" i="3"/>
  <c r="BD70" i="3" s="1"/>
  <c r="BM73" i="3"/>
  <c r="AX72" i="3"/>
  <c r="BD69" i="3"/>
  <c r="AU72" i="3"/>
  <c r="AY71" i="3"/>
  <c r="AO73" i="3"/>
  <c r="BA71" i="3"/>
  <c r="BB71" i="3" s="1"/>
  <c r="AG73" i="3"/>
  <c r="Y73" i="3"/>
  <c r="Z73" i="3" s="1"/>
  <c r="AQ74" i="3"/>
  <c r="B74" i="3"/>
  <c r="A75" i="3"/>
  <c r="AR74" i="3"/>
  <c r="D74" i="3"/>
  <c r="AK74" i="3"/>
  <c r="S74" i="3"/>
  <c r="R74" i="3"/>
  <c r="AM74" i="3"/>
  <c r="Q74" i="3"/>
  <c r="AD74" i="3"/>
  <c r="P74" i="3"/>
  <c r="O74" i="3"/>
  <c r="AE74" i="3"/>
  <c r="AF74" i="3"/>
  <c r="U74" i="3"/>
  <c r="V74" i="3"/>
  <c r="M74" i="3"/>
  <c r="F74" i="3"/>
  <c r="G74" i="3"/>
  <c r="H74" i="3" s="1"/>
  <c r="C74" i="3"/>
  <c r="T74" i="3"/>
  <c r="AW72" i="3"/>
  <c r="X73" i="3"/>
  <c r="BN73" i="3"/>
  <c r="AH73" i="3"/>
  <c r="AN73" i="3"/>
  <c r="AT72" i="3"/>
  <c r="BB70" i="3"/>
  <c r="BQ70" i="3"/>
  <c r="BF70" i="3"/>
  <c r="BJ69" i="3" s="1"/>
  <c r="BK69" i="3" s="1"/>
  <c r="BC71" i="3" l="1"/>
  <c r="BD71" i="3" s="1"/>
  <c r="AT73" i="3"/>
  <c r="BG70" i="3"/>
  <c r="BH70" i="3" s="1"/>
  <c r="BI70" i="3" s="1"/>
  <c r="BN74" i="3"/>
  <c r="AY72" i="3"/>
  <c r="AU73" i="3"/>
  <c r="BQ71" i="3"/>
  <c r="BF71" i="3"/>
  <c r="BJ70" i="3" s="1"/>
  <c r="AO74" i="3"/>
  <c r="Y74" i="3"/>
  <c r="Z74" i="3" s="1"/>
  <c r="AG74" i="3"/>
  <c r="AW73" i="3"/>
  <c r="AV72" i="3"/>
  <c r="BA72" i="3"/>
  <c r="A76" i="3"/>
  <c r="AQ75" i="3"/>
  <c r="B75" i="3"/>
  <c r="AR75" i="3"/>
  <c r="AM75" i="3"/>
  <c r="T75" i="3"/>
  <c r="S75" i="3"/>
  <c r="R75" i="3"/>
  <c r="AK75" i="3"/>
  <c r="Q75" i="3"/>
  <c r="AD75" i="3"/>
  <c r="M75" i="3"/>
  <c r="O75" i="3"/>
  <c r="AE75" i="3"/>
  <c r="U75" i="3"/>
  <c r="AF75" i="3"/>
  <c r="V75" i="3"/>
  <c r="C75" i="3"/>
  <c r="D75" i="3"/>
  <c r="F75" i="3"/>
  <c r="G75" i="3"/>
  <c r="H75" i="3" s="1"/>
  <c r="P75" i="3"/>
  <c r="AX73" i="3"/>
  <c r="X74" i="3"/>
  <c r="BM74" i="3"/>
  <c r="AH74" i="3"/>
  <c r="AN74" i="3"/>
  <c r="BM75" i="3" l="1"/>
  <c r="BG71" i="3"/>
  <c r="BH71" i="3" s="1"/>
  <c r="BI71" i="3" s="1"/>
  <c r="AV73" i="3"/>
  <c r="BK70" i="3"/>
  <c r="BN75" i="3"/>
  <c r="AO75" i="3"/>
  <c r="BC72" i="3"/>
  <c r="BD72" i="3" s="1"/>
  <c r="AT74" i="3"/>
  <c r="AY73" i="3"/>
  <c r="AX74" i="3"/>
  <c r="AH75" i="3"/>
  <c r="BQ72" i="3"/>
  <c r="BF72" i="3"/>
  <c r="BJ71" i="3" s="1"/>
  <c r="BB72" i="3"/>
  <c r="AW74" i="3"/>
  <c r="AU74" i="3"/>
  <c r="Y75" i="3"/>
  <c r="Z75" i="3" s="1"/>
  <c r="X75" i="3"/>
  <c r="AG75" i="3"/>
  <c r="BA73" i="3"/>
  <c r="A77" i="3"/>
  <c r="B76" i="3"/>
  <c r="AR76" i="3"/>
  <c r="AQ76" i="3"/>
  <c r="C76" i="3"/>
  <c r="D76" i="3"/>
  <c r="AM76" i="3"/>
  <c r="AK76" i="3"/>
  <c r="Q76" i="3"/>
  <c r="R76" i="3"/>
  <c r="AD76" i="3"/>
  <c r="O76" i="3"/>
  <c r="P76" i="3"/>
  <c r="AE76" i="3"/>
  <c r="M76" i="3"/>
  <c r="U76" i="3"/>
  <c r="AF76" i="3"/>
  <c r="V76" i="3"/>
  <c r="G76" i="3"/>
  <c r="H76" i="3" s="1"/>
  <c r="F76" i="3"/>
  <c r="T76" i="3"/>
  <c r="S76" i="3"/>
  <c r="AN75" i="3"/>
  <c r="BK71" i="3" l="1"/>
  <c r="AV74" i="3"/>
  <c r="BC73" i="3"/>
  <c r="BD73" i="3" s="1"/>
  <c r="AX75" i="3"/>
  <c r="BN76" i="3"/>
  <c r="BG72" i="3"/>
  <c r="BH72" i="3" s="1"/>
  <c r="BI72" i="3" s="1"/>
  <c r="AY74" i="3"/>
  <c r="AN76" i="3"/>
  <c r="BQ73" i="3"/>
  <c r="BB73" i="3"/>
  <c r="BF73" i="3"/>
  <c r="BJ72" i="3" s="1"/>
  <c r="AW75" i="3"/>
  <c r="X76" i="3"/>
  <c r="BM76" i="3"/>
  <c r="AG76" i="3"/>
  <c r="AO76" i="3"/>
  <c r="AT75" i="3"/>
  <c r="AR77" i="3"/>
  <c r="B77" i="3"/>
  <c r="AQ77" i="3"/>
  <c r="A78" i="3"/>
  <c r="AM77" i="3"/>
  <c r="C77" i="3"/>
  <c r="AK77" i="3"/>
  <c r="T77" i="3"/>
  <c r="R77" i="3"/>
  <c r="AD77" i="3"/>
  <c r="P77" i="3"/>
  <c r="O77" i="3"/>
  <c r="U77" i="3"/>
  <c r="AE77" i="3"/>
  <c r="M77" i="3"/>
  <c r="AF77" i="3"/>
  <c r="V77" i="3"/>
  <c r="G77" i="3"/>
  <c r="H77" i="3" s="1"/>
  <c r="F77" i="3"/>
  <c r="Q77" i="3"/>
  <c r="D77" i="3"/>
  <c r="S77" i="3"/>
  <c r="Y76" i="3"/>
  <c r="Z76" i="3" s="1"/>
  <c r="AH76" i="3"/>
  <c r="AU75" i="3"/>
  <c r="BA74" i="3"/>
  <c r="BC74" i="3" l="1"/>
  <c r="BD74" i="3" s="1"/>
  <c r="BG73" i="3"/>
  <c r="BH73" i="3" s="1"/>
  <c r="BI73" i="3" s="1"/>
  <c r="AY75" i="3"/>
  <c r="BK72" i="3"/>
  <c r="AO77" i="3"/>
  <c r="AH77" i="3"/>
  <c r="BM77" i="3"/>
  <c r="AX76" i="3"/>
  <c r="AT76" i="3"/>
  <c r="AU76" i="3"/>
  <c r="Y77" i="3"/>
  <c r="Z77" i="3" s="1"/>
  <c r="BB74" i="3"/>
  <c r="BF74" i="3"/>
  <c r="BJ73" i="3" s="1"/>
  <c r="BK73" i="3" s="1"/>
  <c r="BQ74" i="3"/>
  <c r="B78" i="3"/>
  <c r="AQ78" i="3"/>
  <c r="AR78" i="3"/>
  <c r="A79" i="3"/>
  <c r="AK78" i="3"/>
  <c r="AM78" i="3"/>
  <c r="R78" i="3"/>
  <c r="Q78" i="3"/>
  <c r="T78" i="3"/>
  <c r="AD78" i="3"/>
  <c r="P78" i="3"/>
  <c r="M78" i="3"/>
  <c r="AF78" i="3"/>
  <c r="AE78" i="3"/>
  <c r="V78" i="3"/>
  <c r="O78" i="3"/>
  <c r="U78" i="3"/>
  <c r="D78" i="3"/>
  <c r="C78" i="3"/>
  <c r="G78" i="3"/>
  <c r="H78" i="3" s="1"/>
  <c r="F78" i="3"/>
  <c r="S78" i="3"/>
  <c r="BA75" i="3"/>
  <c r="AV75" i="3"/>
  <c r="X77" i="3"/>
  <c r="BN77" i="3"/>
  <c r="AG77" i="3"/>
  <c r="AW76" i="3"/>
  <c r="AN77" i="3"/>
  <c r="BG74" i="3" l="1"/>
  <c r="BH74" i="3" s="1"/>
  <c r="BI74" i="3" s="1"/>
  <c r="AY76" i="3"/>
  <c r="BM78" i="3"/>
  <c r="BN78" i="3"/>
  <c r="BC75" i="3"/>
  <c r="BD75" i="3" s="1"/>
  <c r="AO78" i="3"/>
  <c r="AX77" i="3"/>
  <c r="AV76" i="3"/>
  <c r="BF75" i="3"/>
  <c r="BJ74" i="3" s="1"/>
  <c r="BK74" i="3" s="1"/>
  <c r="BQ75" i="3"/>
  <c r="BB75" i="3"/>
  <c r="Y78" i="3"/>
  <c r="Z78" i="3" s="1"/>
  <c r="A80" i="3"/>
  <c r="AQ79" i="3"/>
  <c r="B79" i="3"/>
  <c r="AR79" i="3"/>
  <c r="C79" i="3"/>
  <c r="D79" i="3"/>
  <c r="AM79" i="3"/>
  <c r="T79" i="3"/>
  <c r="S79" i="3"/>
  <c r="AK79" i="3"/>
  <c r="R79" i="3"/>
  <c r="Q79" i="3"/>
  <c r="AD79" i="3"/>
  <c r="O79" i="3"/>
  <c r="P79" i="3"/>
  <c r="M79" i="3"/>
  <c r="AE79" i="3"/>
  <c r="AF79" i="3"/>
  <c r="U79" i="3"/>
  <c r="V79" i="3"/>
  <c r="G79" i="3"/>
  <c r="H79" i="3" s="1"/>
  <c r="F79" i="3"/>
  <c r="AW77" i="3"/>
  <c r="AU77" i="3"/>
  <c r="AT77" i="3"/>
  <c r="X78" i="3"/>
  <c r="AG78" i="3"/>
  <c r="AH78" i="3"/>
  <c r="AN78" i="3"/>
  <c r="BA76" i="3"/>
  <c r="BC76" i="3" l="1"/>
  <c r="BD76" i="3" s="1"/>
  <c r="BG75" i="3"/>
  <c r="BH75" i="3" s="1"/>
  <c r="BI75" i="3" s="1"/>
  <c r="AY77" i="3"/>
  <c r="BM79" i="3"/>
  <c r="BN79" i="3"/>
  <c r="AG79" i="3"/>
  <c r="AN79" i="3"/>
  <c r="BQ76" i="3"/>
  <c r="BB76" i="3"/>
  <c r="BF76" i="3"/>
  <c r="BJ75" i="3" s="1"/>
  <c r="BK75" i="3" s="1"/>
  <c r="BA77" i="3"/>
  <c r="AV77" i="3"/>
  <c r="Y79" i="3"/>
  <c r="Z79" i="3" s="1"/>
  <c r="AW78" i="3"/>
  <c r="AT78" i="3"/>
  <c r="AU78" i="3"/>
  <c r="AX78" i="3"/>
  <c r="AO79" i="3"/>
  <c r="A81" i="3"/>
  <c r="B80" i="3"/>
  <c r="AR80" i="3"/>
  <c r="AQ80" i="3"/>
  <c r="T80" i="3"/>
  <c r="AK80" i="3"/>
  <c r="AM80" i="3"/>
  <c r="S80" i="3"/>
  <c r="Q80" i="3"/>
  <c r="R80" i="3"/>
  <c r="AD80" i="3"/>
  <c r="P80" i="3"/>
  <c r="O80" i="3"/>
  <c r="M80" i="3"/>
  <c r="AF80" i="3"/>
  <c r="AE80" i="3"/>
  <c r="U80" i="3"/>
  <c r="V80" i="3"/>
  <c r="D80" i="3"/>
  <c r="C80" i="3"/>
  <c r="F80" i="3"/>
  <c r="G80" i="3"/>
  <c r="H80" i="3" s="1"/>
  <c r="AH79" i="3"/>
  <c r="X79" i="3"/>
  <c r="BG76" i="3" l="1"/>
  <c r="BH76" i="3" s="1"/>
  <c r="BI76" i="3" s="1"/>
  <c r="BN80" i="3"/>
  <c r="BC77" i="3"/>
  <c r="BD77" i="3" s="1"/>
  <c r="AO80" i="3"/>
  <c r="AX79" i="3"/>
  <c r="AG80" i="3"/>
  <c r="X80" i="3"/>
  <c r="AY78" i="3"/>
  <c r="Y80" i="3"/>
  <c r="Z80" i="3" s="1"/>
  <c r="AR81" i="3"/>
  <c r="B81" i="3"/>
  <c r="AQ81" i="3"/>
  <c r="A82" i="3"/>
  <c r="AM81" i="3"/>
  <c r="R81" i="3"/>
  <c r="C81" i="3"/>
  <c r="AK81" i="3"/>
  <c r="S81" i="3"/>
  <c r="O81" i="3"/>
  <c r="AD81" i="3"/>
  <c r="P81" i="3"/>
  <c r="M81" i="3"/>
  <c r="AE81" i="3"/>
  <c r="AF81" i="3"/>
  <c r="V81" i="3"/>
  <c r="U81" i="3"/>
  <c r="D81" i="3"/>
  <c r="Q81" i="3"/>
  <c r="G81" i="3"/>
  <c r="H81" i="3" s="1"/>
  <c r="F81" i="3"/>
  <c r="T81" i="3"/>
  <c r="AV78" i="3"/>
  <c r="BA78" i="3"/>
  <c r="AW79" i="3"/>
  <c r="BM80" i="3"/>
  <c r="AH80" i="3"/>
  <c r="AN80" i="3"/>
  <c r="AT79" i="3"/>
  <c r="BB77" i="3"/>
  <c r="BQ77" i="3"/>
  <c r="BF77" i="3"/>
  <c r="BJ76" i="3" s="1"/>
  <c r="BK76" i="3" s="1"/>
  <c r="AU79" i="3"/>
  <c r="BC78" i="3" l="1"/>
  <c r="BD78" i="3" s="1"/>
  <c r="BN81" i="3"/>
  <c r="BM81" i="3"/>
  <c r="AU80" i="3"/>
  <c r="BG77" i="3"/>
  <c r="BH77" i="3" s="1"/>
  <c r="BI77" i="3" s="1"/>
  <c r="AT80" i="3"/>
  <c r="AW80" i="3"/>
  <c r="AG81" i="3"/>
  <c r="AY79" i="3"/>
  <c r="AO81" i="3"/>
  <c r="BA79" i="3"/>
  <c r="AV79" i="3"/>
  <c r="BQ78" i="3"/>
  <c r="BB78" i="3"/>
  <c r="BF78" i="3"/>
  <c r="BJ77" i="3" s="1"/>
  <c r="BK77" i="3" s="1"/>
  <c r="Y81" i="3"/>
  <c r="Z81" i="3" s="1"/>
  <c r="AX80" i="3"/>
  <c r="AH81" i="3"/>
  <c r="X81" i="3"/>
  <c r="AN81" i="3"/>
  <c r="B82" i="3"/>
  <c r="AQ82" i="3"/>
  <c r="AR82" i="3"/>
  <c r="A83" i="3"/>
  <c r="D82" i="3"/>
  <c r="AK82" i="3"/>
  <c r="Q82" i="3"/>
  <c r="AM82" i="3"/>
  <c r="S82" i="3"/>
  <c r="O82" i="3"/>
  <c r="T82" i="3"/>
  <c r="AD82" i="3"/>
  <c r="P82" i="3"/>
  <c r="M82" i="3"/>
  <c r="AF82" i="3"/>
  <c r="AE82" i="3"/>
  <c r="V82" i="3"/>
  <c r="U82" i="3"/>
  <c r="R82" i="3"/>
  <c r="F82" i="3"/>
  <c r="C82" i="3"/>
  <c r="G82" i="3"/>
  <c r="H82" i="3" s="1"/>
  <c r="BG78" i="3" l="1"/>
  <c r="BH78" i="3" s="1"/>
  <c r="BI78" i="3" s="1"/>
  <c r="AU81" i="3"/>
  <c r="AY80" i="3"/>
  <c r="AV80" i="3"/>
  <c r="AN82" i="3"/>
  <c r="BN82" i="3"/>
  <c r="BM82" i="3"/>
  <c r="BC79" i="3"/>
  <c r="BD79" i="3" s="1"/>
  <c r="AG82" i="3"/>
  <c r="AT81" i="3"/>
  <c r="AV81" i="3" s="1"/>
  <c r="AW81" i="3"/>
  <c r="Y82" i="3"/>
  <c r="Z82" i="3" s="1"/>
  <c r="BQ79" i="3"/>
  <c r="BB79" i="3"/>
  <c r="BF79" i="3"/>
  <c r="BJ78" i="3" s="1"/>
  <c r="BK78" i="3" s="1"/>
  <c r="X82" i="3"/>
  <c r="A84" i="3"/>
  <c r="AQ83" i="3"/>
  <c r="B83" i="3"/>
  <c r="AR83" i="3"/>
  <c r="C83" i="3"/>
  <c r="AM83" i="3"/>
  <c r="AK83" i="3"/>
  <c r="Q83" i="3"/>
  <c r="R83" i="3"/>
  <c r="AD83" i="3"/>
  <c r="P83" i="3"/>
  <c r="O83" i="3"/>
  <c r="AE83" i="3"/>
  <c r="AF83" i="3"/>
  <c r="M83" i="3"/>
  <c r="V83" i="3"/>
  <c r="U83" i="3"/>
  <c r="F83" i="3"/>
  <c r="D83" i="3"/>
  <c r="G83" i="3"/>
  <c r="H83" i="3" s="1"/>
  <c r="S83" i="3"/>
  <c r="T83" i="3"/>
  <c r="AH82" i="3"/>
  <c r="AO82" i="3"/>
  <c r="AX81" i="3"/>
  <c r="BA80" i="3"/>
  <c r="BC80" i="3" l="1"/>
  <c r="BG80" i="3" s="1"/>
  <c r="BH80" i="3" s="1"/>
  <c r="BI80" i="3" s="1"/>
  <c r="BN83" i="3"/>
  <c r="BM83" i="3"/>
  <c r="BG79" i="3"/>
  <c r="BH79" i="3" s="1"/>
  <c r="BI79" i="3" s="1"/>
  <c r="AY81" i="3"/>
  <c r="BC81" i="3" s="1"/>
  <c r="AX82" i="3"/>
  <c r="AN83" i="3"/>
  <c r="AH83" i="3"/>
  <c r="BA81" i="3"/>
  <c r="BQ81" i="3" s="1"/>
  <c r="BQ80" i="3"/>
  <c r="BF80" i="3"/>
  <c r="BJ79" i="3" s="1"/>
  <c r="BB80" i="3"/>
  <c r="A85" i="3"/>
  <c r="B84" i="3"/>
  <c r="AR84" i="3"/>
  <c r="AQ84" i="3"/>
  <c r="C84" i="3"/>
  <c r="AK84" i="3"/>
  <c r="AM84" i="3"/>
  <c r="R84" i="3"/>
  <c r="Q84" i="3"/>
  <c r="AD84" i="3"/>
  <c r="P84" i="3"/>
  <c r="AF84" i="3"/>
  <c r="O84" i="3"/>
  <c r="AE84" i="3"/>
  <c r="M84" i="3"/>
  <c r="U84" i="3"/>
  <c r="V84" i="3"/>
  <c r="D84" i="3"/>
  <c r="G84" i="3"/>
  <c r="H84" i="3" s="1"/>
  <c r="F84" i="3"/>
  <c r="S84" i="3"/>
  <c r="T84" i="3"/>
  <c r="AU82" i="3"/>
  <c r="AW82" i="3"/>
  <c r="X83" i="3"/>
  <c r="AG83" i="3"/>
  <c r="AO83" i="3"/>
  <c r="Y83" i="3"/>
  <c r="Z83" i="3" s="1"/>
  <c r="AT82" i="3"/>
  <c r="BK79" i="3" l="1"/>
  <c r="BD80" i="3"/>
  <c r="AY82" i="3"/>
  <c r="BB81" i="3"/>
  <c r="BF81" i="3"/>
  <c r="BJ80" i="3" s="1"/>
  <c r="BK80" i="3" s="1"/>
  <c r="BN84" i="3"/>
  <c r="AN84" i="3"/>
  <c r="AU83" i="3"/>
  <c r="AG84" i="3"/>
  <c r="AT83" i="3"/>
  <c r="X84" i="3"/>
  <c r="AW83" i="3"/>
  <c r="AX83" i="3"/>
  <c r="Y84" i="3"/>
  <c r="Z84" i="3" s="1"/>
  <c r="BM84" i="3"/>
  <c r="AH84" i="3"/>
  <c r="AO84" i="3"/>
  <c r="AV82" i="3"/>
  <c r="BA82" i="3"/>
  <c r="BG81" i="3"/>
  <c r="BH81" i="3" s="1"/>
  <c r="BI81" i="3" s="1"/>
  <c r="BD81" i="3"/>
  <c r="AR85" i="3"/>
  <c r="B85" i="3"/>
  <c r="AQ85" i="3"/>
  <c r="A86" i="3"/>
  <c r="C85" i="3"/>
  <c r="T85" i="3"/>
  <c r="S85" i="3"/>
  <c r="AK85" i="3"/>
  <c r="AM85" i="3"/>
  <c r="R85" i="3"/>
  <c r="Q85" i="3"/>
  <c r="P85" i="3"/>
  <c r="AD85" i="3"/>
  <c r="O85" i="3"/>
  <c r="M85" i="3"/>
  <c r="AF85" i="3"/>
  <c r="AE85" i="3"/>
  <c r="V85" i="3"/>
  <c r="U85" i="3"/>
  <c r="D85" i="3"/>
  <c r="F85" i="3"/>
  <c r="BM85" i="3" s="1"/>
  <c r="G85" i="3"/>
  <c r="H85" i="3" s="1"/>
  <c r="BN85" i="3" l="1"/>
  <c r="BC82" i="3"/>
  <c r="BD82" i="3" s="1"/>
  <c r="AV83" i="3"/>
  <c r="AG85" i="3"/>
  <c r="AN85" i="3"/>
  <c r="AU84" i="3"/>
  <c r="AT84" i="3"/>
  <c r="BA83" i="3"/>
  <c r="BB83" i="3" s="1"/>
  <c r="Y85" i="3"/>
  <c r="Z85" i="3" s="1"/>
  <c r="B86" i="3"/>
  <c r="AQ86" i="3"/>
  <c r="AR86" i="3"/>
  <c r="A87" i="3"/>
  <c r="C86" i="3"/>
  <c r="D86" i="3"/>
  <c r="AK86" i="3"/>
  <c r="AM86" i="3"/>
  <c r="S86" i="3"/>
  <c r="R86" i="3"/>
  <c r="Q86" i="3"/>
  <c r="AD86" i="3"/>
  <c r="O86" i="3"/>
  <c r="P86" i="3"/>
  <c r="AE86" i="3"/>
  <c r="M86" i="3"/>
  <c r="AF86" i="3"/>
  <c r="V86" i="3"/>
  <c r="U86" i="3"/>
  <c r="G86" i="3"/>
  <c r="H86" i="3" s="1"/>
  <c r="F86" i="3"/>
  <c r="BM86" i="3" s="1"/>
  <c r="T86" i="3"/>
  <c r="BB82" i="3"/>
  <c r="BF82" i="3"/>
  <c r="BJ81" i="3" s="1"/>
  <c r="BK81" i="3" s="1"/>
  <c r="BQ82" i="3"/>
  <c r="AO85" i="3"/>
  <c r="AX84" i="3"/>
  <c r="AY83" i="3"/>
  <c r="AH85" i="3"/>
  <c r="X85" i="3"/>
  <c r="AW84" i="3"/>
  <c r="BF83" i="3" l="1"/>
  <c r="BN86" i="3"/>
  <c r="BG82" i="3"/>
  <c r="BH82" i="3" s="1"/>
  <c r="BI82" i="3" s="1"/>
  <c r="BC83" i="3"/>
  <c r="BG83" i="3" s="1"/>
  <c r="BH83" i="3" s="1"/>
  <c r="BI83" i="3" s="1"/>
  <c r="AY84" i="3"/>
  <c r="AU85" i="3"/>
  <c r="AV84" i="3"/>
  <c r="Y86" i="3"/>
  <c r="Z86" i="3" s="1"/>
  <c r="BQ83" i="3"/>
  <c r="AT85" i="3"/>
  <c r="AN86" i="3"/>
  <c r="BJ82" i="3"/>
  <c r="AX85" i="3"/>
  <c r="AW85" i="3"/>
  <c r="AG86" i="3"/>
  <c r="AO86" i="3"/>
  <c r="X86" i="3"/>
  <c r="A88" i="3"/>
  <c r="B87" i="3"/>
  <c r="AQ87" i="3"/>
  <c r="AR87" i="3"/>
  <c r="AM87" i="3"/>
  <c r="AK87" i="3"/>
  <c r="T87" i="3"/>
  <c r="Q87" i="3"/>
  <c r="R87" i="3"/>
  <c r="AD87" i="3"/>
  <c r="P87" i="3"/>
  <c r="AE87" i="3"/>
  <c r="O87" i="3"/>
  <c r="AF87" i="3"/>
  <c r="V87" i="3"/>
  <c r="M87" i="3"/>
  <c r="U87" i="3"/>
  <c r="F87" i="3"/>
  <c r="C87" i="3"/>
  <c r="D87" i="3"/>
  <c r="G87" i="3"/>
  <c r="H87" i="3" s="1"/>
  <c r="S87" i="3"/>
  <c r="AH86" i="3"/>
  <c r="BA84" i="3"/>
  <c r="BK82" i="3" l="1"/>
  <c r="AV85" i="3"/>
  <c r="BD83" i="3"/>
  <c r="BC84" i="3"/>
  <c r="BD84" i="3" s="1"/>
  <c r="AH87" i="3"/>
  <c r="BN87" i="3"/>
  <c r="AX86" i="3"/>
  <c r="AN87" i="3"/>
  <c r="AU86" i="3"/>
  <c r="AY85" i="3"/>
  <c r="BQ84" i="3"/>
  <c r="BF84" i="3"/>
  <c r="BJ83" i="3" s="1"/>
  <c r="BK83" i="3" s="1"/>
  <c r="BB84" i="3"/>
  <c r="Y87" i="3"/>
  <c r="Z87" i="3" s="1"/>
  <c r="X87" i="3"/>
  <c r="BM87" i="3"/>
  <c r="AG87" i="3"/>
  <c r="AO87" i="3"/>
  <c r="AW86" i="3"/>
  <c r="A89" i="3"/>
  <c r="AR88" i="3"/>
  <c r="B88" i="3"/>
  <c r="AQ88" i="3"/>
  <c r="AM88" i="3"/>
  <c r="AK88" i="3"/>
  <c r="D88" i="3"/>
  <c r="T88" i="3"/>
  <c r="R88" i="3"/>
  <c r="Q88" i="3"/>
  <c r="AD88" i="3"/>
  <c r="P88" i="3"/>
  <c r="O88" i="3"/>
  <c r="M88" i="3"/>
  <c r="AE88" i="3"/>
  <c r="AF88" i="3"/>
  <c r="V88" i="3"/>
  <c r="U88" i="3"/>
  <c r="C88" i="3"/>
  <c r="G88" i="3"/>
  <c r="H88" i="3" s="1"/>
  <c r="F88" i="3"/>
  <c r="S88" i="3"/>
  <c r="AT86" i="3"/>
  <c r="BA85" i="3"/>
  <c r="BM88" i="3" l="1"/>
  <c r="BC85" i="3"/>
  <c r="BG85" i="3" s="1"/>
  <c r="BH85" i="3" s="1"/>
  <c r="BI85" i="3" s="1"/>
  <c r="AT87" i="3"/>
  <c r="BG84" i="3"/>
  <c r="BH84" i="3" s="1"/>
  <c r="BI84" i="3" s="1"/>
  <c r="AU87" i="3"/>
  <c r="BN88" i="3"/>
  <c r="AX87" i="3"/>
  <c r="AO88" i="3"/>
  <c r="AY86" i="3"/>
  <c r="AN88" i="3"/>
  <c r="X88" i="3"/>
  <c r="AV86" i="3"/>
  <c r="BA86" i="3"/>
  <c r="AW87" i="3"/>
  <c r="BF85" i="3"/>
  <c r="BJ84" i="3" s="1"/>
  <c r="BB85" i="3"/>
  <c r="BQ85" i="3"/>
  <c r="Y88" i="3"/>
  <c r="Z88" i="3" s="1"/>
  <c r="AQ89" i="3"/>
  <c r="AR89" i="3"/>
  <c r="B89" i="3"/>
  <c r="A90" i="3"/>
  <c r="D89" i="3"/>
  <c r="C89" i="3"/>
  <c r="AK89" i="3"/>
  <c r="S89" i="3"/>
  <c r="T89" i="3"/>
  <c r="AM89" i="3"/>
  <c r="AD89" i="3"/>
  <c r="P89" i="3"/>
  <c r="O89" i="3"/>
  <c r="AF89" i="3"/>
  <c r="AE89" i="3"/>
  <c r="U89" i="3"/>
  <c r="M89" i="3"/>
  <c r="V89" i="3"/>
  <c r="R89" i="3"/>
  <c r="Q89" i="3"/>
  <c r="F89" i="3"/>
  <c r="G89" i="3"/>
  <c r="H89" i="3" s="1"/>
  <c r="AG88" i="3"/>
  <c r="AH88" i="3"/>
  <c r="BD85" i="3" l="1"/>
  <c r="BK84" i="3"/>
  <c r="AV87" i="3"/>
  <c r="AN89" i="3"/>
  <c r="BN89" i="3"/>
  <c r="BC86" i="3"/>
  <c r="BD86" i="3" s="1"/>
  <c r="AX88" i="3"/>
  <c r="B90" i="3"/>
  <c r="AQ90" i="3"/>
  <c r="AR90" i="3"/>
  <c r="A91" i="3"/>
  <c r="AK90" i="3"/>
  <c r="T90" i="3"/>
  <c r="D90" i="3"/>
  <c r="AM90" i="3"/>
  <c r="R90" i="3"/>
  <c r="Q90" i="3"/>
  <c r="AD90" i="3"/>
  <c r="P90" i="3"/>
  <c r="O90" i="3"/>
  <c r="M90" i="3"/>
  <c r="AF90" i="3"/>
  <c r="U90" i="3"/>
  <c r="AE90" i="3"/>
  <c r="V90" i="3"/>
  <c r="C90" i="3"/>
  <c r="G90" i="3"/>
  <c r="H90" i="3" s="1"/>
  <c r="F90" i="3"/>
  <c r="S90" i="3"/>
  <c r="AU88" i="3"/>
  <c r="Y89" i="3"/>
  <c r="Z89" i="3" s="1"/>
  <c r="BA87" i="3"/>
  <c r="AY87" i="3"/>
  <c r="BF86" i="3"/>
  <c r="BJ85" i="3" s="1"/>
  <c r="BK85" i="3" s="1"/>
  <c r="BQ86" i="3"/>
  <c r="BB86" i="3"/>
  <c r="X89" i="3"/>
  <c r="AW88" i="3"/>
  <c r="BM89" i="3"/>
  <c r="AG89" i="3"/>
  <c r="AH89" i="3"/>
  <c r="AO89" i="3"/>
  <c r="AT88" i="3"/>
  <c r="BM90" i="3" l="1"/>
  <c r="AG90" i="3"/>
  <c r="BC87" i="3"/>
  <c r="BD87" i="3" s="1"/>
  <c r="BN90" i="3"/>
  <c r="BG86" i="3"/>
  <c r="BH86" i="3" s="1"/>
  <c r="BI86" i="3" s="1"/>
  <c r="AY88" i="3"/>
  <c r="AN90" i="3"/>
  <c r="AX89" i="3"/>
  <c r="X90" i="3"/>
  <c r="BA88" i="3"/>
  <c r="AV88" i="3"/>
  <c r="BF87" i="3"/>
  <c r="BJ86" i="3" s="1"/>
  <c r="BB87" i="3"/>
  <c r="BQ87" i="3"/>
  <c r="Y90" i="3"/>
  <c r="Z90" i="3" s="1"/>
  <c r="AW89" i="3"/>
  <c r="AT89" i="3"/>
  <c r="AH90" i="3"/>
  <c r="AO90" i="3"/>
  <c r="A92" i="3"/>
  <c r="B91" i="3"/>
  <c r="AQ91" i="3"/>
  <c r="AR91" i="3"/>
  <c r="D91" i="3"/>
  <c r="AM91" i="3"/>
  <c r="AK91" i="3"/>
  <c r="R91" i="3"/>
  <c r="P91" i="3"/>
  <c r="Q91" i="3"/>
  <c r="AD91" i="3"/>
  <c r="AE91" i="3"/>
  <c r="M91" i="3"/>
  <c r="V91" i="3"/>
  <c r="U91" i="3"/>
  <c r="O91" i="3"/>
  <c r="AF91" i="3"/>
  <c r="F91" i="3"/>
  <c r="C91" i="3"/>
  <c r="G91" i="3"/>
  <c r="H91" i="3" s="1"/>
  <c r="T91" i="3"/>
  <c r="S91" i="3"/>
  <c r="AU89" i="3"/>
  <c r="AY89" i="3" l="1"/>
  <c r="AT90" i="3"/>
  <c r="BG87" i="3"/>
  <c r="BH87" i="3" s="1"/>
  <c r="BI87" i="3" s="1"/>
  <c r="AU90" i="3"/>
  <c r="AV89" i="3"/>
  <c r="BN91" i="3"/>
  <c r="BM91" i="3"/>
  <c r="BK86" i="3"/>
  <c r="BC88" i="3"/>
  <c r="BG88" i="3" s="1"/>
  <c r="BH88" i="3" s="1"/>
  <c r="BI88" i="3" s="1"/>
  <c r="X91" i="3"/>
  <c r="AG91" i="3"/>
  <c r="AN91" i="3"/>
  <c r="AX90" i="3"/>
  <c r="Y91" i="3"/>
  <c r="Z91" i="3" s="1"/>
  <c r="A93" i="3"/>
  <c r="AR92" i="3"/>
  <c r="B92" i="3"/>
  <c r="AQ92" i="3"/>
  <c r="C92" i="3"/>
  <c r="AK92" i="3"/>
  <c r="AM92" i="3"/>
  <c r="S92" i="3"/>
  <c r="Q92" i="3"/>
  <c r="D92" i="3"/>
  <c r="T92" i="3"/>
  <c r="AD92" i="3"/>
  <c r="O92" i="3"/>
  <c r="P92" i="3"/>
  <c r="AE92" i="3"/>
  <c r="V92" i="3"/>
  <c r="M92" i="3"/>
  <c r="AF92" i="3"/>
  <c r="U92" i="3"/>
  <c r="R92" i="3"/>
  <c r="G92" i="3"/>
  <c r="H92" i="3" s="1"/>
  <c r="F92" i="3"/>
  <c r="BF88" i="3"/>
  <c r="BJ87" i="3" s="1"/>
  <c r="BB88" i="3"/>
  <c r="BQ88" i="3"/>
  <c r="AH91" i="3"/>
  <c r="AO91" i="3"/>
  <c r="AW90" i="3"/>
  <c r="BA89" i="3"/>
  <c r="BK87" i="3" l="1"/>
  <c r="BC89" i="3"/>
  <c r="BG89" i="3" s="1"/>
  <c r="BH89" i="3" s="1"/>
  <c r="BI89" i="3" s="1"/>
  <c r="AV90" i="3"/>
  <c r="BM92" i="3"/>
  <c r="BD88" i="3"/>
  <c r="BA90" i="3"/>
  <c r="BQ90" i="3" s="1"/>
  <c r="AU91" i="3"/>
  <c r="AY90" i="3"/>
  <c r="AW91" i="3"/>
  <c r="AX91" i="3"/>
  <c r="AO92" i="3"/>
  <c r="AQ93" i="3"/>
  <c r="B93" i="3"/>
  <c r="AR93" i="3"/>
  <c r="A94" i="3"/>
  <c r="AM93" i="3"/>
  <c r="AK93" i="3"/>
  <c r="Q93" i="3"/>
  <c r="R93" i="3"/>
  <c r="AD93" i="3"/>
  <c r="P93" i="3"/>
  <c r="O93" i="3"/>
  <c r="M93" i="3"/>
  <c r="AE93" i="3"/>
  <c r="V93" i="3"/>
  <c r="U93" i="3"/>
  <c r="AF93" i="3"/>
  <c r="F93" i="3"/>
  <c r="C93" i="3"/>
  <c r="D93" i="3"/>
  <c r="G93" i="3"/>
  <c r="H93" i="3" s="1"/>
  <c r="S93" i="3"/>
  <c r="T93" i="3"/>
  <c r="AH92" i="3"/>
  <c r="AT91" i="3"/>
  <c r="BN92" i="3"/>
  <c r="AG92" i="3"/>
  <c r="AN92" i="3"/>
  <c r="X92" i="3"/>
  <c r="BQ89" i="3"/>
  <c r="BB89" i="3"/>
  <c r="BF89" i="3"/>
  <c r="BJ88" i="3" s="1"/>
  <c r="BK88" i="3" s="1"/>
  <c r="Y92" i="3"/>
  <c r="Z92" i="3" s="1"/>
  <c r="BD89" i="3" l="1"/>
  <c r="BC90" i="3"/>
  <c r="BG90" i="3" s="1"/>
  <c r="BH90" i="3" s="1"/>
  <c r="BI90" i="3" s="1"/>
  <c r="BB90" i="3"/>
  <c r="BM93" i="3"/>
  <c r="BF90" i="3"/>
  <c r="BJ89" i="3" s="1"/>
  <c r="BK89" i="3" s="1"/>
  <c r="AG93" i="3"/>
  <c r="AY91" i="3"/>
  <c r="AW92" i="3"/>
  <c r="AN93" i="3"/>
  <c r="X93" i="3"/>
  <c r="AU92" i="3"/>
  <c r="AX92" i="3"/>
  <c r="BA91" i="3"/>
  <c r="AV91" i="3"/>
  <c r="B94" i="3"/>
  <c r="AQ94" i="3"/>
  <c r="AR94" i="3"/>
  <c r="A95" i="3"/>
  <c r="C94" i="3"/>
  <c r="AK94" i="3"/>
  <c r="R94" i="3"/>
  <c r="AM94" i="3"/>
  <c r="Q94" i="3"/>
  <c r="S94" i="3"/>
  <c r="AD94" i="3"/>
  <c r="P94" i="3"/>
  <c r="M94" i="3"/>
  <c r="U94" i="3"/>
  <c r="O94" i="3"/>
  <c r="AE94" i="3"/>
  <c r="AF94" i="3"/>
  <c r="V94" i="3"/>
  <c r="D94" i="3"/>
  <c r="G94" i="3"/>
  <c r="H94" i="3" s="1"/>
  <c r="F94" i="3"/>
  <c r="BM94" i="3" s="1"/>
  <c r="T94" i="3"/>
  <c r="AT92" i="3"/>
  <c r="Y93" i="3"/>
  <c r="Z93" i="3" s="1"/>
  <c r="BN93" i="3"/>
  <c r="AO93" i="3"/>
  <c r="AH93" i="3"/>
  <c r="BD90" i="3" l="1"/>
  <c r="AN94" i="3"/>
  <c r="AY92" i="3"/>
  <c r="BN94" i="3"/>
  <c r="AU93" i="3"/>
  <c r="BC91" i="3"/>
  <c r="BG91" i="3" s="1"/>
  <c r="BH91" i="3" s="1"/>
  <c r="BI91" i="3" s="1"/>
  <c r="AT93" i="3"/>
  <c r="AW93" i="3"/>
  <c r="AG94" i="3"/>
  <c r="AV92" i="3"/>
  <c r="BA92" i="3"/>
  <c r="BB91" i="3"/>
  <c r="BF91" i="3"/>
  <c r="BJ90" i="3" s="1"/>
  <c r="BK90" i="3" s="1"/>
  <c r="BQ91" i="3"/>
  <c r="AX93" i="3"/>
  <c r="AH94" i="3"/>
  <c r="X94" i="3"/>
  <c r="A96" i="3"/>
  <c r="B95" i="3"/>
  <c r="AQ95" i="3"/>
  <c r="AR95" i="3"/>
  <c r="D95" i="3"/>
  <c r="C95" i="3"/>
  <c r="AK95" i="3"/>
  <c r="AM95" i="3"/>
  <c r="S95" i="3"/>
  <c r="Q95" i="3"/>
  <c r="O95" i="3"/>
  <c r="AD95" i="3"/>
  <c r="M95" i="3"/>
  <c r="AF95" i="3"/>
  <c r="V95" i="3"/>
  <c r="U95" i="3"/>
  <c r="P95" i="3"/>
  <c r="AE95" i="3"/>
  <c r="R95" i="3"/>
  <c r="G95" i="3"/>
  <c r="H95" i="3" s="1"/>
  <c r="F95" i="3"/>
  <c r="T95" i="3"/>
  <c r="Y94" i="3"/>
  <c r="Z94" i="3" s="1"/>
  <c r="AO94" i="3"/>
  <c r="BD91" i="3" l="1"/>
  <c r="BC92" i="3"/>
  <c r="BG92" i="3" s="1"/>
  <c r="BH92" i="3" s="1"/>
  <c r="BI92" i="3" s="1"/>
  <c r="AG95" i="3"/>
  <c r="AV93" i="3"/>
  <c r="BN95" i="3"/>
  <c r="BM95" i="3"/>
  <c r="AT94" i="3"/>
  <c r="AW94" i="3"/>
  <c r="AN95" i="3"/>
  <c r="AU94" i="3"/>
  <c r="AY93" i="3"/>
  <c r="Y95" i="3"/>
  <c r="Z95" i="3" s="1"/>
  <c r="BA93" i="3"/>
  <c r="BF93" i="3" s="1"/>
  <c r="BB92" i="3"/>
  <c r="BF92" i="3"/>
  <c r="BJ91" i="3" s="1"/>
  <c r="BK91" i="3" s="1"/>
  <c r="BQ92" i="3"/>
  <c r="AH95" i="3"/>
  <c r="X95" i="3"/>
  <c r="AX94" i="3"/>
  <c r="A97" i="3"/>
  <c r="AR96" i="3"/>
  <c r="B96" i="3"/>
  <c r="AQ96" i="3"/>
  <c r="C96" i="3"/>
  <c r="AM96" i="3"/>
  <c r="AK96" i="3"/>
  <c r="S96" i="3"/>
  <c r="R96" i="3"/>
  <c r="Q96" i="3"/>
  <c r="AD96" i="3"/>
  <c r="P96" i="3"/>
  <c r="M96" i="3"/>
  <c r="AE96" i="3"/>
  <c r="AF96" i="3"/>
  <c r="V96" i="3"/>
  <c r="O96" i="3"/>
  <c r="U96" i="3"/>
  <c r="D96" i="3"/>
  <c r="F96" i="3"/>
  <c r="G96" i="3"/>
  <c r="H96" i="3" s="1"/>
  <c r="T96" i="3"/>
  <c r="AO95" i="3"/>
  <c r="BD92" i="3" l="1"/>
  <c r="BN96" i="3"/>
  <c r="BC93" i="3"/>
  <c r="BD93" i="3" s="1"/>
  <c r="BM96" i="3"/>
  <c r="AV94" i="3"/>
  <c r="BA94" i="3"/>
  <c r="BF94" i="3" s="1"/>
  <c r="AN96" i="3"/>
  <c r="AX95" i="3"/>
  <c r="AG96" i="3"/>
  <c r="AT95" i="3"/>
  <c r="BQ93" i="3"/>
  <c r="BB93" i="3"/>
  <c r="Y96" i="3"/>
  <c r="Z96" i="3" s="1"/>
  <c r="AQ97" i="3"/>
  <c r="AR97" i="3"/>
  <c r="B97" i="3"/>
  <c r="A98" i="3"/>
  <c r="D97" i="3"/>
  <c r="C97" i="3"/>
  <c r="AM97" i="3"/>
  <c r="AK97" i="3"/>
  <c r="R97" i="3"/>
  <c r="T97" i="3"/>
  <c r="AD97" i="3"/>
  <c r="P97" i="3"/>
  <c r="M97" i="3"/>
  <c r="AF97" i="3"/>
  <c r="V97" i="3"/>
  <c r="U97" i="3"/>
  <c r="O97" i="3"/>
  <c r="AE97" i="3"/>
  <c r="Q97" i="3"/>
  <c r="G97" i="3"/>
  <c r="H97" i="3" s="1"/>
  <c r="F97" i="3"/>
  <c r="S97" i="3"/>
  <c r="AY94" i="3"/>
  <c r="AU95" i="3"/>
  <c r="AH96" i="3"/>
  <c r="AO96" i="3"/>
  <c r="X96" i="3"/>
  <c r="AW95" i="3"/>
  <c r="BJ92" i="3"/>
  <c r="BK92" i="3" s="1"/>
  <c r="BB94" i="3" l="1"/>
  <c r="BG93" i="3"/>
  <c r="BH93" i="3" s="1"/>
  <c r="BI93" i="3" s="1"/>
  <c r="BC94" i="3"/>
  <c r="BG94" i="3" s="1"/>
  <c r="BH94" i="3" s="1"/>
  <c r="BI94" i="3" s="1"/>
  <c r="BQ94" i="3"/>
  <c r="BM97" i="3"/>
  <c r="BN97" i="3"/>
  <c r="AV95" i="3"/>
  <c r="AY95" i="3"/>
  <c r="AG97" i="3"/>
  <c r="AX96" i="3"/>
  <c r="AO97" i="3"/>
  <c r="X97" i="3"/>
  <c r="B98" i="3"/>
  <c r="AQ98" i="3"/>
  <c r="AR98" i="3"/>
  <c r="A99" i="3"/>
  <c r="D98" i="3"/>
  <c r="R98" i="3"/>
  <c r="AM98" i="3"/>
  <c r="AK98" i="3"/>
  <c r="AD98" i="3"/>
  <c r="AE98" i="3"/>
  <c r="O98" i="3"/>
  <c r="V98" i="3"/>
  <c r="U98" i="3"/>
  <c r="AF98" i="3"/>
  <c r="M98" i="3"/>
  <c r="Q98" i="3"/>
  <c r="C98" i="3"/>
  <c r="G98" i="3"/>
  <c r="H98" i="3" s="1"/>
  <c r="F98" i="3"/>
  <c r="S98" i="3"/>
  <c r="P98" i="3"/>
  <c r="T98" i="3"/>
  <c r="BA95" i="3"/>
  <c r="AW96" i="3"/>
  <c r="Y97" i="3"/>
  <c r="Z97" i="3" s="1"/>
  <c r="BJ93" i="3"/>
  <c r="BK93" i="3" s="1"/>
  <c r="AU96" i="3"/>
  <c r="AH97" i="3"/>
  <c r="AN97" i="3"/>
  <c r="AT96" i="3"/>
  <c r="BM98" i="3" l="1"/>
  <c r="BD94" i="3"/>
  <c r="BN98" i="3"/>
  <c r="BC95" i="3"/>
  <c r="BD95" i="3" s="1"/>
  <c r="AU97" i="3"/>
  <c r="AX97" i="3"/>
  <c r="AY96" i="3"/>
  <c r="AO98" i="3"/>
  <c r="A100" i="3"/>
  <c r="B99" i="3"/>
  <c r="AQ99" i="3"/>
  <c r="AR99" i="3"/>
  <c r="D99" i="3"/>
  <c r="AK99" i="3"/>
  <c r="T99" i="3"/>
  <c r="S99" i="3"/>
  <c r="AM99" i="3"/>
  <c r="Q99" i="3"/>
  <c r="R99" i="3"/>
  <c r="P99" i="3"/>
  <c r="AD99" i="3"/>
  <c r="O99" i="3"/>
  <c r="AE99" i="3"/>
  <c r="V99" i="3"/>
  <c r="U99" i="3"/>
  <c r="M99" i="3"/>
  <c r="AF99" i="3"/>
  <c r="F99" i="3"/>
  <c r="G99" i="3"/>
  <c r="H99" i="3" s="1"/>
  <c r="C99" i="3"/>
  <c r="AV96" i="3"/>
  <c r="BA96" i="3"/>
  <c r="BF95" i="3"/>
  <c r="BJ94" i="3" s="1"/>
  <c r="BK94" i="3" s="1"/>
  <c r="BQ95" i="3"/>
  <c r="BB95" i="3"/>
  <c r="AT97" i="3"/>
  <c r="AG98" i="3"/>
  <c r="AW97" i="3"/>
  <c r="Y98" i="3"/>
  <c r="Z98" i="3" s="1"/>
  <c r="X98" i="3"/>
  <c r="AH98" i="3"/>
  <c r="AN98" i="3"/>
  <c r="BN99" i="3" l="1"/>
  <c r="AT98" i="3"/>
  <c r="BG95" i="3"/>
  <c r="BH95" i="3" s="1"/>
  <c r="BI95" i="3" s="1"/>
  <c r="BM99" i="3"/>
  <c r="AY97" i="3"/>
  <c r="BC96" i="3"/>
  <c r="BD96" i="3" s="1"/>
  <c r="AO99" i="3"/>
  <c r="BQ96" i="3"/>
  <c r="BB96" i="3"/>
  <c r="BF96" i="3"/>
  <c r="BJ95" i="3" s="1"/>
  <c r="BA97" i="3"/>
  <c r="AV97" i="3"/>
  <c r="Y99" i="3"/>
  <c r="Z99" i="3" s="1"/>
  <c r="A101" i="3"/>
  <c r="AR100" i="3"/>
  <c r="B100" i="3"/>
  <c r="AQ100" i="3"/>
  <c r="D100" i="3"/>
  <c r="C100" i="3"/>
  <c r="AK100" i="3"/>
  <c r="AM100" i="3"/>
  <c r="T100" i="3"/>
  <c r="S100" i="3"/>
  <c r="R100" i="3"/>
  <c r="AD100" i="3"/>
  <c r="Q100" i="3"/>
  <c r="O100" i="3"/>
  <c r="P100" i="3"/>
  <c r="M100" i="3"/>
  <c r="V100" i="3"/>
  <c r="AF100" i="3"/>
  <c r="AE100" i="3"/>
  <c r="U100" i="3"/>
  <c r="F100" i="3"/>
  <c r="G100" i="3"/>
  <c r="H100" i="3" s="1"/>
  <c r="AW98" i="3"/>
  <c r="X99" i="3"/>
  <c r="AX98" i="3"/>
  <c r="AU98" i="3"/>
  <c r="AG99" i="3"/>
  <c r="AH99" i="3"/>
  <c r="AN99" i="3"/>
  <c r="BK95" i="3" l="1"/>
  <c r="AV98" i="3"/>
  <c r="BN100" i="3"/>
  <c r="BM100" i="3"/>
  <c r="AO100" i="3"/>
  <c r="BC97" i="3"/>
  <c r="BG97" i="3" s="1"/>
  <c r="BH97" i="3" s="1"/>
  <c r="BI97" i="3" s="1"/>
  <c r="BG96" i="3"/>
  <c r="BH96" i="3" s="1"/>
  <c r="BI96" i="3" s="1"/>
  <c r="AT99" i="3"/>
  <c r="AG100" i="3"/>
  <c r="BA98" i="3"/>
  <c r="BQ98" i="3" s="1"/>
  <c r="AY98" i="3"/>
  <c r="AW99" i="3"/>
  <c r="AU99" i="3"/>
  <c r="AX99" i="3"/>
  <c r="AH100" i="3"/>
  <c r="AN100" i="3"/>
  <c r="X100" i="3"/>
  <c r="Y100" i="3"/>
  <c r="Z100" i="3" s="1"/>
  <c r="AQ101" i="3"/>
  <c r="B101" i="3"/>
  <c r="AR101" i="3"/>
  <c r="A102" i="3"/>
  <c r="C101" i="3"/>
  <c r="R101" i="3"/>
  <c r="AM101" i="3"/>
  <c r="AK101" i="3"/>
  <c r="Q101" i="3"/>
  <c r="AD101" i="3"/>
  <c r="O101" i="3"/>
  <c r="P101" i="3"/>
  <c r="AF101" i="3"/>
  <c r="AE101" i="3"/>
  <c r="U101" i="3"/>
  <c r="V101" i="3"/>
  <c r="M101" i="3"/>
  <c r="D101" i="3"/>
  <c r="F101" i="3"/>
  <c r="G101" i="3"/>
  <c r="H101" i="3" s="1"/>
  <c r="T101" i="3"/>
  <c r="S101" i="3"/>
  <c r="BB97" i="3"/>
  <c r="BQ97" i="3"/>
  <c r="BF97" i="3"/>
  <c r="BJ96" i="3" s="1"/>
  <c r="BM101" i="3" l="1"/>
  <c r="BN101" i="3"/>
  <c r="BD97" i="3"/>
  <c r="BK96" i="3"/>
  <c r="BC98" i="3"/>
  <c r="BD98" i="3" s="1"/>
  <c r="AT100" i="3"/>
  <c r="AV99" i="3"/>
  <c r="BB98" i="3"/>
  <c r="AW100" i="3"/>
  <c r="AU100" i="3"/>
  <c r="AN101" i="3"/>
  <c r="BF98" i="3"/>
  <c r="BJ97" i="3" s="1"/>
  <c r="BK97" i="3" s="1"/>
  <c r="AX100" i="3"/>
  <c r="BA99" i="3"/>
  <c r="BQ99" i="3" s="1"/>
  <c r="Y101" i="3"/>
  <c r="Z101" i="3" s="1"/>
  <c r="B102" i="3"/>
  <c r="AQ102" i="3"/>
  <c r="AR102" i="3"/>
  <c r="A103" i="3"/>
  <c r="C102" i="3"/>
  <c r="AM102" i="3"/>
  <c r="AK102" i="3"/>
  <c r="T102" i="3"/>
  <c r="Q102" i="3"/>
  <c r="O102" i="3"/>
  <c r="R102" i="3"/>
  <c r="AD102" i="3"/>
  <c r="P102" i="3"/>
  <c r="AE102" i="3"/>
  <c r="M102" i="3"/>
  <c r="AF102" i="3"/>
  <c r="V102" i="3"/>
  <c r="U102" i="3"/>
  <c r="G102" i="3"/>
  <c r="H102" i="3" s="1"/>
  <c r="D102" i="3"/>
  <c r="F102" i="3"/>
  <c r="S102" i="3"/>
  <c r="X101" i="3"/>
  <c r="AG101" i="3"/>
  <c r="AH101" i="3"/>
  <c r="AO101" i="3"/>
  <c r="AY99" i="3"/>
  <c r="BM102" i="3" l="1"/>
  <c r="BG98" i="3"/>
  <c r="BH98" i="3" s="1"/>
  <c r="BI98" i="3" s="1"/>
  <c r="AV100" i="3"/>
  <c r="BC99" i="3"/>
  <c r="BD99" i="3" s="1"/>
  <c r="AY100" i="3"/>
  <c r="BN102" i="3"/>
  <c r="AH102" i="3"/>
  <c r="BA100" i="3"/>
  <c r="BB100" i="3" s="1"/>
  <c r="AX101" i="3"/>
  <c r="BF99" i="3"/>
  <c r="BJ98" i="3" s="1"/>
  <c r="AO102" i="3"/>
  <c r="BB99" i="3"/>
  <c r="Y102" i="3"/>
  <c r="Z102" i="3" s="1"/>
  <c r="A104" i="3"/>
  <c r="B103" i="3"/>
  <c r="AQ103" i="3"/>
  <c r="AR103" i="3"/>
  <c r="D103" i="3"/>
  <c r="AK103" i="3"/>
  <c r="AM103" i="3"/>
  <c r="S103" i="3"/>
  <c r="R103" i="3"/>
  <c r="AD103" i="3"/>
  <c r="P103" i="3"/>
  <c r="O103" i="3"/>
  <c r="AE103" i="3"/>
  <c r="AF103" i="3"/>
  <c r="M103" i="3"/>
  <c r="V103" i="3"/>
  <c r="U103" i="3"/>
  <c r="Q103" i="3"/>
  <c r="C103" i="3"/>
  <c r="F103" i="3"/>
  <c r="G103" i="3"/>
  <c r="H103" i="3" s="1"/>
  <c r="BN103" i="3" s="1"/>
  <c r="T103" i="3"/>
  <c r="AW101" i="3"/>
  <c r="X102" i="3"/>
  <c r="AG102" i="3"/>
  <c r="AN102" i="3"/>
  <c r="AT101" i="3"/>
  <c r="AU101" i="3"/>
  <c r="BK98" i="3" l="1"/>
  <c r="BC100" i="3"/>
  <c r="BG100" i="3" s="1"/>
  <c r="BH100" i="3" s="1"/>
  <c r="BI100" i="3" s="1"/>
  <c r="BG99" i="3"/>
  <c r="BH99" i="3" s="1"/>
  <c r="BI99" i="3" s="1"/>
  <c r="BQ100" i="3"/>
  <c r="BM103" i="3"/>
  <c r="BF100" i="3"/>
  <c r="BJ99" i="3" s="1"/>
  <c r="AY101" i="3"/>
  <c r="AW102" i="3"/>
  <c r="AO103" i="3"/>
  <c r="AT102" i="3"/>
  <c r="AX102" i="3"/>
  <c r="AH103" i="3"/>
  <c r="Y103" i="3"/>
  <c r="Z103" i="3" s="1"/>
  <c r="A105" i="3"/>
  <c r="AR104" i="3"/>
  <c r="B104" i="3"/>
  <c r="AQ104" i="3"/>
  <c r="D104" i="3"/>
  <c r="R104" i="3"/>
  <c r="Q104" i="3"/>
  <c r="AM104" i="3"/>
  <c r="AK104" i="3"/>
  <c r="S104" i="3"/>
  <c r="AD104" i="3"/>
  <c r="P104" i="3"/>
  <c r="O104" i="3"/>
  <c r="AE104" i="3"/>
  <c r="M104" i="3"/>
  <c r="AF104" i="3"/>
  <c r="V104" i="3"/>
  <c r="U104" i="3"/>
  <c r="G104" i="3"/>
  <c r="H104" i="3" s="1"/>
  <c r="F104" i="3"/>
  <c r="C104" i="3"/>
  <c r="T104" i="3"/>
  <c r="X103" i="3"/>
  <c r="AG103" i="3"/>
  <c r="AN103" i="3"/>
  <c r="BA101" i="3"/>
  <c r="AV101" i="3"/>
  <c r="AU102" i="3"/>
  <c r="BD100" i="3" l="1"/>
  <c r="BN104" i="3"/>
  <c r="BK99" i="3"/>
  <c r="BM104" i="3"/>
  <c r="BC101" i="3"/>
  <c r="BD101" i="3" s="1"/>
  <c r="AV102" i="3"/>
  <c r="AU103" i="3"/>
  <c r="AG104" i="3"/>
  <c r="AY102" i="3"/>
  <c r="AT103" i="3"/>
  <c r="AX103" i="3"/>
  <c r="AN104" i="3"/>
  <c r="BA102" i="3"/>
  <c r="BB102" i="3" s="1"/>
  <c r="Y104" i="3"/>
  <c r="Z104" i="3" s="1"/>
  <c r="BQ101" i="3"/>
  <c r="BF101" i="3"/>
  <c r="BJ100" i="3" s="1"/>
  <c r="BK100" i="3" s="1"/>
  <c r="BB101" i="3"/>
  <c r="AQ105" i="3"/>
  <c r="AR105" i="3"/>
  <c r="B105" i="3"/>
  <c r="A106" i="3"/>
  <c r="C105" i="3"/>
  <c r="R105" i="3"/>
  <c r="AK105" i="3"/>
  <c r="AM105" i="3"/>
  <c r="Q105" i="3"/>
  <c r="AD105" i="3"/>
  <c r="O105" i="3"/>
  <c r="P105" i="3"/>
  <c r="M105" i="3"/>
  <c r="AE105" i="3"/>
  <c r="U105" i="3"/>
  <c r="V105" i="3"/>
  <c r="AF105" i="3"/>
  <c r="D105" i="3"/>
  <c r="G105" i="3"/>
  <c r="H105" i="3" s="1"/>
  <c r="F105" i="3"/>
  <c r="S105" i="3"/>
  <c r="T105" i="3"/>
  <c r="AW103" i="3"/>
  <c r="X104" i="3"/>
  <c r="AH104" i="3"/>
  <c r="AO104" i="3"/>
  <c r="BG101" i="3" l="1"/>
  <c r="BH101" i="3" s="1"/>
  <c r="BI101" i="3" s="1"/>
  <c r="BM105" i="3"/>
  <c r="AG105" i="3"/>
  <c r="AN105" i="3"/>
  <c r="AU104" i="3"/>
  <c r="BC102" i="3"/>
  <c r="BG102" i="3" s="1"/>
  <c r="BH102" i="3" s="1"/>
  <c r="BI102" i="3" s="1"/>
  <c r="AT104" i="3"/>
  <c r="AV103" i="3"/>
  <c r="BQ102" i="3"/>
  <c r="BA103" i="3"/>
  <c r="BF103" i="3" s="1"/>
  <c r="BF102" i="3"/>
  <c r="BJ101" i="3" s="1"/>
  <c r="AW104" i="3"/>
  <c r="Y105" i="3"/>
  <c r="Z105" i="3" s="1"/>
  <c r="AX104" i="3"/>
  <c r="AY103" i="3"/>
  <c r="X105" i="3"/>
  <c r="BN105" i="3"/>
  <c r="AO105" i="3"/>
  <c r="B106" i="3"/>
  <c r="AQ106" i="3"/>
  <c r="AR106" i="3"/>
  <c r="A107" i="3"/>
  <c r="D106" i="3"/>
  <c r="AM106" i="3"/>
  <c r="AK106" i="3"/>
  <c r="R106" i="3"/>
  <c r="Q106" i="3"/>
  <c r="S106" i="3"/>
  <c r="AD106" i="3"/>
  <c r="P106" i="3"/>
  <c r="O106" i="3"/>
  <c r="AF106" i="3"/>
  <c r="AE106" i="3"/>
  <c r="V106" i="3"/>
  <c r="M106" i="3"/>
  <c r="U106" i="3"/>
  <c r="C106" i="3"/>
  <c r="G106" i="3"/>
  <c r="H106" i="3" s="1"/>
  <c r="F106" i="3"/>
  <c r="T106" i="3"/>
  <c r="AH105" i="3"/>
  <c r="BK101" i="3" l="1"/>
  <c r="AV104" i="3"/>
  <c r="BM106" i="3"/>
  <c r="BN106" i="3"/>
  <c r="BD102" i="3"/>
  <c r="BQ103" i="3"/>
  <c r="AN106" i="3"/>
  <c r="AX105" i="3"/>
  <c r="Y106" i="3"/>
  <c r="Z106" i="3" s="1"/>
  <c r="BC103" i="3"/>
  <c r="BD103" i="3" s="1"/>
  <c r="AY104" i="3"/>
  <c r="BB103" i="3"/>
  <c r="BJ102" i="3"/>
  <c r="BK102" i="3" s="1"/>
  <c r="BA104" i="3"/>
  <c r="BQ104" i="3" s="1"/>
  <c r="X106" i="3"/>
  <c r="AG106" i="3"/>
  <c r="AH106" i="3"/>
  <c r="AO106" i="3"/>
  <c r="A108" i="3"/>
  <c r="B107" i="3"/>
  <c r="AQ107" i="3"/>
  <c r="AR107" i="3"/>
  <c r="D107" i="3"/>
  <c r="AM107" i="3"/>
  <c r="S107" i="3"/>
  <c r="R107" i="3"/>
  <c r="Q107" i="3"/>
  <c r="C107" i="3"/>
  <c r="AK107" i="3"/>
  <c r="AD107" i="3"/>
  <c r="O107" i="3"/>
  <c r="M107" i="3"/>
  <c r="AF107" i="3"/>
  <c r="AE107" i="3"/>
  <c r="V107" i="3"/>
  <c r="U107" i="3"/>
  <c r="G107" i="3"/>
  <c r="H107" i="3" s="1"/>
  <c r="F107" i="3"/>
  <c r="T107" i="3"/>
  <c r="P107" i="3"/>
  <c r="AT105" i="3"/>
  <c r="AW105" i="3"/>
  <c r="AU105" i="3"/>
  <c r="BM107" i="3" l="1"/>
  <c r="BN107" i="3"/>
  <c r="BC104" i="3"/>
  <c r="BG104" i="3" s="1"/>
  <c r="BH104" i="3" s="1"/>
  <c r="BI104" i="3" s="1"/>
  <c r="AN107" i="3"/>
  <c r="AY105" i="3"/>
  <c r="BF104" i="3"/>
  <c r="BJ103" i="3" s="1"/>
  <c r="BG103" i="3"/>
  <c r="BH103" i="3" s="1"/>
  <c r="BI103" i="3" s="1"/>
  <c r="AU106" i="3"/>
  <c r="BB104" i="3"/>
  <c r="AG107" i="3"/>
  <c r="AX106" i="3"/>
  <c r="BA105" i="3"/>
  <c r="BQ105" i="3" s="1"/>
  <c r="Y107" i="3"/>
  <c r="Z107" i="3" s="1"/>
  <c r="AH107" i="3"/>
  <c r="A109" i="3"/>
  <c r="AR108" i="3"/>
  <c r="B108" i="3"/>
  <c r="AQ108" i="3"/>
  <c r="R108" i="3"/>
  <c r="C108" i="3"/>
  <c r="AM108" i="3"/>
  <c r="AK108" i="3"/>
  <c r="Q108" i="3"/>
  <c r="AD108" i="3"/>
  <c r="O108" i="3"/>
  <c r="P108" i="3"/>
  <c r="AE108" i="3"/>
  <c r="M108" i="3"/>
  <c r="AF108" i="3"/>
  <c r="V108" i="3"/>
  <c r="U108" i="3"/>
  <c r="D108" i="3"/>
  <c r="F108" i="3"/>
  <c r="G108" i="3"/>
  <c r="H108" i="3" s="1"/>
  <c r="S108" i="3"/>
  <c r="T108" i="3"/>
  <c r="X107" i="3"/>
  <c r="AV105" i="3"/>
  <c r="AO107" i="3"/>
  <c r="AT106" i="3"/>
  <c r="AW106" i="3"/>
  <c r="BN108" i="3" l="1"/>
  <c r="BD104" i="3"/>
  <c r="AU107" i="3"/>
  <c r="BK103" i="3"/>
  <c r="BC105" i="3"/>
  <c r="BG105" i="3" s="1"/>
  <c r="BH105" i="3" s="1"/>
  <c r="BI105" i="3" s="1"/>
  <c r="AY106" i="3"/>
  <c r="AW107" i="3"/>
  <c r="AO108" i="3"/>
  <c r="BF105" i="3"/>
  <c r="BJ104" i="3" s="1"/>
  <c r="BK104" i="3" s="1"/>
  <c r="BB105" i="3"/>
  <c r="AV106" i="3"/>
  <c r="BA106" i="3"/>
  <c r="AQ109" i="3"/>
  <c r="B109" i="3"/>
  <c r="AR109" i="3"/>
  <c r="A110" i="3"/>
  <c r="AM109" i="3"/>
  <c r="T109" i="3"/>
  <c r="Q109" i="3"/>
  <c r="D109" i="3"/>
  <c r="AK109" i="3"/>
  <c r="S109" i="3"/>
  <c r="P109" i="3"/>
  <c r="R109" i="3"/>
  <c r="AD109" i="3"/>
  <c r="O109" i="3"/>
  <c r="M109" i="3"/>
  <c r="AF109" i="3"/>
  <c r="U109" i="3"/>
  <c r="AE109" i="3"/>
  <c r="V109" i="3"/>
  <c r="C109" i="3"/>
  <c r="F109" i="3"/>
  <c r="G109" i="3"/>
  <c r="H109" i="3" s="1"/>
  <c r="X108" i="3"/>
  <c r="BM108" i="3"/>
  <c r="AH108" i="3"/>
  <c r="AG108" i="3"/>
  <c r="AN108" i="3"/>
  <c r="AT107" i="3"/>
  <c r="Y108" i="3"/>
  <c r="Z108" i="3" s="1"/>
  <c r="AX107" i="3"/>
  <c r="BN109" i="3" l="1"/>
  <c r="BD105" i="3"/>
  <c r="BM109" i="3"/>
  <c r="AO109" i="3"/>
  <c r="AY107" i="3"/>
  <c r="BC106" i="3"/>
  <c r="BG106" i="3" s="1"/>
  <c r="BH106" i="3" s="1"/>
  <c r="BI106" i="3" s="1"/>
  <c r="AW108" i="3"/>
  <c r="AT108" i="3"/>
  <c r="AH109" i="3"/>
  <c r="Y109" i="3"/>
  <c r="Z109" i="3" s="1"/>
  <c r="B110" i="3"/>
  <c r="AQ110" i="3"/>
  <c r="AR110" i="3"/>
  <c r="A111" i="3"/>
  <c r="C110" i="3"/>
  <c r="D110" i="3"/>
  <c r="AM110" i="3"/>
  <c r="AK110" i="3"/>
  <c r="T110" i="3"/>
  <c r="Q110" i="3"/>
  <c r="S110" i="3"/>
  <c r="R110" i="3"/>
  <c r="AD110" i="3"/>
  <c r="P110" i="3"/>
  <c r="O110" i="3"/>
  <c r="AE110" i="3"/>
  <c r="AF110" i="3"/>
  <c r="V110" i="3"/>
  <c r="M110" i="3"/>
  <c r="U110" i="3"/>
  <c r="F110" i="3"/>
  <c r="G110" i="3"/>
  <c r="H110" i="3" s="1"/>
  <c r="BN110" i="3" s="1"/>
  <c r="BQ106" i="3"/>
  <c r="BF106" i="3"/>
  <c r="BJ105" i="3" s="1"/>
  <c r="BK105" i="3" s="1"/>
  <c r="BB106" i="3"/>
  <c r="AU108" i="3"/>
  <c r="AN109" i="3"/>
  <c r="AX108" i="3"/>
  <c r="X109" i="3"/>
  <c r="AG109" i="3"/>
  <c r="AV107" i="3"/>
  <c r="BA107" i="3"/>
  <c r="BM110" i="3" l="1"/>
  <c r="BD106" i="3"/>
  <c r="BA108" i="3"/>
  <c r="BQ108" i="3" s="1"/>
  <c r="AV108" i="3"/>
  <c r="BC107" i="3"/>
  <c r="BD107" i="3" s="1"/>
  <c r="AX109" i="3"/>
  <c r="AN110" i="3"/>
  <c r="AU109" i="3"/>
  <c r="AW109" i="3"/>
  <c r="BB107" i="3"/>
  <c r="BQ107" i="3"/>
  <c r="BF107" i="3"/>
  <c r="BJ106" i="3" s="1"/>
  <c r="BK106" i="3" s="1"/>
  <c r="Y110" i="3"/>
  <c r="Z110" i="3" s="1"/>
  <c r="A112" i="3"/>
  <c r="B111" i="3"/>
  <c r="AQ111" i="3"/>
  <c r="AR111" i="3"/>
  <c r="AK111" i="3"/>
  <c r="R111" i="3"/>
  <c r="AM111" i="3"/>
  <c r="C111" i="3"/>
  <c r="AD111" i="3"/>
  <c r="T111" i="3"/>
  <c r="Q111" i="3"/>
  <c r="O111" i="3"/>
  <c r="P111" i="3"/>
  <c r="AE111" i="3"/>
  <c r="AF111" i="3"/>
  <c r="M111" i="3"/>
  <c r="V111" i="3"/>
  <c r="U111" i="3"/>
  <c r="D111" i="3"/>
  <c r="G111" i="3"/>
  <c r="H111" i="3" s="1"/>
  <c r="F111" i="3"/>
  <c r="S111" i="3"/>
  <c r="AH110" i="3"/>
  <c r="AT109" i="3"/>
  <c r="AY108" i="3"/>
  <c r="AG110" i="3"/>
  <c r="AO110" i="3"/>
  <c r="X110" i="3"/>
  <c r="AN111" i="3" l="1"/>
  <c r="BB108" i="3"/>
  <c r="BC108" i="3"/>
  <c r="BD108" i="3" s="1"/>
  <c r="BF108" i="3"/>
  <c r="BJ107" i="3" s="1"/>
  <c r="BG107" i="3"/>
  <c r="BH107" i="3" s="1"/>
  <c r="BI107" i="3" s="1"/>
  <c r="AY109" i="3"/>
  <c r="AT110" i="3"/>
  <c r="BM111" i="3"/>
  <c r="AH111" i="3"/>
  <c r="A113" i="3"/>
  <c r="AR112" i="3"/>
  <c r="B112" i="3"/>
  <c r="AQ112" i="3"/>
  <c r="D112" i="3"/>
  <c r="C112" i="3"/>
  <c r="S112" i="3"/>
  <c r="Q112" i="3"/>
  <c r="AM112" i="3"/>
  <c r="AK112" i="3"/>
  <c r="AD112" i="3"/>
  <c r="P112" i="3"/>
  <c r="T112" i="3"/>
  <c r="R112" i="3"/>
  <c r="O112" i="3"/>
  <c r="AE112" i="3"/>
  <c r="M112" i="3"/>
  <c r="AF112" i="3"/>
  <c r="U112" i="3"/>
  <c r="V112" i="3"/>
  <c r="G112" i="3"/>
  <c r="H112" i="3" s="1"/>
  <c r="BN112" i="3" s="1"/>
  <c r="F112" i="3"/>
  <c r="BM112" i="3" s="1"/>
  <c r="AV109" i="3"/>
  <c r="BA109" i="3"/>
  <c r="Y111" i="3"/>
  <c r="Z111" i="3" s="1"/>
  <c r="BN111" i="3"/>
  <c r="AX110" i="3"/>
  <c r="AU110" i="3"/>
  <c r="AW110" i="3"/>
  <c r="X111" i="3"/>
  <c r="AG111" i="3"/>
  <c r="AO111" i="3"/>
  <c r="BK107" i="3" l="1"/>
  <c r="AV110" i="3"/>
  <c r="BG108" i="3"/>
  <c r="BH108" i="3" s="1"/>
  <c r="BI108" i="3" s="1"/>
  <c r="BC109" i="3"/>
  <c r="BG109" i="3" s="1"/>
  <c r="BH109" i="3" s="1"/>
  <c r="BI109" i="3" s="1"/>
  <c r="AT111" i="3"/>
  <c r="AO112" i="3"/>
  <c r="AY110" i="3"/>
  <c r="AG112" i="3"/>
  <c r="AX111" i="3"/>
  <c r="BA110" i="3"/>
  <c r="BQ110" i="3" s="1"/>
  <c r="Y112" i="3"/>
  <c r="Z112" i="3" s="1"/>
  <c r="AQ113" i="3"/>
  <c r="AR113" i="3"/>
  <c r="B113" i="3"/>
  <c r="A114" i="3"/>
  <c r="D113" i="3"/>
  <c r="AM113" i="3"/>
  <c r="R113" i="3"/>
  <c r="AK113" i="3"/>
  <c r="Q113" i="3"/>
  <c r="S113" i="3"/>
  <c r="AD113" i="3"/>
  <c r="O113" i="3"/>
  <c r="M113" i="3"/>
  <c r="AF113" i="3"/>
  <c r="P113" i="3"/>
  <c r="AE113" i="3"/>
  <c r="V113" i="3"/>
  <c r="U113" i="3"/>
  <c r="F113" i="3"/>
  <c r="G113" i="3"/>
  <c r="H113" i="3" s="1"/>
  <c r="C113" i="3"/>
  <c r="T113" i="3"/>
  <c r="AW111" i="3"/>
  <c r="AU111" i="3"/>
  <c r="AH112" i="3"/>
  <c r="AN112" i="3"/>
  <c r="BF109" i="3"/>
  <c r="BJ108" i="3" s="1"/>
  <c r="BQ109" i="3"/>
  <c r="BB109" i="3"/>
  <c r="X112" i="3"/>
  <c r="BK108" i="3" l="1"/>
  <c r="AO113" i="3"/>
  <c r="AT112" i="3"/>
  <c r="BD109" i="3"/>
  <c r="BC110" i="3"/>
  <c r="BD110" i="3" s="1"/>
  <c r="AU112" i="3"/>
  <c r="AV111" i="3"/>
  <c r="BB110" i="3"/>
  <c r="BN113" i="3"/>
  <c r="AW112" i="3"/>
  <c r="AY111" i="3"/>
  <c r="BA111" i="3"/>
  <c r="BQ111" i="3" s="1"/>
  <c r="AG113" i="3"/>
  <c r="X113" i="3"/>
  <c r="BF110" i="3"/>
  <c r="BJ109" i="3" s="1"/>
  <c r="BK109" i="3" s="1"/>
  <c r="Y113" i="3"/>
  <c r="Z113" i="3" s="1"/>
  <c r="B114" i="3"/>
  <c r="AQ114" i="3"/>
  <c r="AR114" i="3"/>
  <c r="A115" i="3"/>
  <c r="T114" i="3"/>
  <c r="C114" i="3"/>
  <c r="AM114" i="3"/>
  <c r="AK114" i="3"/>
  <c r="P114" i="3"/>
  <c r="Q114" i="3"/>
  <c r="AD114" i="3"/>
  <c r="O114" i="3"/>
  <c r="AE114" i="3"/>
  <c r="AF114" i="3"/>
  <c r="M114" i="3"/>
  <c r="U114" i="3"/>
  <c r="V114" i="3"/>
  <c r="R114" i="3"/>
  <c r="D114" i="3"/>
  <c r="G114" i="3"/>
  <c r="H114" i="3" s="1"/>
  <c r="F114" i="3"/>
  <c r="S114" i="3"/>
  <c r="AN113" i="3"/>
  <c r="AX112" i="3"/>
  <c r="BM113" i="3"/>
  <c r="AH113" i="3"/>
  <c r="AY112" i="3" l="1"/>
  <c r="BC111" i="3"/>
  <c r="BD111" i="3" s="1"/>
  <c r="AV112" i="3"/>
  <c r="BG110" i="3"/>
  <c r="BH110" i="3" s="1"/>
  <c r="BI110" i="3" s="1"/>
  <c r="BM114" i="3"/>
  <c r="BN114" i="3"/>
  <c r="BB111" i="3"/>
  <c r="BF111" i="3"/>
  <c r="BJ110" i="3" s="1"/>
  <c r="BK110" i="3" s="1"/>
  <c r="AO114" i="3"/>
  <c r="AX113" i="3"/>
  <c r="AW113" i="3"/>
  <c r="AU113" i="3"/>
  <c r="AT113" i="3"/>
  <c r="X114" i="3"/>
  <c r="Y114" i="3"/>
  <c r="Z114" i="3" s="1"/>
  <c r="BA112" i="3"/>
  <c r="AG114" i="3"/>
  <c r="AH114" i="3"/>
  <c r="AN114" i="3"/>
  <c r="A116" i="3"/>
  <c r="B115" i="3"/>
  <c r="AQ115" i="3"/>
  <c r="AR115" i="3"/>
  <c r="C115" i="3"/>
  <c r="AK115" i="3"/>
  <c r="S115" i="3"/>
  <c r="AM115" i="3"/>
  <c r="Q115" i="3"/>
  <c r="AD115" i="3"/>
  <c r="R115" i="3"/>
  <c r="P115" i="3"/>
  <c r="M115" i="3"/>
  <c r="AE115" i="3"/>
  <c r="O115" i="3"/>
  <c r="AF115" i="3"/>
  <c r="V115" i="3"/>
  <c r="U115" i="3"/>
  <c r="D115" i="3"/>
  <c r="G115" i="3"/>
  <c r="H115" i="3" s="1"/>
  <c r="F115" i="3"/>
  <c r="T115" i="3"/>
  <c r="BM115" i="3" l="1"/>
  <c r="BC112" i="3"/>
  <c r="BG112" i="3" s="1"/>
  <c r="BH112" i="3" s="1"/>
  <c r="BI112" i="3" s="1"/>
  <c r="BG111" i="3"/>
  <c r="BH111" i="3" s="1"/>
  <c r="BI111" i="3" s="1"/>
  <c r="BN115" i="3"/>
  <c r="AV113" i="3"/>
  <c r="AY113" i="3"/>
  <c r="AN115" i="3"/>
  <c r="BA113" i="3"/>
  <c r="BF113" i="3" s="1"/>
  <c r="Y115" i="3"/>
  <c r="Z115" i="3" s="1"/>
  <c r="AT114" i="3"/>
  <c r="AU114" i="3"/>
  <c r="AX114" i="3"/>
  <c r="BB112" i="3"/>
  <c r="BF112" i="3"/>
  <c r="BQ112" i="3"/>
  <c r="AG115" i="3"/>
  <c r="AH115" i="3"/>
  <c r="AO115" i="3"/>
  <c r="A117" i="3"/>
  <c r="AR116" i="3"/>
  <c r="B116" i="3"/>
  <c r="AQ116" i="3"/>
  <c r="C116" i="3"/>
  <c r="AK116" i="3"/>
  <c r="S116" i="3"/>
  <c r="R116" i="3"/>
  <c r="AM116" i="3"/>
  <c r="Q116" i="3"/>
  <c r="AD116" i="3"/>
  <c r="P116" i="3"/>
  <c r="O116" i="3"/>
  <c r="M116" i="3"/>
  <c r="AE116" i="3"/>
  <c r="AF116" i="3"/>
  <c r="U116" i="3"/>
  <c r="V116" i="3"/>
  <c r="G116" i="3"/>
  <c r="H116" i="3" s="1"/>
  <c r="F116" i="3"/>
  <c r="D116" i="3"/>
  <c r="T116" i="3"/>
  <c r="X115" i="3"/>
  <c r="AW114" i="3"/>
  <c r="BD112" i="3" l="1"/>
  <c r="BB113" i="3"/>
  <c r="BM116" i="3"/>
  <c r="BC113" i="3"/>
  <c r="BD113" i="3" s="1"/>
  <c r="AT115" i="3"/>
  <c r="AY114" i="3"/>
  <c r="BQ113" i="3"/>
  <c r="AO116" i="3"/>
  <c r="AV114" i="3"/>
  <c r="AU115" i="3"/>
  <c r="AX115" i="3"/>
  <c r="Y116" i="3"/>
  <c r="Z116" i="3" s="1"/>
  <c r="BJ112" i="3"/>
  <c r="BK112" i="3" s="1"/>
  <c r="BJ111" i="3"/>
  <c r="BK111" i="3" s="1"/>
  <c r="BA114" i="3"/>
  <c r="AQ117" i="3"/>
  <c r="B117" i="3"/>
  <c r="AR117" i="3"/>
  <c r="A118" i="3"/>
  <c r="C117" i="3"/>
  <c r="AM117" i="3"/>
  <c r="AK117" i="3"/>
  <c r="T117" i="3"/>
  <c r="R117" i="3"/>
  <c r="Q117" i="3"/>
  <c r="P117" i="3"/>
  <c r="AD117" i="3"/>
  <c r="O117" i="3"/>
  <c r="AE117" i="3"/>
  <c r="AF117" i="3"/>
  <c r="M117" i="3"/>
  <c r="U117" i="3"/>
  <c r="V117" i="3"/>
  <c r="D117" i="3"/>
  <c r="G117" i="3"/>
  <c r="H117" i="3" s="1"/>
  <c r="F117" i="3"/>
  <c r="BM117" i="3" s="1"/>
  <c r="S117" i="3"/>
  <c r="BN116" i="3"/>
  <c r="AG116" i="3"/>
  <c r="AH116" i="3"/>
  <c r="AN116" i="3"/>
  <c r="X116" i="3"/>
  <c r="AW115" i="3"/>
  <c r="BG113" i="3" l="1"/>
  <c r="BH113" i="3" s="1"/>
  <c r="BI113" i="3" s="1"/>
  <c r="AV115" i="3"/>
  <c r="BC114" i="3"/>
  <c r="BD114" i="3" s="1"/>
  <c r="AO117" i="3"/>
  <c r="AY115" i="3"/>
  <c r="AX116" i="3"/>
  <c r="AH117" i="3"/>
  <c r="B118" i="3"/>
  <c r="AQ118" i="3"/>
  <c r="AR118" i="3"/>
  <c r="A119" i="3"/>
  <c r="D118" i="3"/>
  <c r="AM118" i="3"/>
  <c r="Q118" i="3"/>
  <c r="C118" i="3"/>
  <c r="AK118" i="3"/>
  <c r="S118" i="3"/>
  <c r="R118" i="3"/>
  <c r="AD118" i="3"/>
  <c r="O118" i="3"/>
  <c r="M118" i="3"/>
  <c r="U118" i="3"/>
  <c r="P118" i="3"/>
  <c r="AE118" i="3"/>
  <c r="AF118" i="3"/>
  <c r="V118" i="3"/>
  <c r="F118" i="3"/>
  <c r="BM118" i="3" s="1"/>
  <c r="G118" i="3"/>
  <c r="H118" i="3" s="1"/>
  <c r="T118" i="3"/>
  <c r="BB114" i="3"/>
  <c r="BF114" i="3"/>
  <c r="BJ113" i="3" s="1"/>
  <c r="BK113" i="3" s="1"/>
  <c r="BQ114" i="3"/>
  <c r="AW116" i="3"/>
  <c r="X117" i="3"/>
  <c r="BN117" i="3"/>
  <c r="AG117" i="3"/>
  <c r="AN117" i="3"/>
  <c r="AU116" i="3"/>
  <c r="Y117" i="3"/>
  <c r="Z117" i="3" s="1"/>
  <c r="AT116" i="3"/>
  <c r="BA115" i="3"/>
  <c r="BN118" i="3" l="1"/>
  <c r="BC115" i="3"/>
  <c r="BD115" i="3" s="1"/>
  <c r="BG114" i="3"/>
  <c r="BH114" i="3" s="1"/>
  <c r="BI114" i="3" s="1"/>
  <c r="AT117" i="3"/>
  <c r="AX117" i="3"/>
  <c r="AY116" i="3"/>
  <c r="Y118" i="3"/>
  <c r="Z118" i="3" s="1"/>
  <c r="AU117" i="3"/>
  <c r="AN118" i="3"/>
  <c r="BA116" i="3"/>
  <c r="BF116" i="3" s="1"/>
  <c r="BB115" i="3"/>
  <c r="BF115" i="3"/>
  <c r="BJ114" i="3" s="1"/>
  <c r="BQ115" i="3"/>
  <c r="AH118" i="3"/>
  <c r="AV116" i="3"/>
  <c r="AW117" i="3"/>
  <c r="AG118" i="3"/>
  <c r="AO118" i="3"/>
  <c r="A120" i="3"/>
  <c r="B119" i="3"/>
  <c r="AQ119" i="3"/>
  <c r="AR119" i="3"/>
  <c r="D119" i="3"/>
  <c r="C119" i="3"/>
  <c r="T119" i="3"/>
  <c r="S119" i="3"/>
  <c r="AM119" i="3"/>
  <c r="AK119" i="3"/>
  <c r="Q119" i="3"/>
  <c r="R119" i="3"/>
  <c r="AD119" i="3"/>
  <c r="P119" i="3"/>
  <c r="AE119" i="3"/>
  <c r="V119" i="3"/>
  <c r="O119" i="3"/>
  <c r="M119" i="3"/>
  <c r="AF119" i="3"/>
  <c r="U119" i="3"/>
  <c r="F119" i="3"/>
  <c r="G119" i="3"/>
  <c r="H119" i="3" s="1"/>
  <c r="X118" i="3"/>
  <c r="BK114" i="3" l="1"/>
  <c r="AO119" i="3"/>
  <c r="BN119" i="3"/>
  <c r="BM119" i="3"/>
  <c r="BG115" i="3"/>
  <c r="BH115" i="3" s="1"/>
  <c r="BI115" i="3" s="1"/>
  <c r="AY117" i="3"/>
  <c r="AV117" i="3"/>
  <c r="BC116" i="3"/>
  <c r="BD116" i="3" s="1"/>
  <c r="BQ116" i="3"/>
  <c r="BA117" i="3"/>
  <c r="BF117" i="3" s="1"/>
  <c r="BJ116" i="3" s="1"/>
  <c r="BB116" i="3"/>
  <c r="AN119" i="3"/>
  <c r="AU118" i="3"/>
  <c r="Y119" i="3"/>
  <c r="Z119" i="3" s="1"/>
  <c r="A121" i="3"/>
  <c r="AR120" i="3"/>
  <c r="B120" i="3"/>
  <c r="AQ120" i="3"/>
  <c r="AM120" i="3"/>
  <c r="T120" i="3"/>
  <c r="AK120" i="3"/>
  <c r="R120" i="3"/>
  <c r="Q120" i="3"/>
  <c r="AD120" i="3"/>
  <c r="P120" i="3"/>
  <c r="O120" i="3"/>
  <c r="M120" i="3"/>
  <c r="AF120" i="3"/>
  <c r="V120" i="3"/>
  <c r="U120" i="3"/>
  <c r="AE120" i="3"/>
  <c r="C120" i="3"/>
  <c r="G120" i="3"/>
  <c r="H120" i="3" s="1"/>
  <c r="F120" i="3"/>
  <c r="D120" i="3"/>
  <c r="S120" i="3"/>
  <c r="AT118" i="3"/>
  <c r="AX118" i="3"/>
  <c r="BJ115" i="3"/>
  <c r="AG119" i="3"/>
  <c r="AH119" i="3"/>
  <c r="X119" i="3"/>
  <c r="AW118" i="3"/>
  <c r="BB117" i="3" l="1"/>
  <c r="BK115" i="3"/>
  <c r="BM120" i="3"/>
  <c r="AO120" i="3"/>
  <c r="BC117" i="3"/>
  <c r="BG117" i="3" s="1"/>
  <c r="BH117" i="3" s="1"/>
  <c r="BI117" i="3" s="1"/>
  <c r="BG116" i="3"/>
  <c r="BH116" i="3" s="1"/>
  <c r="BI116" i="3" s="1"/>
  <c r="BK116" i="3" s="1"/>
  <c r="BQ117" i="3"/>
  <c r="AT119" i="3"/>
  <c r="X120" i="3"/>
  <c r="AX119" i="3"/>
  <c r="AG120" i="3"/>
  <c r="AY118" i="3"/>
  <c r="AV118" i="3"/>
  <c r="BA118" i="3"/>
  <c r="Y120" i="3"/>
  <c r="Z120" i="3" s="1"/>
  <c r="AQ121" i="3"/>
  <c r="AR121" i="3"/>
  <c r="B121" i="3"/>
  <c r="A122" i="3"/>
  <c r="C121" i="3"/>
  <c r="AK121" i="3"/>
  <c r="Q121" i="3"/>
  <c r="AM121" i="3"/>
  <c r="T121" i="3"/>
  <c r="P121" i="3"/>
  <c r="S121" i="3"/>
  <c r="AD121" i="3"/>
  <c r="O121" i="3"/>
  <c r="AE121" i="3"/>
  <c r="M121" i="3"/>
  <c r="AF121" i="3"/>
  <c r="V121" i="3"/>
  <c r="U121" i="3"/>
  <c r="F121" i="3"/>
  <c r="R121" i="3"/>
  <c r="D121" i="3"/>
  <c r="G121" i="3"/>
  <c r="H121" i="3" s="1"/>
  <c r="AU119" i="3"/>
  <c r="AW119" i="3"/>
  <c r="BN120" i="3"/>
  <c r="AN120" i="3"/>
  <c r="AH120" i="3"/>
  <c r="AV119" i="3" l="1"/>
  <c r="AN121" i="3"/>
  <c r="BM121" i="3"/>
  <c r="BN121" i="3"/>
  <c r="BD117" i="3"/>
  <c r="AT120" i="3"/>
  <c r="AG121" i="3"/>
  <c r="BA119" i="3"/>
  <c r="BF119" i="3" s="1"/>
  <c r="AW120" i="3"/>
  <c r="AY119" i="3"/>
  <c r="BC118" i="3"/>
  <c r="BG118" i="3" s="1"/>
  <c r="BH118" i="3" s="1"/>
  <c r="BI118" i="3" s="1"/>
  <c r="Y121" i="3"/>
  <c r="Z121" i="3" s="1"/>
  <c r="AX120" i="3"/>
  <c r="X121" i="3"/>
  <c r="AU120" i="3"/>
  <c r="B122" i="3"/>
  <c r="AQ122" i="3"/>
  <c r="AR122" i="3"/>
  <c r="A123" i="3"/>
  <c r="C122" i="3"/>
  <c r="S122" i="3"/>
  <c r="AM122" i="3"/>
  <c r="AK122" i="3"/>
  <c r="T122" i="3"/>
  <c r="O122" i="3"/>
  <c r="P122" i="3"/>
  <c r="R122" i="3"/>
  <c r="AD122" i="3"/>
  <c r="AE122" i="3"/>
  <c r="U122" i="3"/>
  <c r="M122" i="3"/>
  <c r="AF122" i="3"/>
  <c r="V122" i="3"/>
  <c r="F122" i="3"/>
  <c r="G122" i="3"/>
  <c r="H122" i="3" s="1"/>
  <c r="Q122" i="3"/>
  <c r="D122" i="3"/>
  <c r="BB118" i="3"/>
  <c r="BQ118" i="3"/>
  <c r="BF118" i="3"/>
  <c r="BJ117" i="3" s="1"/>
  <c r="BK117" i="3" s="1"/>
  <c r="AH121" i="3"/>
  <c r="AO121" i="3"/>
  <c r="BM122" i="3" l="1"/>
  <c r="BC119" i="3"/>
  <c r="BG119" i="3" s="1"/>
  <c r="BH119" i="3" s="1"/>
  <c r="BI119" i="3" s="1"/>
  <c r="BN122" i="3"/>
  <c r="BB119" i="3"/>
  <c r="BD118" i="3"/>
  <c r="BQ119" i="3"/>
  <c r="BA120" i="3"/>
  <c r="BQ120" i="3" s="1"/>
  <c r="AY120" i="3"/>
  <c r="AX121" i="3"/>
  <c r="AO122" i="3"/>
  <c r="AV120" i="3"/>
  <c r="AG122" i="3"/>
  <c r="AH122" i="3"/>
  <c r="AN122" i="3"/>
  <c r="X122" i="3"/>
  <c r="AT121" i="3"/>
  <c r="Y122" i="3"/>
  <c r="Z122" i="3" s="1"/>
  <c r="A124" i="3"/>
  <c r="B123" i="3"/>
  <c r="AQ123" i="3"/>
  <c r="AR123" i="3"/>
  <c r="C123" i="3"/>
  <c r="AM123" i="3"/>
  <c r="AK123" i="3"/>
  <c r="R123" i="3"/>
  <c r="AD123" i="3"/>
  <c r="S123" i="3"/>
  <c r="Q123" i="3"/>
  <c r="P123" i="3"/>
  <c r="AE123" i="3"/>
  <c r="O123" i="3"/>
  <c r="V123" i="3"/>
  <c r="AF123" i="3"/>
  <c r="M123" i="3"/>
  <c r="U123" i="3"/>
  <c r="D123" i="3"/>
  <c r="F123" i="3"/>
  <c r="G123" i="3"/>
  <c r="H123" i="3" s="1"/>
  <c r="T123" i="3"/>
  <c r="BJ118" i="3"/>
  <c r="BK118" i="3" s="1"/>
  <c r="AU121" i="3"/>
  <c r="AW121" i="3"/>
  <c r="BN123" i="3" l="1"/>
  <c r="BD119" i="3"/>
  <c r="AU122" i="3"/>
  <c r="BB120" i="3"/>
  <c r="BM123" i="3"/>
  <c r="BF120" i="3"/>
  <c r="BJ119" i="3" s="1"/>
  <c r="BK119" i="3" s="1"/>
  <c r="BC120" i="3"/>
  <c r="BD120" i="3" s="1"/>
  <c r="AY121" i="3"/>
  <c r="AN123" i="3"/>
  <c r="AX122" i="3"/>
  <c r="AW122" i="3"/>
  <c r="Y123" i="3"/>
  <c r="Z123" i="3" s="1"/>
  <c r="A125" i="3"/>
  <c r="AR124" i="3"/>
  <c r="B124" i="3"/>
  <c r="AQ124" i="3"/>
  <c r="D124" i="3"/>
  <c r="AM124" i="3"/>
  <c r="T124" i="3"/>
  <c r="AK124" i="3"/>
  <c r="AD124" i="3"/>
  <c r="P124" i="3"/>
  <c r="AE124" i="3"/>
  <c r="M124" i="3"/>
  <c r="AF124" i="3"/>
  <c r="V124" i="3"/>
  <c r="U124" i="3"/>
  <c r="O124" i="3"/>
  <c r="C124" i="3"/>
  <c r="G124" i="3"/>
  <c r="H124" i="3" s="1"/>
  <c r="R124" i="3"/>
  <c r="Q124" i="3"/>
  <c r="F124" i="3"/>
  <c r="S124" i="3"/>
  <c r="AG123" i="3"/>
  <c r="AH123" i="3"/>
  <c r="AO123" i="3"/>
  <c r="X123" i="3"/>
  <c r="AT122" i="3"/>
  <c r="BA121" i="3"/>
  <c r="AV121" i="3"/>
  <c r="BM124" i="3" l="1"/>
  <c r="AO124" i="3"/>
  <c r="BN124" i="3"/>
  <c r="AY122" i="3"/>
  <c r="BG120" i="3"/>
  <c r="BH120" i="3" s="1"/>
  <c r="BI120" i="3" s="1"/>
  <c r="AU123" i="3"/>
  <c r="BC121" i="3"/>
  <c r="BD121" i="3" s="1"/>
  <c r="AT123" i="3"/>
  <c r="X124" i="3"/>
  <c r="BA122" i="3"/>
  <c r="AV122" i="3"/>
  <c r="Y124" i="3"/>
  <c r="Z124" i="3" s="1"/>
  <c r="AQ125" i="3"/>
  <c r="B125" i="3"/>
  <c r="AR125" i="3"/>
  <c r="A126" i="3"/>
  <c r="AM125" i="3"/>
  <c r="S125" i="3"/>
  <c r="AK125" i="3"/>
  <c r="R125" i="3"/>
  <c r="Q125" i="3"/>
  <c r="AD125" i="3"/>
  <c r="P125" i="3"/>
  <c r="O125" i="3"/>
  <c r="V125" i="3"/>
  <c r="U125" i="3"/>
  <c r="AE125" i="3"/>
  <c r="AF125" i="3"/>
  <c r="M125" i="3"/>
  <c r="C125" i="3"/>
  <c r="D125" i="3"/>
  <c r="G125" i="3"/>
  <c r="H125" i="3" s="1"/>
  <c r="F125" i="3"/>
  <c r="T125" i="3"/>
  <c r="AW123" i="3"/>
  <c r="AN124" i="3"/>
  <c r="AX123" i="3"/>
  <c r="AG124" i="3"/>
  <c r="AH124" i="3"/>
  <c r="BB121" i="3"/>
  <c r="BF121" i="3"/>
  <c r="BQ121" i="3"/>
  <c r="AV123" i="3" l="1"/>
  <c r="AO125" i="3"/>
  <c r="BC122" i="3"/>
  <c r="BD122" i="3" s="1"/>
  <c r="BN125" i="3"/>
  <c r="BG121" i="3"/>
  <c r="BH121" i="3" s="1"/>
  <c r="BI121" i="3" s="1"/>
  <c r="AW124" i="3"/>
  <c r="AH125" i="3"/>
  <c r="AT124" i="3"/>
  <c r="X125" i="3"/>
  <c r="BJ120" i="3"/>
  <c r="BK120" i="3" s="1"/>
  <c r="BF122" i="3"/>
  <c r="BJ121" i="3" s="1"/>
  <c r="BB122" i="3"/>
  <c r="BQ122" i="3"/>
  <c r="Y125" i="3"/>
  <c r="Z125" i="3" s="1"/>
  <c r="AU124" i="3"/>
  <c r="AX124" i="3"/>
  <c r="AY123" i="3"/>
  <c r="BM125" i="3"/>
  <c r="AG125" i="3"/>
  <c r="AN125" i="3"/>
  <c r="BA123" i="3"/>
  <c r="B126" i="3"/>
  <c r="AQ126" i="3"/>
  <c r="AR126" i="3"/>
  <c r="A127" i="3"/>
  <c r="C126" i="3"/>
  <c r="AM126" i="3"/>
  <c r="R126" i="3"/>
  <c r="D126" i="3"/>
  <c r="AK126" i="3"/>
  <c r="Q126" i="3"/>
  <c r="P126" i="3"/>
  <c r="S126" i="3"/>
  <c r="AD126" i="3"/>
  <c r="O126" i="3"/>
  <c r="AE126" i="3"/>
  <c r="M126" i="3"/>
  <c r="AF126" i="3"/>
  <c r="U126" i="3"/>
  <c r="V126" i="3"/>
  <c r="G126" i="3"/>
  <c r="H126" i="3" s="1"/>
  <c r="BN126" i="3" s="1"/>
  <c r="F126" i="3"/>
  <c r="BM126" i="3" s="1"/>
  <c r="T126" i="3"/>
  <c r="BC123" i="3" l="1"/>
  <c r="BG123" i="3" s="1"/>
  <c r="BH123" i="3" s="1"/>
  <c r="BI123" i="3" s="1"/>
  <c r="AT125" i="3"/>
  <c r="BK121" i="3"/>
  <c r="BG122" i="3"/>
  <c r="BH122" i="3" s="1"/>
  <c r="BI122" i="3" s="1"/>
  <c r="AX125" i="3"/>
  <c r="AH126" i="3"/>
  <c r="BA124" i="3"/>
  <c r="BB124" i="3" s="1"/>
  <c r="AV124" i="3"/>
  <c r="AW125" i="3"/>
  <c r="AN126" i="3"/>
  <c r="AY124" i="3"/>
  <c r="A128" i="3"/>
  <c r="B127" i="3"/>
  <c r="AQ127" i="3"/>
  <c r="AR127" i="3"/>
  <c r="AM127" i="3"/>
  <c r="AK127" i="3"/>
  <c r="S127" i="3"/>
  <c r="Q127" i="3"/>
  <c r="AD127" i="3"/>
  <c r="O127" i="3"/>
  <c r="P127" i="3"/>
  <c r="AF127" i="3"/>
  <c r="M127" i="3"/>
  <c r="U127" i="3"/>
  <c r="V127" i="3"/>
  <c r="AE127" i="3"/>
  <c r="G127" i="3"/>
  <c r="H127" i="3" s="1"/>
  <c r="F127" i="3"/>
  <c r="R127" i="3"/>
  <c r="C127" i="3"/>
  <c r="D127" i="3"/>
  <c r="T127" i="3"/>
  <c r="BB123" i="3"/>
  <c r="BF123" i="3"/>
  <c r="BJ122" i="3" s="1"/>
  <c r="BQ123" i="3"/>
  <c r="Y126" i="3"/>
  <c r="Z126" i="3" s="1"/>
  <c r="AG126" i="3"/>
  <c r="AO126" i="3"/>
  <c r="X126" i="3"/>
  <c r="AU125" i="3"/>
  <c r="BD123" i="3" l="1"/>
  <c r="BK122" i="3"/>
  <c r="AY125" i="3"/>
  <c r="BN127" i="3"/>
  <c r="AN127" i="3"/>
  <c r="BF124" i="3"/>
  <c r="BJ123" i="3" s="1"/>
  <c r="BK123" i="3" s="1"/>
  <c r="BA125" i="3"/>
  <c r="BF125" i="3" s="1"/>
  <c r="BQ124" i="3"/>
  <c r="BC124" i="3"/>
  <c r="BD124" i="3" s="1"/>
  <c r="AU126" i="3"/>
  <c r="AW126" i="3"/>
  <c r="AT126" i="3"/>
  <c r="AX126" i="3"/>
  <c r="AV125" i="3"/>
  <c r="Y127" i="3"/>
  <c r="Z127" i="3" s="1"/>
  <c r="X127" i="3"/>
  <c r="BM127" i="3"/>
  <c r="AG127" i="3"/>
  <c r="AH127" i="3"/>
  <c r="AO127" i="3"/>
  <c r="A129" i="3"/>
  <c r="AR128" i="3"/>
  <c r="B128" i="3"/>
  <c r="AQ128" i="3"/>
  <c r="AK128" i="3"/>
  <c r="AM128" i="3"/>
  <c r="D128" i="3"/>
  <c r="R128" i="3"/>
  <c r="Q128" i="3"/>
  <c r="AD128" i="3"/>
  <c r="P128" i="3"/>
  <c r="O128" i="3"/>
  <c r="AE128" i="3"/>
  <c r="AF128" i="3"/>
  <c r="U128" i="3"/>
  <c r="V128" i="3"/>
  <c r="M128" i="3"/>
  <c r="G128" i="3"/>
  <c r="H128" i="3" s="1"/>
  <c r="C128" i="3"/>
  <c r="F128" i="3"/>
  <c r="S128" i="3"/>
  <c r="T128" i="3"/>
  <c r="BC125" i="3" l="1"/>
  <c r="BG125" i="3" s="1"/>
  <c r="BH125" i="3" s="1"/>
  <c r="BI125" i="3" s="1"/>
  <c r="AO128" i="3"/>
  <c r="BJ124" i="3"/>
  <c r="AY126" i="3"/>
  <c r="BG124" i="3"/>
  <c r="BH124" i="3" s="1"/>
  <c r="BI124" i="3" s="1"/>
  <c r="BQ125" i="3"/>
  <c r="AU127" i="3"/>
  <c r="BB125" i="3"/>
  <c r="AG128" i="3"/>
  <c r="AT127" i="3"/>
  <c r="X128" i="3"/>
  <c r="Y128" i="3"/>
  <c r="Z128" i="3" s="1"/>
  <c r="BM128" i="3"/>
  <c r="BN128" i="3"/>
  <c r="AH128" i="3"/>
  <c r="AN128" i="3"/>
  <c r="AX127" i="3"/>
  <c r="AQ129" i="3"/>
  <c r="AR129" i="3"/>
  <c r="B129" i="3"/>
  <c r="A130" i="3"/>
  <c r="C129" i="3"/>
  <c r="D129" i="3"/>
  <c r="AK129" i="3"/>
  <c r="T129" i="3"/>
  <c r="AM129" i="3"/>
  <c r="Q129" i="3"/>
  <c r="AD129" i="3"/>
  <c r="R129" i="3"/>
  <c r="P129" i="3"/>
  <c r="O129" i="3"/>
  <c r="AE129" i="3"/>
  <c r="M129" i="3"/>
  <c r="V129" i="3"/>
  <c r="AF129" i="3"/>
  <c r="U129" i="3"/>
  <c r="F129" i="3"/>
  <c r="G129" i="3"/>
  <c r="H129" i="3" s="1"/>
  <c r="S129" i="3"/>
  <c r="AV126" i="3"/>
  <c r="BA126" i="3"/>
  <c r="AW127" i="3"/>
  <c r="BK124" i="3" l="1"/>
  <c r="BD125" i="3"/>
  <c r="BN129" i="3"/>
  <c r="AN129" i="3"/>
  <c r="BM129" i="3"/>
  <c r="AY127" i="3"/>
  <c r="BC126" i="3"/>
  <c r="BG126" i="3" s="1"/>
  <c r="BH126" i="3" s="1"/>
  <c r="BI126" i="3" s="1"/>
  <c r="AT128" i="3"/>
  <c r="AW128" i="3"/>
  <c r="AV127" i="3"/>
  <c r="AG129" i="3"/>
  <c r="BB126" i="3"/>
  <c r="BQ126" i="3"/>
  <c r="BF126" i="3"/>
  <c r="BJ125" i="3" s="1"/>
  <c r="BK125" i="3" s="1"/>
  <c r="Y129" i="3"/>
  <c r="Z129" i="3" s="1"/>
  <c r="B130" i="3"/>
  <c r="AQ130" i="3"/>
  <c r="AR130" i="3"/>
  <c r="A131" i="3"/>
  <c r="D130" i="3"/>
  <c r="AK130" i="3"/>
  <c r="AM130" i="3"/>
  <c r="R130" i="3"/>
  <c r="Q130" i="3"/>
  <c r="O130" i="3"/>
  <c r="AD130" i="3"/>
  <c r="AE130" i="3"/>
  <c r="V130" i="3"/>
  <c r="U130" i="3"/>
  <c r="M130" i="3"/>
  <c r="AF130" i="3"/>
  <c r="F130" i="3"/>
  <c r="C130" i="3"/>
  <c r="G130" i="3"/>
  <c r="H130" i="3" s="1"/>
  <c r="T130" i="3"/>
  <c r="S130" i="3"/>
  <c r="P130" i="3"/>
  <c r="X129" i="3"/>
  <c r="AH129" i="3"/>
  <c r="BA127" i="3"/>
  <c r="AU128" i="3"/>
  <c r="AX128" i="3"/>
  <c r="AO129" i="3"/>
  <c r="BN130" i="3" l="1"/>
  <c r="BD126" i="3"/>
  <c r="BC127" i="3"/>
  <c r="BD127" i="3" s="1"/>
  <c r="BM130" i="3"/>
  <c r="AY128" i="3"/>
  <c r="AV128" i="3"/>
  <c r="AN130" i="3"/>
  <c r="X130" i="3"/>
  <c r="AH130" i="3"/>
  <c r="AQ131" i="3"/>
  <c r="B131" i="3"/>
  <c r="A132" i="3"/>
  <c r="AR131" i="3"/>
  <c r="C131" i="3"/>
  <c r="AK131" i="3"/>
  <c r="AM131" i="3"/>
  <c r="S131" i="3"/>
  <c r="T131" i="3"/>
  <c r="Q131" i="3"/>
  <c r="R131" i="3"/>
  <c r="P131" i="3"/>
  <c r="AD131" i="3"/>
  <c r="AF131" i="3"/>
  <c r="AE131" i="3"/>
  <c r="V131" i="3"/>
  <c r="U131" i="3"/>
  <c r="O131" i="3"/>
  <c r="M131" i="3"/>
  <c r="D131" i="3"/>
  <c r="F131" i="3"/>
  <c r="BM131" i="3" s="1"/>
  <c r="G131" i="3"/>
  <c r="H131" i="3" s="1"/>
  <c r="BA128" i="3"/>
  <c r="AX129" i="3"/>
  <c r="AU129" i="3"/>
  <c r="AW129" i="3"/>
  <c r="AT129" i="3"/>
  <c r="Y130" i="3"/>
  <c r="Z130" i="3" s="1"/>
  <c r="AG130" i="3"/>
  <c r="AO130" i="3"/>
  <c r="BQ127" i="3"/>
  <c r="BB127" i="3"/>
  <c r="BF127" i="3"/>
  <c r="BJ126" i="3" s="1"/>
  <c r="BK126" i="3" s="1"/>
  <c r="BN131" i="3" l="1"/>
  <c r="BG127" i="3"/>
  <c r="BH127" i="3" s="1"/>
  <c r="BI127" i="3" s="1"/>
  <c r="AU130" i="3"/>
  <c r="AG131" i="3"/>
  <c r="BC128" i="3"/>
  <c r="BD128" i="3" s="1"/>
  <c r="AO131" i="3"/>
  <c r="AY129" i="3"/>
  <c r="AT130" i="3"/>
  <c r="AX130" i="3"/>
  <c r="AW130" i="3"/>
  <c r="AN131" i="3"/>
  <c r="Y131" i="3"/>
  <c r="Z131" i="3" s="1"/>
  <c r="BA129" i="3"/>
  <c r="AV129" i="3"/>
  <c r="BQ128" i="3"/>
  <c r="BF128" i="3"/>
  <c r="BJ127" i="3" s="1"/>
  <c r="BB128" i="3"/>
  <c r="A133" i="3"/>
  <c r="B132" i="3"/>
  <c r="AR132" i="3"/>
  <c r="AQ132" i="3"/>
  <c r="C132" i="3"/>
  <c r="D132" i="3"/>
  <c r="AM132" i="3"/>
  <c r="AK132" i="3"/>
  <c r="T132" i="3"/>
  <c r="AD132" i="3"/>
  <c r="R132" i="3"/>
  <c r="Q132" i="3"/>
  <c r="O132" i="3"/>
  <c r="P132" i="3"/>
  <c r="M132" i="3"/>
  <c r="AE132" i="3"/>
  <c r="U132" i="3"/>
  <c r="V132" i="3"/>
  <c r="AF132" i="3"/>
  <c r="G132" i="3"/>
  <c r="H132" i="3" s="1"/>
  <c r="F132" i="3"/>
  <c r="S132" i="3"/>
  <c r="AH131" i="3"/>
  <c r="X131" i="3"/>
  <c r="BM132" i="3" l="1"/>
  <c r="BK127" i="3"/>
  <c r="BN132" i="3"/>
  <c r="AV130" i="3"/>
  <c r="BC129" i="3"/>
  <c r="BG129" i="3" s="1"/>
  <c r="BH129" i="3" s="1"/>
  <c r="BI129" i="3" s="1"/>
  <c r="BG128" i="3"/>
  <c r="BH128" i="3" s="1"/>
  <c r="BI128" i="3" s="1"/>
  <c r="AX131" i="3"/>
  <c r="AG132" i="3"/>
  <c r="BA130" i="3"/>
  <c r="BB130" i="3" s="1"/>
  <c r="AY130" i="3"/>
  <c r="AO132" i="3"/>
  <c r="AU131" i="3"/>
  <c r="AW131" i="3"/>
  <c r="X132" i="3"/>
  <c r="AR133" i="3"/>
  <c r="B133" i="3"/>
  <c r="AQ133" i="3"/>
  <c r="A134" i="3"/>
  <c r="C133" i="3"/>
  <c r="R133" i="3"/>
  <c r="Q133" i="3"/>
  <c r="AK133" i="3"/>
  <c r="AM133" i="3"/>
  <c r="AD133" i="3"/>
  <c r="P133" i="3"/>
  <c r="AE133" i="3"/>
  <c r="O133" i="3"/>
  <c r="V133" i="3"/>
  <c r="U133" i="3"/>
  <c r="M133" i="3"/>
  <c r="AF133" i="3"/>
  <c r="F133" i="3"/>
  <c r="D133" i="3"/>
  <c r="G133" i="3"/>
  <c r="H133" i="3" s="1"/>
  <c r="S133" i="3"/>
  <c r="T133" i="3"/>
  <c r="AN132" i="3"/>
  <c r="AT131" i="3"/>
  <c r="Y132" i="3"/>
  <c r="Z132" i="3" s="1"/>
  <c r="BQ129" i="3"/>
  <c r="BB129" i="3"/>
  <c r="BF129" i="3"/>
  <c r="BJ128" i="3" s="1"/>
  <c r="AH132" i="3"/>
  <c r="BD129" i="3" l="1"/>
  <c r="BK128" i="3"/>
  <c r="BC130" i="3"/>
  <c r="BD130" i="3" s="1"/>
  <c r="AY131" i="3"/>
  <c r="AN133" i="3"/>
  <c r="BM133" i="3"/>
  <c r="AX132" i="3"/>
  <c r="BN133" i="3"/>
  <c r="BQ130" i="3"/>
  <c r="BF130" i="3"/>
  <c r="BJ129" i="3" s="1"/>
  <c r="BK129" i="3" s="1"/>
  <c r="AU132" i="3"/>
  <c r="AW132" i="3"/>
  <c r="AT132" i="3"/>
  <c r="BA131" i="3"/>
  <c r="AV131" i="3"/>
  <c r="Y133" i="3"/>
  <c r="Z133" i="3" s="1"/>
  <c r="X133" i="3"/>
  <c r="AR134" i="3"/>
  <c r="B134" i="3"/>
  <c r="AQ134" i="3"/>
  <c r="A135" i="3"/>
  <c r="AM134" i="3"/>
  <c r="S134" i="3"/>
  <c r="T134" i="3"/>
  <c r="AK134" i="3"/>
  <c r="R134" i="3"/>
  <c r="AD134" i="3"/>
  <c r="P134" i="3"/>
  <c r="O134" i="3"/>
  <c r="AE134" i="3"/>
  <c r="AF134" i="3"/>
  <c r="V134" i="3"/>
  <c r="M134" i="3"/>
  <c r="U134" i="3"/>
  <c r="C134" i="3"/>
  <c r="D134" i="3"/>
  <c r="Q134" i="3"/>
  <c r="F134" i="3"/>
  <c r="G134" i="3"/>
  <c r="H134" i="3" s="1"/>
  <c r="AG133" i="3"/>
  <c r="AH133" i="3"/>
  <c r="AO133" i="3"/>
  <c r="BG130" i="3" l="1"/>
  <c r="BH130" i="3" s="1"/>
  <c r="BI130" i="3" s="1"/>
  <c r="AV132" i="3"/>
  <c r="BC131" i="3"/>
  <c r="BD131" i="3" s="1"/>
  <c r="BM134" i="3"/>
  <c r="AY132" i="3"/>
  <c r="AN134" i="3"/>
  <c r="BA132" i="3"/>
  <c r="BB132" i="3" s="1"/>
  <c r="AX133" i="3"/>
  <c r="AG134" i="3"/>
  <c r="Y134" i="3"/>
  <c r="Z134" i="3" s="1"/>
  <c r="BN134" i="3"/>
  <c r="AQ135" i="3"/>
  <c r="B135" i="3"/>
  <c r="A136" i="3"/>
  <c r="AR135" i="3"/>
  <c r="C135" i="3"/>
  <c r="AK135" i="3"/>
  <c r="AM135" i="3"/>
  <c r="S135" i="3"/>
  <c r="Q135" i="3"/>
  <c r="R135" i="3"/>
  <c r="AD135" i="3"/>
  <c r="P135" i="3"/>
  <c r="O135" i="3"/>
  <c r="M135" i="3"/>
  <c r="AF135" i="3"/>
  <c r="AE135" i="3"/>
  <c r="V135" i="3"/>
  <c r="U135" i="3"/>
  <c r="D135" i="3"/>
  <c r="G135" i="3"/>
  <c r="H135" i="3" s="1"/>
  <c r="F135" i="3"/>
  <c r="BM135" i="3" s="1"/>
  <c r="T135" i="3"/>
  <c r="BQ131" i="3"/>
  <c r="BB131" i="3"/>
  <c r="BF131" i="3"/>
  <c r="BJ130" i="3" s="1"/>
  <c r="AW133" i="3"/>
  <c r="X134" i="3"/>
  <c r="AH134" i="3"/>
  <c r="AO134" i="3"/>
  <c r="AT133" i="3"/>
  <c r="AU133" i="3"/>
  <c r="BK130" i="3" l="1"/>
  <c r="AU134" i="3"/>
  <c r="BC132" i="3"/>
  <c r="BD132" i="3" s="1"/>
  <c r="BG131" i="3"/>
  <c r="BH131" i="3" s="1"/>
  <c r="BI131" i="3" s="1"/>
  <c r="AX134" i="3"/>
  <c r="BN135" i="3"/>
  <c r="AO135" i="3"/>
  <c r="BQ132" i="3"/>
  <c r="BF132" i="3"/>
  <c r="BJ131" i="3" s="1"/>
  <c r="AY133" i="3"/>
  <c r="Y135" i="3"/>
  <c r="Z135" i="3" s="1"/>
  <c r="AG135" i="3"/>
  <c r="AN135" i="3"/>
  <c r="BA133" i="3"/>
  <c r="BF133" i="3" s="1"/>
  <c r="AV133" i="3"/>
  <c r="AT134" i="3"/>
  <c r="AW134" i="3"/>
  <c r="A137" i="3"/>
  <c r="B136" i="3"/>
  <c r="AR136" i="3"/>
  <c r="AQ136" i="3"/>
  <c r="D136" i="3"/>
  <c r="AK136" i="3"/>
  <c r="R136" i="3"/>
  <c r="AM136" i="3"/>
  <c r="S136" i="3"/>
  <c r="Q136" i="3"/>
  <c r="AD136" i="3"/>
  <c r="P136" i="3"/>
  <c r="AE136" i="3"/>
  <c r="AF136" i="3"/>
  <c r="M136" i="3"/>
  <c r="O136" i="3"/>
  <c r="U136" i="3"/>
  <c r="V136" i="3"/>
  <c r="C136" i="3"/>
  <c r="F136" i="3"/>
  <c r="G136" i="3"/>
  <c r="H136" i="3" s="1"/>
  <c r="T136" i="3"/>
  <c r="AH135" i="3"/>
  <c r="X135" i="3"/>
  <c r="BN136" i="3" l="1"/>
  <c r="BK131" i="3"/>
  <c r="AV134" i="3"/>
  <c r="BG132" i="3"/>
  <c r="BH132" i="3" s="1"/>
  <c r="BI132" i="3" s="1"/>
  <c r="AY134" i="3"/>
  <c r="AN136" i="3"/>
  <c r="BJ132" i="3"/>
  <c r="AX135" i="3"/>
  <c r="BC133" i="3"/>
  <c r="BD133" i="3" s="1"/>
  <c r="AT135" i="3"/>
  <c r="BA134" i="3"/>
  <c r="BQ134" i="3" s="1"/>
  <c r="AG136" i="3"/>
  <c r="BB133" i="3"/>
  <c r="BQ133" i="3"/>
  <c r="AU135" i="3"/>
  <c r="AW135" i="3"/>
  <c r="X136" i="3"/>
  <c r="AH136" i="3"/>
  <c r="Y136" i="3"/>
  <c r="Z136" i="3" s="1"/>
  <c r="BM136" i="3"/>
  <c r="AO136" i="3"/>
  <c r="AR137" i="3"/>
  <c r="B137" i="3"/>
  <c r="AQ137" i="3"/>
  <c r="A138" i="3"/>
  <c r="D137" i="3"/>
  <c r="AK137" i="3"/>
  <c r="S137" i="3"/>
  <c r="C137" i="3"/>
  <c r="AM137" i="3"/>
  <c r="R137" i="3"/>
  <c r="Q137" i="3"/>
  <c r="AD137" i="3"/>
  <c r="P137" i="3"/>
  <c r="O137" i="3"/>
  <c r="AF137" i="3"/>
  <c r="V137" i="3"/>
  <c r="AE137" i="3"/>
  <c r="M137" i="3"/>
  <c r="U137" i="3"/>
  <c r="F137" i="3"/>
  <c r="BM137" i="3" s="1"/>
  <c r="G137" i="3"/>
  <c r="H137" i="3" s="1"/>
  <c r="BN137" i="3" s="1"/>
  <c r="T137" i="3"/>
  <c r="BK132" i="3" l="1"/>
  <c r="BC134" i="3"/>
  <c r="BD134" i="3" s="1"/>
  <c r="AY135" i="3"/>
  <c r="BG133" i="3"/>
  <c r="BH133" i="3" s="1"/>
  <c r="BI133" i="3" s="1"/>
  <c r="AV135" i="3"/>
  <c r="AU136" i="3"/>
  <c r="AT136" i="3"/>
  <c r="BB134" i="3"/>
  <c r="BF134" i="3"/>
  <c r="BJ133" i="3" s="1"/>
  <c r="AW136" i="3"/>
  <c r="AO137" i="3"/>
  <c r="BA135" i="3"/>
  <c r="BB135" i="3" s="1"/>
  <c r="Y137" i="3"/>
  <c r="Z137" i="3" s="1"/>
  <c r="AG137" i="3"/>
  <c r="AH137" i="3"/>
  <c r="AN137" i="3"/>
  <c r="AX136" i="3"/>
  <c r="AR138" i="3"/>
  <c r="B138" i="3"/>
  <c r="AQ138" i="3"/>
  <c r="A139" i="3"/>
  <c r="AK138" i="3"/>
  <c r="R138" i="3"/>
  <c r="AM138" i="3"/>
  <c r="Q138" i="3"/>
  <c r="AD138" i="3"/>
  <c r="P138" i="3"/>
  <c r="AE138" i="3"/>
  <c r="U138" i="3"/>
  <c r="V138" i="3"/>
  <c r="O138" i="3"/>
  <c r="M138" i="3"/>
  <c r="AF138" i="3"/>
  <c r="F138" i="3"/>
  <c r="C138" i="3"/>
  <c r="D138" i="3"/>
  <c r="G138" i="3"/>
  <c r="H138" i="3" s="1"/>
  <c r="T138" i="3"/>
  <c r="S138" i="3"/>
  <c r="X137" i="3"/>
  <c r="BG134" i="3" l="1"/>
  <c r="BH134" i="3" s="1"/>
  <c r="BI134" i="3" s="1"/>
  <c r="BC135" i="3"/>
  <c r="BD135" i="3" s="1"/>
  <c r="BK133" i="3"/>
  <c r="AN138" i="3"/>
  <c r="AV136" i="3"/>
  <c r="BM138" i="3"/>
  <c r="BA136" i="3"/>
  <c r="BB136" i="3" s="1"/>
  <c r="BQ135" i="3"/>
  <c r="AG138" i="3"/>
  <c r="BF135" i="3"/>
  <c r="BJ134" i="3" s="1"/>
  <c r="AT137" i="3"/>
  <c r="AU137" i="3"/>
  <c r="Y138" i="3"/>
  <c r="Z138" i="3" s="1"/>
  <c r="AH138" i="3"/>
  <c r="AO138" i="3"/>
  <c r="AX137" i="3"/>
  <c r="AY136" i="3"/>
  <c r="AQ139" i="3"/>
  <c r="B139" i="3"/>
  <c r="A140" i="3"/>
  <c r="AR139" i="3"/>
  <c r="C139" i="3"/>
  <c r="R139" i="3"/>
  <c r="D139" i="3"/>
  <c r="AK139" i="3"/>
  <c r="AM139" i="3"/>
  <c r="S139" i="3"/>
  <c r="T139" i="3"/>
  <c r="AD139" i="3"/>
  <c r="O139" i="3"/>
  <c r="M139" i="3"/>
  <c r="AE139" i="3"/>
  <c r="AF139" i="3"/>
  <c r="V139" i="3"/>
  <c r="U139" i="3"/>
  <c r="Q139" i="3"/>
  <c r="F139" i="3"/>
  <c r="G139" i="3"/>
  <c r="H139" i="3" s="1"/>
  <c r="P139" i="3"/>
  <c r="X138" i="3"/>
  <c r="BN138" i="3"/>
  <c r="AW137" i="3"/>
  <c r="BK134" i="3" l="1"/>
  <c r="BG135" i="3"/>
  <c r="BH135" i="3" s="1"/>
  <c r="BI135" i="3" s="1"/>
  <c r="BN139" i="3"/>
  <c r="AY137" i="3"/>
  <c r="BC136" i="3"/>
  <c r="BG136" i="3" s="1"/>
  <c r="BH136" i="3" s="1"/>
  <c r="BI136" i="3" s="1"/>
  <c r="BF136" i="3"/>
  <c r="BJ135" i="3" s="1"/>
  <c r="BK135" i="3" s="1"/>
  <c r="BQ136" i="3"/>
  <c r="BM139" i="3"/>
  <c r="AV137" i="3"/>
  <c r="AU138" i="3"/>
  <c r="AT138" i="3"/>
  <c r="AO139" i="3"/>
  <c r="AW138" i="3"/>
  <c r="Y139" i="3"/>
  <c r="Z139" i="3" s="1"/>
  <c r="A141" i="3"/>
  <c r="B140" i="3"/>
  <c r="AR140" i="3"/>
  <c r="AQ140" i="3"/>
  <c r="AM140" i="3"/>
  <c r="AK140" i="3"/>
  <c r="C140" i="3"/>
  <c r="R140" i="3"/>
  <c r="Q140" i="3"/>
  <c r="AD140" i="3"/>
  <c r="O140" i="3"/>
  <c r="M140" i="3"/>
  <c r="P140" i="3"/>
  <c r="AE140" i="3"/>
  <c r="AF140" i="3"/>
  <c r="V140" i="3"/>
  <c r="U140" i="3"/>
  <c r="D140" i="3"/>
  <c r="F140" i="3"/>
  <c r="BM140" i="3" s="1"/>
  <c r="G140" i="3"/>
  <c r="H140" i="3" s="1"/>
  <c r="S140" i="3"/>
  <c r="T140" i="3"/>
  <c r="AH139" i="3"/>
  <c r="AG139" i="3"/>
  <c r="AN139" i="3"/>
  <c r="X139" i="3"/>
  <c r="AX138" i="3"/>
  <c r="BA137" i="3"/>
  <c r="BN140" i="3" l="1"/>
  <c r="BD136" i="3"/>
  <c r="BC137" i="3"/>
  <c r="BD137" i="3" s="1"/>
  <c r="AV138" i="3"/>
  <c r="AT139" i="3"/>
  <c r="AY138" i="3"/>
  <c r="AN140" i="3"/>
  <c r="BF137" i="3"/>
  <c r="BQ137" i="3"/>
  <c r="BB137" i="3"/>
  <c r="AU139" i="3"/>
  <c r="AW139" i="3"/>
  <c r="AX139" i="3"/>
  <c r="X140" i="3"/>
  <c r="BA138" i="3"/>
  <c r="Y140" i="3"/>
  <c r="Z140" i="3" s="1"/>
  <c r="AG140" i="3"/>
  <c r="AH140" i="3"/>
  <c r="AO140" i="3"/>
  <c r="AR141" i="3"/>
  <c r="B141" i="3"/>
  <c r="AQ141" i="3"/>
  <c r="A142" i="3"/>
  <c r="D141" i="3"/>
  <c r="AK141" i="3"/>
  <c r="C141" i="3"/>
  <c r="AM141" i="3"/>
  <c r="T141" i="3"/>
  <c r="R141" i="3"/>
  <c r="P141" i="3"/>
  <c r="Q141" i="3"/>
  <c r="AD141" i="3"/>
  <c r="O141" i="3"/>
  <c r="M141" i="3"/>
  <c r="AF141" i="3"/>
  <c r="AE141" i="3"/>
  <c r="V141" i="3"/>
  <c r="U141" i="3"/>
  <c r="F141" i="3"/>
  <c r="G141" i="3"/>
  <c r="H141" i="3" s="1"/>
  <c r="S141" i="3"/>
  <c r="BN141" i="3" l="1"/>
  <c r="BG137" i="3"/>
  <c r="BH137" i="3" s="1"/>
  <c r="BI137" i="3" s="1"/>
  <c r="BC138" i="3"/>
  <c r="BG138" i="3" s="1"/>
  <c r="BH138" i="3" s="1"/>
  <c r="BI138" i="3" s="1"/>
  <c r="AV139" i="3"/>
  <c r="BM141" i="3"/>
  <c r="AN141" i="3"/>
  <c r="AO141" i="3"/>
  <c r="AX140" i="3"/>
  <c r="AR142" i="3"/>
  <c r="B142" i="3"/>
  <c r="AQ142" i="3"/>
  <c r="A143" i="3"/>
  <c r="AM142" i="3"/>
  <c r="AK142" i="3"/>
  <c r="T142" i="3"/>
  <c r="R142" i="3"/>
  <c r="Q142" i="3"/>
  <c r="AD142" i="3"/>
  <c r="P142" i="3"/>
  <c r="O142" i="3"/>
  <c r="AE142" i="3"/>
  <c r="M142" i="3"/>
  <c r="V142" i="3"/>
  <c r="AF142" i="3"/>
  <c r="U142" i="3"/>
  <c r="C142" i="3"/>
  <c r="D142" i="3"/>
  <c r="G142" i="3"/>
  <c r="H142" i="3" s="1"/>
  <c r="F142" i="3"/>
  <c r="S142" i="3"/>
  <c r="Y141" i="3"/>
  <c r="Z141" i="3" s="1"/>
  <c r="BJ136" i="3"/>
  <c r="BK136" i="3" s="1"/>
  <c r="AU140" i="3"/>
  <c r="AT140" i="3"/>
  <c r="AG141" i="3"/>
  <c r="AH141" i="3"/>
  <c r="AW140" i="3"/>
  <c r="AY139" i="3"/>
  <c r="BA139" i="3"/>
  <c r="BF138" i="3"/>
  <c r="BJ137" i="3" s="1"/>
  <c r="BQ138" i="3"/>
  <c r="BB138" i="3"/>
  <c r="X141" i="3"/>
  <c r="BK137" i="3" l="1"/>
  <c r="BD138" i="3"/>
  <c r="BC139" i="3"/>
  <c r="BG139" i="3" s="1"/>
  <c r="BH139" i="3" s="1"/>
  <c r="BI139" i="3" s="1"/>
  <c r="BM142" i="3"/>
  <c r="AW141" i="3"/>
  <c r="AG142" i="3"/>
  <c r="AY140" i="3"/>
  <c r="AN142" i="3"/>
  <c r="BB139" i="3"/>
  <c r="BF139" i="3"/>
  <c r="BJ138" i="3" s="1"/>
  <c r="BK138" i="3" s="1"/>
  <c r="BQ139" i="3"/>
  <c r="AV140" i="3"/>
  <c r="BA140" i="3"/>
  <c r="AQ143" i="3"/>
  <c r="B143" i="3"/>
  <c r="A144" i="3"/>
  <c r="AR143" i="3"/>
  <c r="D143" i="3"/>
  <c r="AK143" i="3"/>
  <c r="AM143" i="3"/>
  <c r="T143" i="3"/>
  <c r="C143" i="3"/>
  <c r="R143" i="3"/>
  <c r="Q143" i="3"/>
  <c r="S143" i="3"/>
  <c r="AD143" i="3"/>
  <c r="P143" i="3"/>
  <c r="O143" i="3"/>
  <c r="M143" i="3"/>
  <c r="AE143" i="3"/>
  <c r="AF143" i="3"/>
  <c r="V143" i="3"/>
  <c r="U143" i="3"/>
  <c r="F143" i="3"/>
  <c r="BM143" i="3" s="1"/>
  <c r="G143" i="3"/>
  <c r="H143" i="3" s="1"/>
  <c r="AU141" i="3"/>
  <c r="AT141" i="3"/>
  <c r="AX141" i="3"/>
  <c r="X142" i="3"/>
  <c r="BN142" i="3"/>
  <c r="AH142" i="3"/>
  <c r="AO142" i="3"/>
  <c r="Y142" i="3"/>
  <c r="Z142" i="3" s="1"/>
  <c r="BD139" i="3" l="1"/>
  <c r="AN143" i="3"/>
  <c r="AG143" i="3"/>
  <c r="AY141" i="3"/>
  <c r="BC140" i="3"/>
  <c r="BD140" i="3" s="1"/>
  <c r="AT142" i="3"/>
  <c r="AX142" i="3"/>
  <c r="Y143" i="3"/>
  <c r="Z143" i="3" s="1"/>
  <c r="A145" i="3"/>
  <c r="B144" i="3"/>
  <c r="AR144" i="3"/>
  <c r="AQ144" i="3"/>
  <c r="C144" i="3"/>
  <c r="T144" i="3"/>
  <c r="AK144" i="3"/>
  <c r="AM144" i="3"/>
  <c r="R144" i="3"/>
  <c r="P144" i="3"/>
  <c r="AD144" i="3"/>
  <c r="AF144" i="3"/>
  <c r="O144" i="3"/>
  <c r="M144" i="3"/>
  <c r="AE144" i="3"/>
  <c r="U144" i="3"/>
  <c r="V144" i="3"/>
  <c r="G144" i="3"/>
  <c r="H144" i="3" s="1"/>
  <c r="F144" i="3"/>
  <c r="Q144" i="3"/>
  <c r="D144" i="3"/>
  <c r="S144" i="3"/>
  <c r="BQ140" i="3"/>
  <c r="BF140" i="3"/>
  <c r="BJ139" i="3" s="1"/>
  <c r="BK139" i="3" s="1"/>
  <c r="BB140" i="3"/>
  <c r="AU142" i="3"/>
  <c r="AW142" i="3"/>
  <c r="BN143" i="3"/>
  <c r="AH143" i="3"/>
  <c r="AO143" i="3"/>
  <c r="BA141" i="3"/>
  <c r="AV141" i="3"/>
  <c r="X143" i="3"/>
  <c r="BC141" i="3" l="1"/>
  <c r="BG141" i="3" s="1"/>
  <c r="BH141" i="3" s="1"/>
  <c r="BI141" i="3" s="1"/>
  <c r="BG140" i="3"/>
  <c r="BH140" i="3" s="1"/>
  <c r="BI140" i="3" s="1"/>
  <c r="BM144" i="3"/>
  <c r="AT143" i="3"/>
  <c r="AY142" i="3"/>
  <c r="AN144" i="3"/>
  <c r="AG144" i="3"/>
  <c r="AX143" i="3"/>
  <c r="AO144" i="3"/>
  <c r="AU143" i="3"/>
  <c r="AW143" i="3"/>
  <c r="BA142" i="3"/>
  <c r="BB142" i="3" s="1"/>
  <c r="BD141" i="3"/>
  <c r="Y144" i="3"/>
  <c r="Z144" i="3" s="1"/>
  <c r="AR145" i="3"/>
  <c r="B145" i="3"/>
  <c r="AQ145" i="3"/>
  <c r="A146" i="3"/>
  <c r="D145" i="3"/>
  <c r="Q145" i="3"/>
  <c r="R145" i="3"/>
  <c r="C145" i="3"/>
  <c r="AK145" i="3"/>
  <c r="AM145" i="3"/>
  <c r="S145" i="3"/>
  <c r="AD145" i="3"/>
  <c r="O145" i="3"/>
  <c r="P145" i="3"/>
  <c r="M145" i="3"/>
  <c r="AF145" i="3"/>
  <c r="AE145" i="3"/>
  <c r="V145" i="3"/>
  <c r="U145" i="3"/>
  <c r="G145" i="3"/>
  <c r="H145" i="3" s="1"/>
  <c r="F145" i="3"/>
  <c r="T145" i="3"/>
  <c r="AH144" i="3"/>
  <c r="AV142" i="3"/>
  <c r="BF141" i="3"/>
  <c r="BJ140" i="3" s="1"/>
  <c r="BK140" i="3" s="1"/>
  <c r="BB141" i="3"/>
  <c r="BQ141" i="3"/>
  <c r="X144" i="3"/>
  <c r="BN144" i="3"/>
  <c r="BC142" i="3" l="1"/>
  <c r="BG142" i="3" s="1"/>
  <c r="BH142" i="3" s="1"/>
  <c r="BI142" i="3" s="1"/>
  <c r="AV143" i="3"/>
  <c r="BM145" i="3"/>
  <c r="AX144" i="3"/>
  <c r="AG145" i="3"/>
  <c r="BA143" i="3"/>
  <c r="BQ143" i="3" s="1"/>
  <c r="AO145" i="3"/>
  <c r="BQ142" i="3"/>
  <c r="AY143" i="3"/>
  <c r="BF142" i="3"/>
  <c r="BJ141" i="3" s="1"/>
  <c r="BK141" i="3" s="1"/>
  <c r="AR146" i="3"/>
  <c r="B146" i="3"/>
  <c r="AQ146" i="3"/>
  <c r="A147" i="3"/>
  <c r="AM146" i="3"/>
  <c r="AK146" i="3"/>
  <c r="T146" i="3"/>
  <c r="AD146" i="3"/>
  <c r="Q146" i="3"/>
  <c r="P146" i="3"/>
  <c r="AE146" i="3"/>
  <c r="AF146" i="3"/>
  <c r="O146" i="3"/>
  <c r="M146" i="3"/>
  <c r="U146" i="3"/>
  <c r="V146" i="3"/>
  <c r="R146" i="3"/>
  <c r="C146" i="3"/>
  <c r="F146" i="3"/>
  <c r="D146" i="3"/>
  <c r="G146" i="3"/>
  <c r="H146" i="3" s="1"/>
  <c r="S146" i="3"/>
  <c r="AU144" i="3"/>
  <c r="AT144" i="3"/>
  <c r="AW144" i="3"/>
  <c r="Y145" i="3"/>
  <c r="Z145" i="3" s="1"/>
  <c r="BN145" i="3"/>
  <c r="AH145" i="3"/>
  <c r="AN145" i="3"/>
  <c r="X145" i="3"/>
  <c r="BD142" i="3" l="1"/>
  <c r="BC143" i="3"/>
  <c r="BD143" i="3" s="1"/>
  <c r="AY144" i="3"/>
  <c r="BN146" i="3"/>
  <c r="BM146" i="3"/>
  <c r="AT145" i="3"/>
  <c r="BB143" i="3"/>
  <c r="BF143" i="3"/>
  <c r="BJ142" i="3" s="1"/>
  <c r="BK142" i="3" s="1"/>
  <c r="AN146" i="3"/>
  <c r="AW145" i="3"/>
  <c r="AG146" i="3"/>
  <c r="AV144" i="3"/>
  <c r="BA144" i="3"/>
  <c r="Y146" i="3"/>
  <c r="Z146" i="3" s="1"/>
  <c r="AQ147" i="3"/>
  <c r="B147" i="3"/>
  <c r="A148" i="3"/>
  <c r="AR147" i="3"/>
  <c r="D147" i="3"/>
  <c r="AM147" i="3"/>
  <c r="AK147" i="3"/>
  <c r="C147" i="3"/>
  <c r="S147" i="3"/>
  <c r="R147" i="3"/>
  <c r="Q147" i="3"/>
  <c r="AD147" i="3"/>
  <c r="P147" i="3"/>
  <c r="O147" i="3"/>
  <c r="AE147" i="3"/>
  <c r="AF147" i="3"/>
  <c r="M147" i="3"/>
  <c r="V147" i="3"/>
  <c r="U147" i="3"/>
  <c r="G147" i="3"/>
  <c r="H147" i="3" s="1"/>
  <c r="F147" i="3"/>
  <c r="T147" i="3"/>
  <c r="AX145" i="3"/>
  <c r="AU145" i="3"/>
  <c r="X146" i="3"/>
  <c r="AH146" i="3"/>
  <c r="AO146" i="3"/>
  <c r="BG143" i="3" l="1"/>
  <c r="BH143" i="3" s="1"/>
  <c r="BI143" i="3" s="1"/>
  <c r="BC144" i="3"/>
  <c r="BG144" i="3" s="1"/>
  <c r="BH144" i="3" s="1"/>
  <c r="BI144" i="3" s="1"/>
  <c r="AY145" i="3"/>
  <c r="BN147" i="3"/>
  <c r="AU146" i="3"/>
  <c r="AT146" i="3"/>
  <c r="AN147" i="3"/>
  <c r="AH147" i="3"/>
  <c r="Y147" i="3"/>
  <c r="Z147" i="3" s="1"/>
  <c r="AW146" i="3"/>
  <c r="BA145" i="3"/>
  <c r="BQ145" i="3" s="1"/>
  <c r="A149" i="3"/>
  <c r="B148" i="3"/>
  <c r="AR148" i="3"/>
  <c r="AQ148" i="3"/>
  <c r="D148" i="3"/>
  <c r="AM148" i="3"/>
  <c r="S148" i="3"/>
  <c r="R148" i="3"/>
  <c r="AK148" i="3"/>
  <c r="Q148" i="3"/>
  <c r="AD148" i="3"/>
  <c r="P148" i="3"/>
  <c r="O148" i="3"/>
  <c r="AE148" i="3"/>
  <c r="M148" i="3"/>
  <c r="AF148" i="3"/>
  <c r="U148" i="3"/>
  <c r="V148" i="3"/>
  <c r="C148" i="3"/>
  <c r="F148" i="3"/>
  <c r="G148" i="3"/>
  <c r="H148" i="3" s="1"/>
  <c r="BN148" i="3" s="1"/>
  <c r="T148" i="3"/>
  <c r="AX146" i="3"/>
  <c r="AV145" i="3"/>
  <c r="BM147" i="3"/>
  <c r="AG147" i="3"/>
  <c r="AO147" i="3"/>
  <c r="BF144" i="3"/>
  <c r="BJ143" i="3" s="1"/>
  <c r="BQ144" i="3"/>
  <c r="BB144" i="3"/>
  <c r="X147" i="3"/>
  <c r="BK143" i="3" l="1"/>
  <c r="BD144" i="3"/>
  <c r="BC145" i="3"/>
  <c r="BD145" i="3" s="1"/>
  <c r="AU147" i="3"/>
  <c r="AV146" i="3"/>
  <c r="BM148" i="3"/>
  <c r="AT147" i="3"/>
  <c r="AX147" i="3"/>
  <c r="BA146" i="3"/>
  <c r="BQ146" i="3" s="1"/>
  <c r="AG148" i="3"/>
  <c r="AN148" i="3"/>
  <c r="BF145" i="3"/>
  <c r="BJ144" i="3" s="1"/>
  <c r="BK144" i="3" s="1"/>
  <c r="Y148" i="3"/>
  <c r="Z148" i="3" s="1"/>
  <c r="BB145" i="3"/>
  <c r="AY146" i="3"/>
  <c r="AR149" i="3"/>
  <c r="B149" i="3"/>
  <c r="AQ149" i="3"/>
  <c r="A150" i="3"/>
  <c r="AK149" i="3"/>
  <c r="T149" i="3"/>
  <c r="S149" i="3"/>
  <c r="AM149" i="3"/>
  <c r="R149" i="3"/>
  <c r="Q149" i="3"/>
  <c r="P149" i="3"/>
  <c r="AD149" i="3"/>
  <c r="O149" i="3"/>
  <c r="M149" i="3"/>
  <c r="AE149" i="3"/>
  <c r="AF149" i="3"/>
  <c r="U149" i="3"/>
  <c r="V149" i="3"/>
  <c r="D149" i="3"/>
  <c r="F149" i="3"/>
  <c r="C149" i="3"/>
  <c r="G149" i="3"/>
  <c r="H149" i="3" s="1"/>
  <c r="AH148" i="3"/>
  <c r="AW147" i="3"/>
  <c r="X148" i="3"/>
  <c r="AO148" i="3"/>
  <c r="BC146" i="3" l="1"/>
  <c r="BD146" i="3" s="1"/>
  <c r="BG145" i="3"/>
  <c r="BH145" i="3" s="1"/>
  <c r="BI145" i="3" s="1"/>
  <c r="AV147" i="3"/>
  <c r="BF146" i="3"/>
  <c r="BJ145" i="3" s="1"/>
  <c r="AY147" i="3"/>
  <c r="BB146" i="3"/>
  <c r="AW148" i="3"/>
  <c r="AX148" i="3"/>
  <c r="AO149" i="3"/>
  <c r="X149" i="3"/>
  <c r="Y149" i="3"/>
  <c r="Z149" i="3" s="1"/>
  <c r="AR150" i="3"/>
  <c r="B150" i="3"/>
  <c r="AQ150" i="3"/>
  <c r="A151" i="3"/>
  <c r="D150" i="3"/>
  <c r="C150" i="3"/>
  <c r="AM150" i="3"/>
  <c r="S150" i="3"/>
  <c r="Q150" i="3"/>
  <c r="AK150" i="3"/>
  <c r="R150" i="3"/>
  <c r="AD150" i="3"/>
  <c r="O150" i="3"/>
  <c r="P150" i="3"/>
  <c r="AE150" i="3"/>
  <c r="AF150" i="3"/>
  <c r="U150" i="3"/>
  <c r="M150" i="3"/>
  <c r="V150" i="3"/>
  <c r="G150" i="3"/>
  <c r="H150" i="3" s="1"/>
  <c r="F150" i="3"/>
  <c r="T150" i="3"/>
  <c r="AU148" i="3"/>
  <c r="AT148" i="3"/>
  <c r="BN149" i="3"/>
  <c r="BM149" i="3"/>
  <c r="AG149" i="3"/>
  <c r="AH149" i="3"/>
  <c r="AN149" i="3"/>
  <c r="BA147" i="3"/>
  <c r="BG146" i="3" l="1"/>
  <c r="BH146" i="3" s="1"/>
  <c r="BI146" i="3" s="1"/>
  <c r="AY148" i="3"/>
  <c r="BK145" i="3"/>
  <c r="BC147" i="3"/>
  <c r="BG147" i="3" s="1"/>
  <c r="BH147" i="3" s="1"/>
  <c r="BI147" i="3" s="1"/>
  <c r="BN150" i="3"/>
  <c r="AT149" i="3"/>
  <c r="AW149" i="3"/>
  <c r="AV148" i="3"/>
  <c r="BF147" i="3"/>
  <c r="BJ146" i="3" s="1"/>
  <c r="BK146" i="3" s="1"/>
  <c r="BB147" i="3"/>
  <c r="BQ147" i="3"/>
  <c r="AO150" i="3"/>
  <c r="AN150" i="3"/>
  <c r="AX149" i="3"/>
  <c r="BA148" i="3"/>
  <c r="BM150" i="3"/>
  <c r="AG150" i="3"/>
  <c r="AQ151" i="3"/>
  <c r="B151" i="3"/>
  <c r="A152" i="3"/>
  <c r="AR151" i="3"/>
  <c r="D151" i="3"/>
  <c r="AM151" i="3"/>
  <c r="AK151" i="3"/>
  <c r="Q151" i="3"/>
  <c r="T151" i="3"/>
  <c r="R151" i="3"/>
  <c r="AD151" i="3"/>
  <c r="P151" i="3"/>
  <c r="O151" i="3"/>
  <c r="AE151" i="3"/>
  <c r="AF151" i="3"/>
  <c r="M151" i="3"/>
  <c r="V151" i="3"/>
  <c r="U151" i="3"/>
  <c r="C151" i="3"/>
  <c r="G151" i="3"/>
  <c r="H151" i="3" s="1"/>
  <c r="F151" i="3"/>
  <c r="S151" i="3"/>
  <c r="AU149" i="3"/>
  <c r="Y150" i="3"/>
  <c r="Z150" i="3" s="1"/>
  <c r="AH150" i="3"/>
  <c r="X150" i="3"/>
  <c r="BC148" i="3" l="1"/>
  <c r="BG148" i="3" s="1"/>
  <c r="BH148" i="3" s="1"/>
  <c r="BI148" i="3" s="1"/>
  <c r="BD147" i="3"/>
  <c r="BM151" i="3"/>
  <c r="BN151" i="3"/>
  <c r="AX150" i="3"/>
  <c r="BA149" i="3"/>
  <c r="BQ149" i="3" s="1"/>
  <c r="AO151" i="3"/>
  <c r="AN151" i="3"/>
  <c r="AY149" i="3"/>
  <c r="AG151" i="3"/>
  <c r="X151" i="3"/>
  <c r="Y151" i="3"/>
  <c r="Z151" i="3" s="1"/>
  <c r="A153" i="3"/>
  <c r="B152" i="3"/>
  <c r="AR152" i="3"/>
  <c r="AQ152" i="3"/>
  <c r="C152" i="3"/>
  <c r="AK152" i="3"/>
  <c r="AM152" i="3"/>
  <c r="Q152" i="3"/>
  <c r="AD152" i="3"/>
  <c r="T152" i="3"/>
  <c r="R152" i="3"/>
  <c r="P152" i="3"/>
  <c r="M152" i="3"/>
  <c r="AE152" i="3"/>
  <c r="AF152" i="3"/>
  <c r="V152" i="3"/>
  <c r="U152" i="3"/>
  <c r="O152" i="3"/>
  <c r="D152" i="3"/>
  <c r="G152" i="3"/>
  <c r="H152" i="3" s="1"/>
  <c r="F152" i="3"/>
  <c r="BM152" i="3" s="1"/>
  <c r="S152" i="3"/>
  <c r="BF148" i="3"/>
  <c r="BJ147" i="3" s="1"/>
  <c r="BK147" i="3" s="1"/>
  <c r="BB148" i="3"/>
  <c r="BQ148" i="3"/>
  <c r="AV149" i="3"/>
  <c r="AH151" i="3"/>
  <c r="AU150" i="3"/>
  <c r="AW150" i="3"/>
  <c r="AY150" i="3" s="1"/>
  <c r="AT150" i="3"/>
  <c r="BD148" i="3" l="1"/>
  <c r="AV150" i="3"/>
  <c r="BC150" i="3" s="1"/>
  <c r="BN152" i="3"/>
  <c r="BC149" i="3"/>
  <c r="BD149" i="3" s="1"/>
  <c r="BB149" i="3"/>
  <c r="AG152" i="3"/>
  <c r="AX151" i="3"/>
  <c r="BF149" i="3"/>
  <c r="BJ148" i="3" s="1"/>
  <c r="BK148" i="3" s="1"/>
  <c r="AO152" i="3"/>
  <c r="X152" i="3"/>
  <c r="Y152" i="3"/>
  <c r="Z152" i="3" s="1"/>
  <c r="AR153" i="3"/>
  <c r="B153" i="3"/>
  <c r="AQ153" i="3"/>
  <c r="A154" i="3"/>
  <c r="D153" i="3"/>
  <c r="C153" i="3"/>
  <c r="S153" i="3"/>
  <c r="T153" i="3"/>
  <c r="AM153" i="3"/>
  <c r="AK153" i="3"/>
  <c r="Q153" i="3"/>
  <c r="P153" i="3"/>
  <c r="AD153" i="3"/>
  <c r="O153" i="3"/>
  <c r="M153" i="3"/>
  <c r="U153" i="3"/>
  <c r="AE153" i="3"/>
  <c r="AF153" i="3"/>
  <c r="V153" i="3"/>
  <c r="R153" i="3"/>
  <c r="F153" i="3"/>
  <c r="G153" i="3"/>
  <c r="H153" i="3" s="1"/>
  <c r="BA150" i="3"/>
  <c r="AW151" i="3"/>
  <c r="AU151" i="3"/>
  <c r="AH152" i="3"/>
  <c r="AN152" i="3"/>
  <c r="AT151" i="3"/>
  <c r="BM153" i="3" l="1"/>
  <c r="BN153" i="3"/>
  <c r="AU152" i="3"/>
  <c r="BG149" i="3"/>
  <c r="BH149" i="3" s="1"/>
  <c r="BI149" i="3" s="1"/>
  <c r="AY151" i="3"/>
  <c r="AO153" i="3"/>
  <c r="AH153" i="3"/>
  <c r="BD150" i="3"/>
  <c r="BG150" i="3"/>
  <c r="BH150" i="3" s="1"/>
  <c r="BI150" i="3" s="1"/>
  <c r="BQ150" i="3"/>
  <c r="BF150" i="3"/>
  <c r="BJ149" i="3" s="1"/>
  <c r="BB150" i="3"/>
  <c r="Y153" i="3"/>
  <c r="Z153" i="3" s="1"/>
  <c r="AX152" i="3"/>
  <c r="AG153" i="3"/>
  <c r="AN153" i="3"/>
  <c r="AT152" i="3"/>
  <c r="AV151" i="3"/>
  <c r="BA151" i="3"/>
  <c r="AR154" i="3"/>
  <c r="B154" i="3"/>
  <c r="AQ154" i="3"/>
  <c r="A155" i="3"/>
  <c r="D154" i="3"/>
  <c r="AK154" i="3"/>
  <c r="T154" i="3"/>
  <c r="AM154" i="3"/>
  <c r="S154" i="3"/>
  <c r="R154" i="3"/>
  <c r="Q154" i="3"/>
  <c r="P154" i="3"/>
  <c r="AD154" i="3"/>
  <c r="AE154" i="3"/>
  <c r="U154" i="3"/>
  <c r="O154" i="3"/>
  <c r="AF154" i="3"/>
  <c r="M154" i="3"/>
  <c r="V154" i="3"/>
  <c r="C154" i="3"/>
  <c r="F154" i="3"/>
  <c r="G154" i="3"/>
  <c r="H154" i="3" s="1"/>
  <c r="X153" i="3"/>
  <c r="AW152" i="3"/>
  <c r="AN154" i="3" l="1"/>
  <c r="AT153" i="3"/>
  <c r="BK149" i="3"/>
  <c r="BN154" i="3"/>
  <c r="BC151" i="3"/>
  <c r="BG151" i="3" s="1"/>
  <c r="BH151" i="3" s="1"/>
  <c r="BI151" i="3" s="1"/>
  <c r="BM154" i="3"/>
  <c r="AU153" i="3"/>
  <c r="AY152" i="3"/>
  <c r="AX153" i="3"/>
  <c r="AH154" i="3"/>
  <c r="AQ155" i="3"/>
  <c r="B155" i="3"/>
  <c r="A156" i="3"/>
  <c r="AR155" i="3"/>
  <c r="C155" i="3"/>
  <c r="AM155" i="3"/>
  <c r="AK155" i="3"/>
  <c r="Q155" i="3"/>
  <c r="AD155" i="3"/>
  <c r="P155" i="3"/>
  <c r="R155" i="3"/>
  <c r="O155" i="3"/>
  <c r="AE155" i="3"/>
  <c r="AF155" i="3"/>
  <c r="V155" i="3"/>
  <c r="U155" i="3"/>
  <c r="M155" i="3"/>
  <c r="G155" i="3"/>
  <c r="H155" i="3" s="1"/>
  <c r="F155" i="3"/>
  <c r="D155" i="3"/>
  <c r="T155" i="3"/>
  <c r="S155" i="3"/>
  <c r="BQ151" i="3"/>
  <c r="BB151" i="3"/>
  <c r="BF151" i="3"/>
  <c r="BJ150" i="3" s="1"/>
  <c r="BK150" i="3" s="1"/>
  <c r="BA152" i="3"/>
  <c r="AV152" i="3"/>
  <c r="X154" i="3"/>
  <c r="AG154" i="3"/>
  <c r="AO154" i="3"/>
  <c r="AW153" i="3"/>
  <c r="Y154" i="3"/>
  <c r="Z154" i="3" s="1"/>
  <c r="BM155" i="3" l="1"/>
  <c r="BD151" i="3"/>
  <c r="AV153" i="3"/>
  <c r="AY153" i="3"/>
  <c r="AT154" i="3"/>
  <c r="AU154" i="3"/>
  <c r="BC152" i="3"/>
  <c r="BG152" i="3" s="1"/>
  <c r="BH152" i="3" s="1"/>
  <c r="BI152" i="3" s="1"/>
  <c r="AX154" i="3"/>
  <c r="AN155" i="3"/>
  <c r="BA153" i="3"/>
  <c r="BB153" i="3" s="1"/>
  <c r="X155" i="3"/>
  <c r="A157" i="3"/>
  <c r="B156" i="3"/>
  <c r="AR156" i="3"/>
  <c r="AQ156" i="3"/>
  <c r="C156" i="3"/>
  <c r="AM156" i="3"/>
  <c r="AK156" i="3"/>
  <c r="S156" i="3"/>
  <c r="T156" i="3"/>
  <c r="AD156" i="3"/>
  <c r="Q156" i="3"/>
  <c r="P156" i="3"/>
  <c r="O156" i="3"/>
  <c r="AE156" i="3"/>
  <c r="V156" i="3"/>
  <c r="U156" i="3"/>
  <c r="M156" i="3"/>
  <c r="AF156" i="3"/>
  <c r="R156" i="3"/>
  <c r="F156" i="3"/>
  <c r="D156" i="3"/>
  <c r="G156" i="3"/>
  <c r="H156" i="3" s="1"/>
  <c r="AW154" i="3"/>
  <c r="Y155" i="3"/>
  <c r="Z155" i="3" s="1"/>
  <c r="AG155" i="3"/>
  <c r="AH155" i="3"/>
  <c r="AO155" i="3"/>
  <c r="BF152" i="3"/>
  <c r="BJ151" i="3" s="1"/>
  <c r="BK151" i="3" s="1"/>
  <c r="BB152" i="3"/>
  <c r="BQ152" i="3"/>
  <c r="BN155" i="3"/>
  <c r="AY154" i="3" l="1"/>
  <c r="BC153" i="3"/>
  <c r="BG153" i="3" s="1"/>
  <c r="BH153" i="3" s="1"/>
  <c r="BI153" i="3" s="1"/>
  <c r="AV154" i="3"/>
  <c r="BN156" i="3"/>
  <c r="BM156" i="3"/>
  <c r="AH156" i="3"/>
  <c r="BD152" i="3"/>
  <c r="AO156" i="3"/>
  <c r="BF153" i="3"/>
  <c r="BJ152" i="3" s="1"/>
  <c r="BK152" i="3" s="1"/>
  <c r="BQ153" i="3"/>
  <c r="AW155" i="3"/>
  <c r="AG156" i="3"/>
  <c r="AN156" i="3"/>
  <c r="Y156" i="3"/>
  <c r="Z156" i="3" s="1"/>
  <c r="AR157" i="3"/>
  <c r="B157" i="3"/>
  <c r="AQ157" i="3"/>
  <c r="A158" i="3"/>
  <c r="C157" i="3"/>
  <c r="AK157" i="3"/>
  <c r="AM157" i="3"/>
  <c r="R157" i="3"/>
  <c r="AD157" i="3"/>
  <c r="P157" i="3"/>
  <c r="O157" i="3"/>
  <c r="M157" i="3"/>
  <c r="AE157" i="3"/>
  <c r="V157" i="3"/>
  <c r="U157" i="3"/>
  <c r="AF157" i="3"/>
  <c r="Q157" i="3"/>
  <c r="D157" i="3"/>
  <c r="G157" i="3"/>
  <c r="H157" i="3" s="1"/>
  <c r="F157" i="3"/>
  <c r="S157" i="3"/>
  <c r="T157" i="3"/>
  <c r="AT155" i="3"/>
  <c r="AU155" i="3"/>
  <c r="AX155" i="3"/>
  <c r="X156" i="3"/>
  <c r="BA154" i="3"/>
  <c r="BD153" i="3" l="1"/>
  <c r="BC154" i="3"/>
  <c r="BD154" i="3" s="1"/>
  <c r="BM157" i="3"/>
  <c r="BN157" i="3"/>
  <c r="AW156" i="3"/>
  <c r="AT156" i="3"/>
  <c r="AG157" i="3"/>
  <c r="AU156" i="3"/>
  <c r="AN157" i="3"/>
  <c r="AX156" i="3"/>
  <c r="X157" i="3"/>
  <c r="AV155" i="3"/>
  <c r="BA155" i="3"/>
  <c r="AH157" i="3"/>
  <c r="AY155" i="3"/>
  <c r="BQ154" i="3"/>
  <c r="BF154" i="3"/>
  <c r="BJ153" i="3" s="1"/>
  <c r="BK153" i="3" s="1"/>
  <c r="BB154" i="3"/>
  <c r="AR158" i="3"/>
  <c r="B158" i="3"/>
  <c r="AQ158" i="3"/>
  <c r="A159" i="3"/>
  <c r="AM158" i="3"/>
  <c r="R158" i="3"/>
  <c r="AK158" i="3"/>
  <c r="S158" i="3"/>
  <c r="Q158" i="3"/>
  <c r="AD158" i="3"/>
  <c r="O158" i="3"/>
  <c r="P158" i="3"/>
  <c r="M158" i="3"/>
  <c r="AF158" i="3"/>
  <c r="AE158" i="3"/>
  <c r="V158" i="3"/>
  <c r="U158" i="3"/>
  <c r="C158" i="3"/>
  <c r="D158" i="3"/>
  <c r="G158" i="3"/>
  <c r="H158" i="3" s="1"/>
  <c r="F158" i="3"/>
  <c r="T158" i="3"/>
  <c r="Y157" i="3"/>
  <c r="Z157" i="3" s="1"/>
  <c r="AO157" i="3"/>
  <c r="BG154" i="3" l="1"/>
  <c r="BH154" i="3" s="1"/>
  <c r="BI154" i="3" s="1"/>
  <c r="AV156" i="3"/>
  <c r="AO158" i="3"/>
  <c r="BM158" i="3"/>
  <c r="AY156" i="3"/>
  <c r="AG158" i="3"/>
  <c r="AT157" i="3"/>
  <c r="BA156" i="3"/>
  <c r="BF156" i="3" s="1"/>
  <c r="AW157" i="3"/>
  <c r="AQ159" i="3"/>
  <c r="B159" i="3"/>
  <c r="A160" i="3"/>
  <c r="AR159" i="3"/>
  <c r="D159" i="3"/>
  <c r="C159" i="3"/>
  <c r="AK159" i="3"/>
  <c r="AM159" i="3"/>
  <c r="S159" i="3"/>
  <c r="Q159" i="3"/>
  <c r="AD159" i="3"/>
  <c r="M159" i="3"/>
  <c r="AE159" i="3"/>
  <c r="O159" i="3"/>
  <c r="AF159" i="3"/>
  <c r="U159" i="3"/>
  <c r="V159" i="3"/>
  <c r="P159" i="3"/>
  <c r="R159" i="3"/>
  <c r="G159" i="3"/>
  <c r="H159" i="3" s="1"/>
  <c r="F159" i="3"/>
  <c r="T159" i="3"/>
  <c r="AN158" i="3"/>
  <c r="Y158" i="3"/>
  <c r="Z158" i="3" s="1"/>
  <c r="BN158" i="3"/>
  <c r="X158" i="3"/>
  <c r="AH158" i="3"/>
  <c r="AU157" i="3"/>
  <c r="BC155" i="3"/>
  <c r="BB155" i="3"/>
  <c r="BQ155" i="3"/>
  <c r="BF155" i="3"/>
  <c r="BJ154" i="3" s="1"/>
  <c r="BK154" i="3" s="1"/>
  <c r="AX157" i="3"/>
  <c r="BC156" i="3" l="1"/>
  <c r="BD156" i="3" s="1"/>
  <c r="BB156" i="3"/>
  <c r="AU158" i="3"/>
  <c r="BQ156" i="3"/>
  <c r="BM159" i="3"/>
  <c r="AY157" i="3"/>
  <c r="AV157" i="3"/>
  <c r="AG159" i="3"/>
  <c r="AO159" i="3"/>
  <c r="AW158" i="3"/>
  <c r="BD155" i="3"/>
  <c r="BG155" i="3"/>
  <c r="BH155" i="3" s="1"/>
  <c r="BI155" i="3" s="1"/>
  <c r="AX158" i="3"/>
  <c r="AT158" i="3"/>
  <c r="BJ155" i="3"/>
  <c r="Y159" i="3"/>
  <c r="Z159" i="3" s="1"/>
  <c r="BN159" i="3"/>
  <c r="AN159" i="3"/>
  <c r="X159" i="3"/>
  <c r="BA157" i="3"/>
  <c r="A161" i="3"/>
  <c r="B160" i="3"/>
  <c r="AR160" i="3"/>
  <c r="AQ160" i="3"/>
  <c r="AM160" i="3"/>
  <c r="S160" i="3"/>
  <c r="C160" i="3"/>
  <c r="AK160" i="3"/>
  <c r="Q160" i="3"/>
  <c r="R160" i="3"/>
  <c r="AD160" i="3"/>
  <c r="P160" i="3"/>
  <c r="O160" i="3"/>
  <c r="M160" i="3"/>
  <c r="AE160" i="3"/>
  <c r="AF160" i="3"/>
  <c r="V160" i="3"/>
  <c r="U160" i="3"/>
  <c r="D160" i="3"/>
  <c r="G160" i="3"/>
  <c r="H160" i="3" s="1"/>
  <c r="F160" i="3"/>
  <c r="T160" i="3"/>
  <c r="AH159" i="3"/>
  <c r="BM160" i="3" l="1"/>
  <c r="BG156" i="3"/>
  <c r="BH156" i="3" s="1"/>
  <c r="BI156" i="3" s="1"/>
  <c r="BK155" i="3"/>
  <c r="AO160" i="3"/>
  <c r="BC157" i="3"/>
  <c r="BG157" i="3" s="1"/>
  <c r="BH157" i="3" s="1"/>
  <c r="BI157" i="3" s="1"/>
  <c r="BN160" i="3"/>
  <c r="AX159" i="3"/>
  <c r="AY158" i="3"/>
  <c r="AU159" i="3"/>
  <c r="Y160" i="3"/>
  <c r="Z160" i="3" s="1"/>
  <c r="AR161" i="3"/>
  <c r="B161" i="3"/>
  <c r="AQ161" i="3"/>
  <c r="A162" i="3"/>
  <c r="D161" i="3"/>
  <c r="S161" i="3"/>
  <c r="AM161" i="3"/>
  <c r="AK161" i="3"/>
  <c r="T161" i="3"/>
  <c r="Q161" i="3"/>
  <c r="R161" i="3"/>
  <c r="AD161" i="3"/>
  <c r="P161" i="3"/>
  <c r="V161" i="3"/>
  <c r="O161" i="3"/>
  <c r="AE161" i="3"/>
  <c r="M161" i="3"/>
  <c r="AF161" i="3"/>
  <c r="U161" i="3"/>
  <c r="C161" i="3"/>
  <c r="G161" i="3"/>
  <c r="H161" i="3" s="1"/>
  <c r="BN161" i="3" s="1"/>
  <c r="F161" i="3"/>
  <c r="AV158" i="3"/>
  <c r="BA158" i="3"/>
  <c r="AG160" i="3"/>
  <c r="AH160" i="3"/>
  <c r="X160" i="3"/>
  <c r="AN160" i="3"/>
  <c r="AT159" i="3"/>
  <c r="AW159" i="3"/>
  <c r="BF157" i="3"/>
  <c r="BJ156" i="3" s="1"/>
  <c r="BQ157" i="3"/>
  <c r="BB157" i="3"/>
  <c r="BK156" i="3" l="1"/>
  <c r="BM161" i="3"/>
  <c r="BD157" i="3"/>
  <c r="AY159" i="3"/>
  <c r="BC158" i="3"/>
  <c r="BD158" i="3" s="1"/>
  <c r="AN161" i="3"/>
  <c r="AT160" i="3"/>
  <c r="BB158" i="3"/>
  <c r="BF158" i="3"/>
  <c r="BJ157" i="3" s="1"/>
  <c r="BK157" i="3" s="1"/>
  <c r="BQ158" i="3"/>
  <c r="AR162" i="3"/>
  <c r="B162" i="3"/>
  <c r="AQ162" i="3"/>
  <c r="A163" i="3"/>
  <c r="C162" i="3"/>
  <c r="AK162" i="3"/>
  <c r="S162" i="3"/>
  <c r="R162" i="3"/>
  <c r="Q162" i="3"/>
  <c r="AM162" i="3"/>
  <c r="D162" i="3"/>
  <c r="AD162" i="3"/>
  <c r="O162" i="3"/>
  <c r="M162" i="3"/>
  <c r="AE162" i="3"/>
  <c r="V162" i="3"/>
  <c r="AF162" i="3"/>
  <c r="U162" i="3"/>
  <c r="G162" i="3"/>
  <c r="H162" i="3" s="1"/>
  <c r="F162" i="3"/>
  <c r="P162" i="3"/>
  <c r="T162" i="3"/>
  <c r="AU160" i="3"/>
  <c r="AW160" i="3"/>
  <c r="X161" i="3"/>
  <c r="AG161" i="3"/>
  <c r="AH161" i="3"/>
  <c r="AO161" i="3"/>
  <c r="BA159" i="3"/>
  <c r="AV159" i="3"/>
  <c r="Y161" i="3"/>
  <c r="Z161" i="3" s="1"/>
  <c r="AX160" i="3"/>
  <c r="BN162" i="3" l="1"/>
  <c r="AN162" i="3"/>
  <c r="BC159" i="3"/>
  <c r="BD159" i="3" s="1"/>
  <c r="AV160" i="3"/>
  <c r="BG158" i="3"/>
  <c r="BH158" i="3" s="1"/>
  <c r="BI158" i="3" s="1"/>
  <c r="AT161" i="3"/>
  <c r="AX161" i="3"/>
  <c r="AG162" i="3"/>
  <c r="Y162" i="3"/>
  <c r="Z162" i="3" s="1"/>
  <c r="AQ163" i="3"/>
  <c r="B163" i="3"/>
  <c r="A164" i="3"/>
  <c r="AR163" i="3"/>
  <c r="C163" i="3"/>
  <c r="AM163" i="3"/>
  <c r="T163" i="3"/>
  <c r="Q163" i="3"/>
  <c r="AK163" i="3"/>
  <c r="R163" i="3"/>
  <c r="P163" i="3"/>
  <c r="AD163" i="3"/>
  <c r="M163" i="3"/>
  <c r="AF163" i="3"/>
  <c r="V163" i="3"/>
  <c r="O163" i="3"/>
  <c r="AE163" i="3"/>
  <c r="U163" i="3"/>
  <c r="F163" i="3"/>
  <c r="D163" i="3"/>
  <c r="G163" i="3"/>
  <c r="H163" i="3" s="1"/>
  <c r="S163" i="3"/>
  <c r="X162" i="3"/>
  <c r="AU161" i="3"/>
  <c r="AW161" i="3"/>
  <c r="AY160" i="3"/>
  <c r="BM162" i="3"/>
  <c r="AH162" i="3"/>
  <c r="AO162" i="3"/>
  <c r="BA160" i="3"/>
  <c r="BQ159" i="3"/>
  <c r="BF159" i="3"/>
  <c r="BJ158" i="3" s="1"/>
  <c r="BK158" i="3" s="1"/>
  <c r="BB159" i="3"/>
  <c r="BM163" i="3" l="1"/>
  <c r="BG159" i="3"/>
  <c r="BH159" i="3" s="1"/>
  <c r="BI159" i="3" s="1"/>
  <c r="AT162" i="3"/>
  <c r="BC160" i="3"/>
  <c r="BG160" i="3" s="1"/>
  <c r="BH160" i="3" s="1"/>
  <c r="BI160" i="3" s="1"/>
  <c r="AV161" i="3"/>
  <c r="BN163" i="3"/>
  <c r="AG163" i="3"/>
  <c r="BA161" i="3"/>
  <c r="BF161" i="3" s="1"/>
  <c r="AY161" i="3"/>
  <c r="AO163" i="3"/>
  <c r="AX162" i="3"/>
  <c r="BQ160" i="3"/>
  <c r="BB160" i="3"/>
  <c r="BF160" i="3"/>
  <c r="BJ159" i="3" s="1"/>
  <c r="BK159" i="3" s="1"/>
  <c r="Y163" i="3"/>
  <c r="Z163" i="3" s="1"/>
  <c r="AU162" i="3"/>
  <c r="X163" i="3"/>
  <c r="AH163" i="3"/>
  <c r="AN163" i="3"/>
  <c r="A165" i="3"/>
  <c r="B164" i="3"/>
  <c r="AR164" i="3"/>
  <c r="AQ164" i="3"/>
  <c r="C164" i="3"/>
  <c r="AM164" i="3"/>
  <c r="T164" i="3"/>
  <c r="AK164" i="3"/>
  <c r="R164" i="3"/>
  <c r="Q164" i="3"/>
  <c r="AD164" i="3"/>
  <c r="P164" i="3"/>
  <c r="M164" i="3"/>
  <c r="U164" i="3"/>
  <c r="V164" i="3"/>
  <c r="O164" i="3"/>
  <c r="AF164" i="3"/>
  <c r="AE164" i="3"/>
  <c r="D164" i="3"/>
  <c r="G164" i="3"/>
  <c r="H164" i="3" s="1"/>
  <c r="F164" i="3"/>
  <c r="S164" i="3"/>
  <c r="AW162" i="3"/>
  <c r="BM164" i="3" l="1"/>
  <c r="BD160" i="3"/>
  <c r="AV162" i="3"/>
  <c r="BC161" i="3"/>
  <c r="BG161" i="3" s="1"/>
  <c r="BH161" i="3" s="1"/>
  <c r="BI161" i="3" s="1"/>
  <c r="AO164" i="3"/>
  <c r="AY162" i="3"/>
  <c r="BN164" i="3"/>
  <c r="AX163" i="3"/>
  <c r="BB161" i="3"/>
  <c r="AU163" i="3"/>
  <c r="AT163" i="3"/>
  <c r="AG164" i="3"/>
  <c r="BQ161" i="3"/>
  <c r="X164" i="3"/>
  <c r="Y164" i="3"/>
  <c r="Z164" i="3" s="1"/>
  <c r="AR165" i="3"/>
  <c r="B165" i="3"/>
  <c r="AQ165" i="3"/>
  <c r="A166" i="3"/>
  <c r="AM165" i="3"/>
  <c r="R165" i="3"/>
  <c r="C165" i="3"/>
  <c r="AK165" i="3"/>
  <c r="Q165" i="3"/>
  <c r="AD165" i="3"/>
  <c r="S165" i="3"/>
  <c r="P165" i="3"/>
  <c r="O165" i="3"/>
  <c r="AE165" i="3"/>
  <c r="U165" i="3"/>
  <c r="V165" i="3"/>
  <c r="M165" i="3"/>
  <c r="AF165" i="3"/>
  <c r="D165" i="3"/>
  <c r="G165" i="3"/>
  <c r="H165" i="3" s="1"/>
  <c r="F165" i="3"/>
  <c r="T165" i="3"/>
  <c r="AH164" i="3"/>
  <c r="BA162" i="3"/>
  <c r="AN164" i="3"/>
  <c r="AW163" i="3"/>
  <c r="BJ160" i="3"/>
  <c r="BK160" i="3" s="1"/>
  <c r="BD161" i="3" l="1"/>
  <c r="BM165" i="3"/>
  <c r="BC162" i="3"/>
  <c r="BG162" i="3" s="1"/>
  <c r="BH162" i="3" s="1"/>
  <c r="BI162" i="3" s="1"/>
  <c r="BN165" i="3"/>
  <c r="AT164" i="3"/>
  <c r="AY163" i="3"/>
  <c r="AV163" i="3"/>
  <c r="AW164" i="3"/>
  <c r="AU164" i="3"/>
  <c r="Y165" i="3"/>
  <c r="Z165" i="3" s="1"/>
  <c r="AO165" i="3"/>
  <c r="BQ162" i="3"/>
  <c r="BF162" i="3"/>
  <c r="BB162" i="3"/>
  <c r="BA163" i="3"/>
  <c r="AX164" i="3"/>
  <c r="X165" i="3"/>
  <c r="AN165" i="3"/>
  <c r="AR166" i="3"/>
  <c r="B166" i="3"/>
  <c r="AQ166" i="3"/>
  <c r="A167" i="3"/>
  <c r="C166" i="3"/>
  <c r="D166" i="3"/>
  <c r="AK166" i="3"/>
  <c r="Q166" i="3"/>
  <c r="AM166" i="3"/>
  <c r="AD166" i="3"/>
  <c r="T166" i="3"/>
  <c r="R166" i="3"/>
  <c r="P166" i="3"/>
  <c r="M166" i="3"/>
  <c r="AE166" i="3"/>
  <c r="V166" i="3"/>
  <c r="U166" i="3"/>
  <c r="O166" i="3"/>
  <c r="AF166" i="3"/>
  <c r="G166" i="3"/>
  <c r="H166" i="3" s="1"/>
  <c r="F166" i="3"/>
  <c r="S166" i="3"/>
  <c r="AG165" i="3"/>
  <c r="AH165" i="3"/>
  <c r="BM166" i="3" l="1"/>
  <c r="BN166" i="3"/>
  <c r="BD162" i="3"/>
  <c r="AV164" i="3"/>
  <c r="AN166" i="3"/>
  <c r="AY164" i="3"/>
  <c r="BC163" i="3"/>
  <c r="BG163" i="3" s="1"/>
  <c r="BH163" i="3" s="1"/>
  <c r="BI163" i="3" s="1"/>
  <c r="BA164" i="3"/>
  <c r="BQ164" i="3" s="1"/>
  <c r="AX165" i="3"/>
  <c r="Y166" i="3"/>
  <c r="Z166" i="3" s="1"/>
  <c r="AQ167" i="3"/>
  <c r="B167" i="3"/>
  <c r="A168" i="3"/>
  <c r="AR167" i="3"/>
  <c r="D167" i="3"/>
  <c r="AK167" i="3"/>
  <c r="AM167" i="3"/>
  <c r="R167" i="3"/>
  <c r="P167" i="3"/>
  <c r="Q167" i="3"/>
  <c r="AD167" i="3"/>
  <c r="U167" i="3"/>
  <c r="O167" i="3"/>
  <c r="M167" i="3"/>
  <c r="AF167" i="3"/>
  <c r="AE167" i="3"/>
  <c r="V167" i="3"/>
  <c r="C167" i="3"/>
  <c r="G167" i="3"/>
  <c r="H167" i="3" s="1"/>
  <c r="F167" i="3"/>
  <c r="T167" i="3"/>
  <c r="S167" i="3"/>
  <c r="BF163" i="3"/>
  <c r="BJ162" i="3" s="1"/>
  <c r="BK162" i="3" s="1"/>
  <c r="BQ163" i="3"/>
  <c r="BB163" i="3"/>
  <c r="BJ161" i="3"/>
  <c r="BK161" i="3" s="1"/>
  <c r="AW165" i="3"/>
  <c r="X166" i="3"/>
  <c r="AH166" i="3"/>
  <c r="AT165" i="3"/>
  <c r="AG166" i="3"/>
  <c r="AO166" i="3"/>
  <c r="AU165" i="3"/>
  <c r="BM167" i="3" l="1"/>
  <c r="BN167" i="3"/>
  <c r="BC164" i="3"/>
  <c r="BD164" i="3" s="1"/>
  <c r="BD163" i="3"/>
  <c r="AY165" i="3"/>
  <c r="BB164" i="3"/>
  <c r="BF164" i="3"/>
  <c r="BJ163" i="3" s="1"/>
  <c r="BK163" i="3" s="1"/>
  <c r="AU166" i="3"/>
  <c r="X167" i="3"/>
  <c r="AG167" i="3"/>
  <c r="BG164" i="3"/>
  <c r="BH164" i="3" s="1"/>
  <c r="BI164" i="3" s="1"/>
  <c r="AO167" i="3"/>
  <c r="AT166" i="3"/>
  <c r="AV165" i="3"/>
  <c r="BA165" i="3"/>
  <c r="A169" i="3"/>
  <c r="B168" i="3"/>
  <c r="AR168" i="3"/>
  <c r="AQ168" i="3"/>
  <c r="D168" i="3"/>
  <c r="C168" i="3"/>
  <c r="AK168" i="3"/>
  <c r="AM168" i="3"/>
  <c r="S168" i="3"/>
  <c r="R168" i="3"/>
  <c r="AD168" i="3"/>
  <c r="P168" i="3"/>
  <c r="Q168" i="3"/>
  <c r="AF168" i="3"/>
  <c r="AE168" i="3"/>
  <c r="M168" i="3"/>
  <c r="U168" i="3"/>
  <c r="O168" i="3"/>
  <c r="V168" i="3"/>
  <c r="F168" i="3"/>
  <c r="G168" i="3"/>
  <c r="H168" i="3" s="1"/>
  <c r="T168" i="3"/>
  <c r="AW166" i="3"/>
  <c r="AX166" i="3"/>
  <c r="Y167" i="3"/>
  <c r="Z167" i="3" s="1"/>
  <c r="AH167" i="3"/>
  <c r="AN167" i="3"/>
  <c r="BM168" i="3" l="1"/>
  <c r="BC165" i="3"/>
  <c r="BG165" i="3" s="1"/>
  <c r="BH165" i="3" s="1"/>
  <c r="BI165" i="3" s="1"/>
  <c r="AV166" i="3"/>
  <c r="AN168" i="3"/>
  <c r="BN168" i="3"/>
  <c r="AX167" i="3"/>
  <c r="Y168" i="3"/>
  <c r="Z168" i="3" s="1"/>
  <c r="BA166" i="3"/>
  <c r="AY166" i="3"/>
  <c r="AR169" i="3"/>
  <c r="B169" i="3"/>
  <c r="AQ169" i="3"/>
  <c r="A170" i="3"/>
  <c r="C169" i="3"/>
  <c r="AM169" i="3"/>
  <c r="AK169" i="3"/>
  <c r="R169" i="3"/>
  <c r="Q169" i="3"/>
  <c r="AD169" i="3"/>
  <c r="S169" i="3"/>
  <c r="P169" i="3"/>
  <c r="O169" i="3"/>
  <c r="V169" i="3"/>
  <c r="U169" i="3"/>
  <c r="M169" i="3"/>
  <c r="AE169" i="3"/>
  <c r="AF169" i="3"/>
  <c r="F169" i="3"/>
  <c r="D169" i="3"/>
  <c r="G169" i="3"/>
  <c r="H169" i="3" s="1"/>
  <c r="T169" i="3"/>
  <c r="AW167" i="3"/>
  <c r="AT167" i="3"/>
  <c r="AU167" i="3"/>
  <c r="AG168" i="3"/>
  <c r="AH168" i="3"/>
  <c r="AO168" i="3"/>
  <c r="BF165" i="3"/>
  <c r="BJ164" i="3" s="1"/>
  <c r="BK164" i="3" s="1"/>
  <c r="BB165" i="3"/>
  <c r="BQ165" i="3"/>
  <c r="X168" i="3"/>
  <c r="BM169" i="3" l="1"/>
  <c r="BD165" i="3"/>
  <c r="BC166" i="3"/>
  <c r="BG166" i="3" s="1"/>
  <c r="BH166" i="3" s="1"/>
  <c r="BI166" i="3" s="1"/>
  <c r="BN169" i="3"/>
  <c r="AY167" i="3"/>
  <c r="AU168" i="3"/>
  <c r="AN169" i="3"/>
  <c r="Y169" i="3"/>
  <c r="Z169" i="3" s="1"/>
  <c r="AT168" i="3"/>
  <c r="AX168" i="3"/>
  <c r="BQ166" i="3"/>
  <c r="BB166" i="3"/>
  <c r="BF166" i="3"/>
  <c r="BJ165" i="3" s="1"/>
  <c r="BK165" i="3" s="1"/>
  <c r="AG169" i="3"/>
  <c r="AO169" i="3"/>
  <c r="X169" i="3"/>
  <c r="AV167" i="3"/>
  <c r="BA167" i="3"/>
  <c r="AR170" i="3"/>
  <c r="B170" i="3"/>
  <c r="AQ170" i="3"/>
  <c r="A171" i="3"/>
  <c r="D170" i="3"/>
  <c r="R170" i="3"/>
  <c r="AM170" i="3"/>
  <c r="AK170" i="3"/>
  <c r="O170" i="3"/>
  <c r="Q170" i="3"/>
  <c r="AD170" i="3"/>
  <c r="P170" i="3"/>
  <c r="AE170" i="3"/>
  <c r="AF170" i="3"/>
  <c r="U170" i="3"/>
  <c r="V170" i="3"/>
  <c r="M170" i="3"/>
  <c r="C170" i="3"/>
  <c r="F170" i="3"/>
  <c r="G170" i="3"/>
  <c r="H170" i="3" s="1"/>
  <c r="T170" i="3"/>
  <c r="S170" i="3"/>
  <c r="AW168" i="3"/>
  <c r="AH169" i="3"/>
  <c r="BC167" i="3" l="1"/>
  <c r="BD167" i="3" s="1"/>
  <c r="BD166" i="3"/>
  <c r="AX169" i="3"/>
  <c r="BM170" i="3"/>
  <c r="BN170" i="3"/>
  <c r="AV168" i="3"/>
  <c r="AO170" i="3"/>
  <c r="X170" i="3"/>
  <c r="AY168" i="3"/>
  <c r="Y170" i="3"/>
  <c r="Z170" i="3" s="1"/>
  <c r="AG170" i="3"/>
  <c r="AH170" i="3"/>
  <c r="AN170" i="3"/>
  <c r="AU169" i="3"/>
  <c r="AQ171" i="3"/>
  <c r="B171" i="3"/>
  <c r="A172" i="3"/>
  <c r="AR171" i="3"/>
  <c r="S171" i="3"/>
  <c r="R171" i="3"/>
  <c r="AM171" i="3"/>
  <c r="AK171" i="3"/>
  <c r="Q171" i="3"/>
  <c r="AD171" i="3"/>
  <c r="O171" i="3"/>
  <c r="M171" i="3"/>
  <c r="AE171" i="3"/>
  <c r="AF171" i="3"/>
  <c r="U171" i="3"/>
  <c r="V171" i="3"/>
  <c r="C171" i="3"/>
  <c r="D171" i="3"/>
  <c r="F171" i="3"/>
  <c r="G171" i="3"/>
  <c r="H171" i="3" s="1"/>
  <c r="T171" i="3"/>
  <c r="P171" i="3"/>
  <c r="BF167" i="3"/>
  <c r="BJ166" i="3" s="1"/>
  <c r="BK166" i="3" s="1"/>
  <c r="BB167" i="3"/>
  <c r="BQ167" i="3"/>
  <c r="AT169" i="3"/>
  <c r="AW169" i="3"/>
  <c r="BA168" i="3"/>
  <c r="AY169" i="3" l="1"/>
  <c r="BG167" i="3"/>
  <c r="BH167" i="3" s="1"/>
  <c r="BI167" i="3" s="1"/>
  <c r="BN171" i="3"/>
  <c r="BM171" i="3"/>
  <c r="AT170" i="3"/>
  <c r="BC168" i="3"/>
  <c r="AG171" i="3"/>
  <c r="AN171" i="3"/>
  <c r="AX170" i="3"/>
  <c r="BF168" i="3"/>
  <c r="BJ167" i="3" s="1"/>
  <c r="BK167" i="3" s="1"/>
  <c r="BB168" i="3"/>
  <c r="BQ168" i="3"/>
  <c r="BA169" i="3"/>
  <c r="AV169" i="3"/>
  <c r="Y171" i="3"/>
  <c r="Z171" i="3" s="1"/>
  <c r="AH171" i="3"/>
  <c r="AO171" i="3"/>
  <c r="AU170" i="3"/>
  <c r="AW170" i="3"/>
  <c r="A173" i="3"/>
  <c r="B172" i="3"/>
  <c r="AR172" i="3"/>
  <c r="AQ172" i="3"/>
  <c r="C172" i="3"/>
  <c r="AK172" i="3"/>
  <c r="AM172" i="3"/>
  <c r="S172" i="3"/>
  <c r="R172" i="3"/>
  <c r="D172" i="3"/>
  <c r="Q172" i="3"/>
  <c r="AD172" i="3"/>
  <c r="O172" i="3"/>
  <c r="AF172" i="3"/>
  <c r="M172" i="3"/>
  <c r="U172" i="3"/>
  <c r="P172" i="3"/>
  <c r="AE172" i="3"/>
  <c r="V172" i="3"/>
  <c r="G172" i="3"/>
  <c r="H172" i="3" s="1"/>
  <c r="F172" i="3"/>
  <c r="T172" i="3"/>
  <c r="X171" i="3"/>
  <c r="BM172" i="3" l="1"/>
  <c r="BC169" i="3"/>
  <c r="BD169" i="3" s="1"/>
  <c r="BN172" i="3"/>
  <c r="AV170" i="3"/>
  <c r="AT171" i="3"/>
  <c r="BG168" i="3"/>
  <c r="BH168" i="3" s="1"/>
  <c r="BI168" i="3" s="1"/>
  <c r="BD168" i="3"/>
  <c r="BA170" i="3"/>
  <c r="BF170" i="3" s="1"/>
  <c r="AW171" i="3"/>
  <c r="AY170" i="3"/>
  <c r="AO172" i="3"/>
  <c r="AX171" i="3"/>
  <c r="AU171" i="3"/>
  <c r="Y172" i="3"/>
  <c r="Z172" i="3" s="1"/>
  <c r="AR173" i="3"/>
  <c r="B173" i="3"/>
  <c r="AQ173" i="3"/>
  <c r="A174" i="3"/>
  <c r="AK173" i="3"/>
  <c r="AM173" i="3"/>
  <c r="T173" i="3"/>
  <c r="AD173" i="3"/>
  <c r="P173" i="3"/>
  <c r="R173" i="3"/>
  <c r="O173" i="3"/>
  <c r="AE173" i="3"/>
  <c r="AF173" i="3"/>
  <c r="M173" i="3"/>
  <c r="U173" i="3"/>
  <c r="V173" i="3"/>
  <c r="Q173" i="3"/>
  <c r="C173" i="3"/>
  <c r="D173" i="3"/>
  <c r="G173" i="3"/>
  <c r="H173" i="3" s="1"/>
  <c r="F173" i="3"/>
  <c r="S173" i="3"/>
  <c r="AN172" i="3"/>
  <c r="X172" i="3"/>
  <c r="AH172" i="3"/>
  <c r="AG172" i="3"/>
  <c r="BQ169" i="3"/>
  <c r="BF169" i="3"/>
  <c r="BJ168" i="3" s="1"/>
  <c r="BK168" i="3" s="1"/>
  <c r="BB169" i="3"/>
  <c r="BG169" i="3" l="1"/>
  <c r="BH169" i="3" s="1"/>
  <c r="BI169" i="3" s="1"/>
  <c r="BC170" i="3"/>
  <c r="BD170" i="3" s="1"/>
  <c r="BB170" i="3"/>
  <c r="BQ170" i="3"/>
  <c r="BM173" i="3"/>
  <c r="AO173" i="3"/>
  <c r="BA171" i="3"/>
  <c r="BF171" i="3" s="1"/>
  <c r="BJ170" i="3" s="1"/>
  <c r="AV171" i="3"/>
  <c r="AY171" i="3"/>
  <c r="AX172" i="3"/>
  <c r="Y173" i="3"/>
  <c r="Z173" i="3" s="1"/>
  <c r="BN173" i="3"/>
  <c r="AR174" i="3"/>
  <c r="B174" i="3"/>
  <c r="AQ174" i="3"/>
  <c r="A175" i="3"/>
  <c r="D174" i="3"/>
  <c r="T174" i="3"/>
  <c r="C174" i="3"/>
  <c r="AK174" i="3"/>
  <c r="AM174" i="3"/>
  <c r="Q174" i="3"/>
  <c r="S174" i="3"/>
  <c r="R174" i="3"/>
  <c r="AD174" i="3"/>
  <c r="O174" i="3"/>
  <c r="P174" i="3"/>
  <c r="AE174" i="3"/>
  <c r="M174" i="3"/>
  <c r="V174" i="3"/>
  <c r="U174" i="3"/>
  <c r="AF174" i="3"/>
  <c r="G174" i="3"/>
  <c r="H174" i="3" s="1"/>
  <c r="BN174" i="3" s="1"/>
  <c r="F174" i="3"/>
  <c r="AU172" i="3"/>
  <c r="AW172" i="3"/>
  <c r="AT172" i="3"/>
  <c r="X173" i="3"/>
  <c r="AG173" i="3"/>
  <c r="AH173" i="3"/>
  <c r="AN173" i="3"/>
  <c r="BJ169" i="3"/>
  <c r="BK169" i="3" l="1"/>
  <c r="BG170" i="3"/>
  <c r="BH170" i="3" s="1"/>
  <c r="BI170" i="3" s="1"/>
  <c r="AY172" i="3"/>
  <c r="BK170" i="3"/>
  <c r="BB171" i="3"/>
  <c r="BM174" i="3"/>
  <c r="BQ171" i="3"/>
  <c r="BC171" i="3"/>
  <c r="BD171" i="3" s="1"/>
  <c r="AU173" i="3"/>
  <c r="AT173" i="3"/>
  <c r="AH174" i="3"/>
  <c r="AN174" i="3"/>
  <c r="BA172" i="3"/>
  <c r="BQ172" i="3" s="1"/>
  <c r="Y174" i="3"/>
  <c r="Z174" i="3" s="1"/>
  <c r="AX173" i="3"/>
  <c r="X174" i="3"/>
  <c r="AQ175" i="3"/>
  <c r="B175" i="3"/>
  <c r="A176" i="3"/>
  <c r="AR175" i="3"/>
  <c r="D175" i="3"/>
  <c r="AK175" i="3"/>
  <c r="AM175" i="3"/>
  <c r="S175" i="3"/>
  <c r="R175" i="3"/>
  <c r="T175" i="3"/>
  <c r="AD175" i="3"/>
  <c r="P175" i="3"/>
  <c r="O175" i="3"/>
  <c r="AE175" i="3"/>
  <c r="M175" i="3"/>
  <c r="AF175" i="3"/>
  <c r="U175" i="3"/>
  <c r="V175" i="3"/>
  <c r="F175" i="3"/>
  <c r="Q175" i="3"/>
  <c r="C175" i="3"/>
  <c r="G175" i="3"/>
  <c r="H175" i="3" s="1"/>
  <c r="AW173" i="3"/>
  <c r="AV172" i="3"/>
  <c r="AG174" i="3"/>
  <c r="AO174" i="3"/>
  <c r="BC172" i="3" l="1"/>
  <c r="BG172" i="3" s="1"/>
  <c r="BH172" i="3" s="1"/>
  <c r="BI172" i="3" s="1"/>
  <c r="BB172" i="3"/>
  <c r="BN175" i="3"/>
  <c r="AV173" i="3"/>
  <c r="BG171" i="3"/>
  <c r="BH171" i="3" s="1"/>
  <c r="BI171" i="3" s="1"/>
  <c r="AG175" i="3"/>
  <c r="AY173" i="3"/>
  <c r="AO175" i="3"/>
  <c r="BF172" i="3"/>
  <c r="BJ171" i="3" s="1"/>
  <c r="BK171" i="3" s="1"/>
  <c r="AX174" i="3"/>
  <c r="Y175" i="3"/>
  <c r="Z175" i="3" s="1"/>
  <c r="A177" i="3"/>
  <c r="B176" i="3"/>
  <c r="AR176" i="3"/>
  <c r="AQ176" i="3"/>
  <c r="D176" i="3"/>
  <c r="AM176" i="3"/>
  <c r="AK176" i="3"/>
  <c r="T176" i="3"/>
  <c r="Q176" i="3"/>
  <c r="P176" i="3"/>
  <c r="R176" i="3"/>
  <c r="AD176" i="3"/>
  <c r="O176" i="3"/>
  <c r="AE176" i="3"/>
  <c r="M176" i="3"/>
  <c r="AF176" i="3"/>
  <c r="U176" i="3"/>
  <c r="V176" i="3"/>
  <c r="C176" i="3"/>
  <c r="F176" i="3"/>
  <c r="G176" i="3"/>
  <c r="H176" i="3" s="1"/>
  <c r="BN176" i="3" s="1"/>
  <c r="S176" i="3"/>
  <c r="AW174" i="3"/>
  <c r="X175" i="3"/>
  <c r="BM175" i="3"/>
  <c r="AH175" i="3"/>
  <c r="AN175" i="3"/>
  <c r="AT174" i="3"/>
  <c r="BA173" i="3"/>
  <c r="AU174" i="3"/>
  <c r="BD172" i="3" l="1"/>
  <c r="AX175" i="3"/>
  <c r="BC173" i="3"/>
  <c r="BG173" i="3" s="1"/>
  <c r="BH173" i="3" s="1"/>
  <c r="BI173" i="3" s="1"/>
  <c r="BM176" i="3"/>
  <c r="AN176" i="3"/>
  <c r="BQ173" i="3"/>
  <c r="BB173" i="3"/>
  <c r="BF173" i="3"/>
  <c r="BJ172" i="3" s="1"/>
  <c r="BK172" i="3" s="1"/>
  <c r="BA174" i="3"/>
  <c r="AY174" i="3"/>
  <c r="Y176" i="3"/>
  <c r="Z176" i="3" s="1"/>
  <c r="AR177" i="3"/>
  <c r="B177" i="3"/>
  <c r="AQ177" i="3"/>
  <c r="A178" i="3"/>
  <c r="R177" i="3"/>
  <c r="AM177" i="3"/>
  <c r="AK177" i="3"/>
  <c r="Q177" i="3"/>
  <c r="AD177" i="3"/>
  <c r="O177" i="3"/>
  <c r="AF177" i="3"/>
  <c r="AE177" i="3"/>
  <c r="P177" i="3"/>
  <c r="M177" i="3"/>
  <c r="V177" i="3"/>
  <c r="U177" i="3"/>
  <c r="D177" i="3"/>
  <c r="G177" i="3"/>
  <c r="H177" i="3" s="1"/>
  <c r="C177" i="3"/>
  <c r="F177" i="3"/>
  <c r="S177" i="3"/>
  <c r="T177" i="3"/>
  <c r="AU175" i="3"/>
  <c r="X176" i="3"/>
  <c r="AH176" i="3"/>
  <c r="AT175" i="3"/>
  <c r="AV174" i="3"/>
  <c r="AW175" i="3"/>
  <c r="AO176" i="3"/>
  <c r="AG176" i="3"/>
  <c r="AY175" i="3" l="1"/>
  <c r="BD173" i="3"/>
  <c r="BC174" i="3"/>
  <c r="BD174" i="3" s="1"/>
  <c r="AO177" i="3"/>
  <c r="AW176" i="3"/>
  <c r="AT176" i="3"/>
  <c r="X177" i="3"/>
  <c r="BA175" i="3"/>
  <c r="AV175" i="3"/>
  <c r="AR178" i="3"/>
  <c r="B178" i="3"/>
  <c r="AQ178" i="3"/>
  <c r="A179" i="3"/>
  <c r="AM178" i="3"/>
  <c r="AK178" i="3"/>
  <c r="S178" i="3"/>
  <c r="T178" i="3"/>
  <c r="C178" i="3"/>
  <c r="Q178" i="3"/>
  <c r="AD178" i="3"/>
  <c r="P178" i="3"/>
  <c r="O178" i="3"/>
  <c r="AE178" i="3"/>
  <c r="AF178" i="3"/>
  <c r="M178" i="3"/>
  <c r="U178" i="3"/>
  <c r="V178" i="3"/>
  <c r="D178" i="3"/>
  <c r="F178" i="3"/>
  <c r="R178" i="3"/>
  <c r="G178" i="3"/>
  <c r="H178" i="3" s="1"/>
  <c r="AH177" i="3"/>
  <c r="AU176" i="3"/>
  <c r="Y177" i="3"/>
  <c r="Z177" i="3" s="1"/>
  <c r="BM177" i="3"/>
  <c r="BN177" i="3"/>
  <c r="AG177" i="3"/>
  <c r="AN177" i="3"/>
  <c r="BF174" i="3"/>
  <c r="BJ173" i="3" s="1"/>
  <c r="BK173" i="3" s="1"/>
  <c r="BQ174" i="3"/>
  <c r="BB174" i="3"/>
  <c r="AX176" i="3"/>
  <c r="BC175" i="3" l="1"/>
  <c r="BG175" i="3" s="1"/>
  <c r="BH175" i="3" s="1"/>
  <c r="BI175" i="3" s="1"/>
  <c r="BN178" i="3"/>
  <c r="BM178" i="3"/>
  <c r="BG174" i="3"/>
  <c r="BH174" i="3" s="1"/>
  <c r="BI174" i="3" s="1"/>
  <c r="AT177" i="3"/>
  <c r="AG178" i="3"/>
  <c r="AY176" i="3"/>
  <c r="AW177" i="3"/>
  <c r="AO178" i="3"/>
  <c r="BA176" i="3"/>
  <c r="BB176" i="3" s="1"/>
  <c r="AU177" i="3"/>
  <c r="AX177" i="3"/>
  <c r="Y178" i="3"/>
  <c r="Z178" i="3" s="1"/>
  <c r="BB175" i="3"/>
  <c r="BF175" i="3"/>
  <c r="BJ174" i="3" s="1"/>
  <c r="BQ175" i="3"/>
  <c r="AH178" i="3"/>
  <c r="X178" i="3"/>
  <c r="AN178" i="3"/>
  <c r="AV176" i="3"/>
  <c r="AQ179" i="3"/>
  <c r="B179" i="3"/>
  <c r="A180" i="3"/>
  <c r="AR179" i="3"/>
  <c r="D179" i="3"/>
  <c r="AM179" i="3"/>
  <c r="AK179" i="3"/>
  <c r="S179" i="3"/>
  <c r="Q179" i="3"/>
  <c r="C179" i="3"/>
  <c r="AD179" i="3"/>
  <c r="R179" i="3"/>
  <c r="P179" i="3"/>
  <c r="O179" i="3"/>
  <c r="M179" i="3"/>
  <c r="AE179" i="3"/>
  <c r="AF179" i="3"/>
  <c r="V179" i="3"/>
  <c r="U179" i="3"/>
  <c r="G179" i="3"/>
  <c r="H179" i="3" s="1"/>
  <c r="F179" i="3"/>
  <c r="T179" i="3"/>
  <c r="BD175" i="3" l="1"/>
  <c r="AV177" i="3"/>
  <c r="AY177" i="3"/>
  <c r="BK174" i="3"/>
  <c r="BM179" i="3"/>
  <c r="BC176" i="3"/>
  <c r="BG176" i="3" s="1"/>
  <c r="BH176" i="3" s="1"/>
  <c r="BI176" i="3" s="1"/>
  <c r="AW178" i="3"/>
  <c r="AO179" i="3"/>
  <c r="AT178" i="3"/>
  <c r="BQ176" i="3"/>
  <c r="BF176" i="3"/>
  <c r="BJ175" i="3" s="1"/>
  <c r="BK175" i="3" s="1"/>
  <c r="BA177" i="3"/>
  <c r="BF177" i="3" s="1"/>
  <c r="Y179" i="3"/>
  <c r="Z179" i="3" s="1"/>
  <c r="BN179" i="3"/>
  <c r="AG179" i="3"/>
  <c r="X179" i="3"/>
  <c r="AN179" i="3"/>
  <c r="AU178" i="3"/>
  <c r="A181" i="3"/>
  <c r="B180" i="3"/>
  <c r="AR180" i="3"/>
  <c r="AQ180" i="3"/>
  <c r="D180" i="3"/>
  <c r="S180" i="3"/>
  <c r="R180" i="3"/>
  <c r="AM180" i="3"/>
  <c r="AK180" i="3"/>
  <c r="Q180" i="3"/>
  <c r="P180" i="3"/>
  <c r="AD180" i="3"/>
  <c r="O180" i="3"/>
  <c r="AE180" i="3"/>
  <c r="AF180" i="3"/>
  <c r="M180" i="3"/>
  <c r="U180" i="3"/>
  <c r="V180" i="3"/>
  <c r="G180" i="3"/>
  <c r="H180" i="3" s="1"/>
  <c r="C180" i="3"/>
  <c r="F180" i="3"/>
  <c r="T180" i="3"/>
  <c r="AH179" i="3"/>
  <c r="AX178" i="3"/>
  <c r="BD176" i="3" l="1"/>
  <c r="BN180" i="3"/>
  <c r="BC177" i="3"/>
  <c r="BG177" i="3" s="1"/>
  <c r="BH177" i="3" s="1"/>
  <c r="BI177" i="3" s="1"/>
  <c r="AU179" i="3"/>
  <c r="AV178" i="3"/>
  <c r="AG180" i="3"/>
  <c r="AY178" i="3"/>
  <c r="AN180" i="3"/>
  <c r="BB177" i="3"/>
  <c r="BQ177" i="3"/>
  <c r="BJ176" i="3"/>
  <c r="BK176" i="3" s="1"/>
  <c r="Y180" i="3"/>
  <c r="Z180" i="3" s="1"/>
  <c r="AW179" i="3"/>
  <c r="AX179" i="3"/>
  <c r="X180" i="3"/>
  <c r="BM180" i="3"/>
  <c r="AR181" i="3"/>
  <c r="B181" i="3"/>
  <c r="AQ181" i="3"/>
  <c r="A182" i="3"/>
  <c r="D181" i="3"/>
  <c r="AM181" i="3"/>
  <c r="AK181" i="3"/>
  <c r="T181" i="3"/>
  <c r="P181" i="3"/>
  <c r="R181" i="3"/>
  <c r="Q181" i="3"/>
  <c r="AD181" i="3"/>
  <c r="O181" i="3"/>
  <c r="AE181" i="3"/>
  <c r="AF181" i="3"/>
  <c r="M181" i="3"/>
  <c r="U181" i="3"/>
  <c r="V181" i="3"/>
  <c r="C181" i="3"/>
  <c r="G181" i="3"/>
  <c r="H181" i="3" s="1"/>
  <c r="F181" i="3"/>
  <c r="S181" i="3"/>
  <c r="BA178" i="3"/>
  <c r="AO180" i="3"/>
  <c r="AH180" i="3"/>
  <c r="AT179" i="3"/>
  <c r="BD177" i="3" l="1"/>
  <c r="BM181" i="3"/>
  <c r="BC178" i="3"/>
  <c r="BD178" i="3" s="1"/>
  <c r="AT180" i="3"/>
  <c r="BN181" i="3"/>
  <c r="AG181" i="3"/>
  <c r="AN181" i="3"/>
  <c r="AX180" i="3"/>
  <c r="AW180" i="3"/>
  <c r="AU180" i="3"/>
  <c r="X181" i="3"/>
  <c r="AV179" i="3"/>
  <c r="BA179" i="3"/>
  <c r="Y181" i="3"/>
  <c r="Z181" i="3" s="1"/>
  <c r="AH181" i="3"/>
  <c r="AO181" i="3"/>
  <c r="AY179" i="3"/>
  <c r="BB178" i="3"/>
  <c r="BF178" i="3"/>
  <c r="BJ177" i="3" s="1"/>
  <c r="BK177" i="3" s="1"/>
  <c r="BQ178" i="3"/>
  <c r="AR182" i="3"/>
  <c r="B182" i="3"/>
  <c r="AQ182" i="3"/>
  <c r="A183" i="3"/>
  <c r="C182" i="3"/>
  <c r="AK182" i="3"/>
  <c r="AM182" i="3"/>
  <c r="Q182" i="3"/>
  <c r="R182" i="3"/>
  <c r="AD182" i="3"/>
  <c r="O182" i="3"/>
  <c r="M182" i="3"/>
  <c r="AE182" i="3"/>
  <c r="U182" i="3"/>
  <c r="P182" i="3"/>
  <c r="AF182" i="3"/>
  <c r="V182" i="3"/>
  <c r="D182" i="3"/>
  <c r="G182" i="3"/>
  <c r="H182" i="3" s="1"/>
  <c r="F182" i="3"/>
  <c r="T182" i="3"/>
  <c r="S182" i="3"/>
  <c r="BG178" i="3" l="1"/>
  <c r="BH178" i="3" s="1"/>
  <c r="BI178" i="3" s="1"/>
  <c r="AV180" i="3"/>
  <c r="AU181" i="3"/>
  <c r="BN182" i="3"/>
  <c r="BM182" i="3"/>
  <c r="BA180" i="3"/>
  <c r="BQ180" i="3" s="1"/>
  <c r="AY180" i="3"/>
  <c r="AX181" i="3"/>
  <c r="AN182" i="3"/>
  <c r="AW181" i="3"/>
  <c r="AG182" i="3"/>
  <c r="Y182" i="3"/>
  <c r="Z182" i="3" s="1"/>
  <c r="AQ183" i="3"/>
  <c r="B183" i="3"/>
  <c r="A184" i="3"/>
  <c r="AR183" i="3"/>
  <c r="D183" i="3"/>
  <c r="AM183" i="3"/>
  <c r="T183" i="3"/>
  <c r="AK183" i="3"/>
  <c r="R183" i="3"/>
  <c r="AD183" i="3"/>
  <c r="P183" i="3"/>
  <c r="O183" i="3"/>
  <c r="AE183" i="3"/>
  <c r="U183" i="3"/>
  <c r="V183" i="3"/>
  <c r="M183" i="3"/>
  <c r="AF183" i="3"/>
  <c r="C183" i="3"/>
  <c r="Q183" i="3"/>
  <c r="G183" i="3"/>
  <c r="H183" i="3" s="1"/>
  <c r="F183" i="3"/>
  <c r="S183" i="3"/>
  <c r="X182" i="3"/>
  <c r="AH182" i="3"/>
  <c r="AO182" i="3"/>
  <c r="AT181" i="3"/>
  <c r="BC179" i="3"/>
  <c r="BQ179" i="3"/>
  <c r="BF179" i="3"/>
  <c r="BJ178" i="3" s="1"/>
  <c r="BK178" i="3" s="1"/>
  <c r="BB179" i="3"/>
  <c r="BC180" i="3" l="1"/>
  <c r="BD180" i="3" s="1"/>
  <c r="AY181" i="3"/>
  <c r="AO183" i="3"/>
  <c r="BB180" i="3"/>
  <c r="BN183" i="3"/>
  <c r="BF180" i="3"/>
  <c r="BJ179" i="3" s="1"/>
  <c r="AT182" i="3"/>
  <c r="AX182" i="3"/>
  <c r="X183" i="3"/>
  <c r="AV181" i="3"/>
  <c r="BA181" i="3"/>
  <c r="BD179" i="3"/>
  <c r="BG179" i="3"/>
  <c r="BH179" i="3" s="1"/>
  <c r="BI179" i="3" s="1"/>
  <c r="Y183" i="3"/>
  <c r="Z183" i="3" s="1"/>
  <c r="A185" i="3"/>
  <c r="B184" i="3"/>
  <c r="AR184" i="3"/>
  <c r="AQ184" i="3"/>
  <c r="AM184" i="3"/>
  <c r="T184" i="3"/>
  <c r="AK184" i="3"/>
  <c r="S184" i="3"/>
  <c r="R184" i="3"/>
  <c r="Q184" i="3"/>
  <c r="AD184" i="3"/>
  <c r="P184" i="3"/>
  <c r="O184" i="3"/>
  <c r="AE184" i="3"/>
  <c r="AF184" i="3"/>
  <c r="V184" i="3"/>
  <c r="M184" i="3"/>
  <c r="U184" i="3"/>
  <c r="D184" i="3"/>
  <c r="G184" i="3"/>
  <c r="H184" i="3" s="1"/>
  <c r="C184" i="3"/>
  <c r="F184" i="3"/>
  <c r="AU182" i="3"/>
  <c r="AW182" i="3"/>
  <c r="BM183" i="3"/>
  <c r="AH183" i="3"/>
  <c r="AG183" i="3"/>
  <c r="AN183" i="3"/>
  <c r="BG180" i="3" l="1"/>
  <c r="BH180" i="3" s="1"/>
  <c r="BI180" i="3" s="1"/>
  <c r="AO184" i="3"/>
  <c r="BC181" i="3"/>
  <c r="BG181" i="3" s="1"/>
  <c r="BH181" i="3" s="1"/>
  <c r="BI181" i="3" s="1"/>
  <c r="BK179" i="3"/>
  <c r="BM184" i="3"/>
  <c r="BN184" i="3"/>
  <c r="AT183" i="3"/>
  <c r="AG184" i="3"/>
  <c r="AY182" i="3"/>
  <c r="AH184" i="3"/>
  <c r="BA182" i="3"/>
  <c r="BF182" i="3" s="1"/>
  <c r="Y184" i="3"/>
  <c r="Z184" i="3" s="1"/>
  <c r="AR185" i="3"/>
  <c r="B185" i="3"/>
  <c r="AQ185" i="3"/>
  <c r="A186" i="3"/>
  <c r="C185" i="3"/>
  <c r="D185" i="3"/>
  <c r="AK185" i="3"/>
  <c r="AM185" i="3"/>
  <c r="Q185" i="3"/>
  <c r="AD185" i="3"/>
  <c r="P185" i="3"/>
  <c r="T185" i="3"/>
  <c r="O185" i="3"/>
  <c r="M185" i="3"/>
  <c r="AE185" i="3"/>
  <c r="AF185" i="3"/>
  <c r="U185" i="3"/>
  <c r="V185" i="3"/>
  <c r="G185" i="3"/>
  <c r="H185" i="3" s="1"/>
  <c r="R185" i="3"/>
  <c r="F185" i="3"/>
  <c r="BM185" i="3" s="1"/>
  <c r="S185" i="3"/>
  <c r="BD181" i="3"/>
  <c r="AW183" i="3"/>
  <c r="X184" i="3"/>
  <c r="AN184" i="3"/>
  <c r="AV182" i="3"/>
  <c r="AU183" i="3"/>
  <c r="AX183" i="3"/>
  <c r="BB181" i="3"/>
  <c r="BQ181" i="3"/>
  <c r="BF181" i="3"/>
  <c r="BJ180" i="3" s="1"/>
  <c r="BK180" i="3" l="1"/>
  <c r="BC182" i="3"/>
  <c r="BD182" i="3" s="1"/>
  <c r="AT184" i="3"/>
  <c r="BN185" i="3"/>
  <c r="AW184" i="3"/>
  <c r="AU184" i="3"/>
  <c r="AO185" i="3"/>
  <c r="AX184" i="3"/>
  <c r="AG185" i="3"/>
  <c r="BB182" i="3"/>
  <c r="BQ182" i="3"/>
  <c r="BA183" i="3"/>
  <c r="BQ183" i="3" s="1"/>
  <c r="Y185" i="3"/>
  <c r="Z185" i="3" s="1"/>
  <c r="AR186" i="3"/>
  <c r="B186" i="3"/>
  <c r="AQ186" i="3"/>
  <c r="A187" i="3"/>
  <c r="AM186" i="3"/>
  <c r="S186" i="3"/>
  <c r="AK186" i="3"/>
  <c r="T186" i="3"/>
  <c r="Q186" i="3"/>
  <c r="R186" i="3"/>
  <c r="AD186" i="3"/>
  <c r="P186" i="3"/>
  <c r="O186" i="3"/>
  <c r="AE186" i="3"/>
  <c r="U186" i="3"/>
  <c r="AF186" i="3"/>
  <c r="M186" i="3"/>
  <c r="V186" i="3"/>
  <c r="D186" i="3"/>
  <c r="G186" i="3"/>
  <c r="H186" i="3" s="1"/>
  <c r="C186" i="3"/>
  <c r="F186" i="3"/>
  <c r="AY183" i="3"/>
  <c r="X185" i="3"/>
  <c r="AH185" i="3"/>
  <c r="AN185" i="3"/>
  <c r="BJ181" i="3"/>
  <c r="BK181" i="3" s="1"/>
  <c r="AV183" i="3"/>
  <c r="AO186" i="3" l="1"/>
  <c r="BG182" i="3"/>
  <c r="BH182" i="3" s="1"/>
  <c r="BI182" i="3" s="1"/>
  <c r="AV184" i="3"/>
  <c r="BA184" i="3"/>
  <c r="BQ184" i="3" s="1"/>
  <c r="AY184" i="3"/>
  <c r="AT185" i="3"/>
  <c r="AW185" i="3"/>
  <c r="BB183" i="3"/>
  <c r="BF183" i="3"/>
  <c r="BJ182" i="3" s="1"/>
  <c r="X186" i="3"/>
  <c r="AU185" i="3"/>
  <c r="AX185" i="3"/>
  <c r="AH186" i="3"/>
  <c r="AG186" i="3"/>
  <c r="AQ187" i="3"/>
  <c r="B187" i="3"/>
  <c r="A188" i="3"/>
  <c r="AR187" i="3"/>
  <c r="D187" i="3"/>
  <c r="AK187" i="3"/>
  <c r="AM187" i="3"/>
  <c r="R187" i="3"/>
  <c r="Q187" i="3"/>
  <c r="AD187" i="3"/>
  <c r="P187" i="3"/>
  <c r="O187" i="3"/>
  <c r="M187" i="3"/>
  <c r="V187" i="3"/>
  <c r="U187" i="3"/>
  <c r="AE187" i="3"/>
  <c r="AF187" i="3"/>
  <c r="C187" i="3"/>
  <c r="G187" i="3"/>
  <c r="H187" i="3" s="1"/>
  <c r="F187" i="3"/>
  <c r="T187" i="3"/>
  <c r="S187" i="3"/>
  <c r="BC183" i="3"/>
  <c r="BM186" i="3"/>
  <c r="BN186" i="3"/>
  <c r="Y186" i="3"/>
  <c r="Z186" i="3" s="1"/>
  <c r="AN186" i="3"/>
  <c r="BK182" i="3" l="1"/>
  <c r="BM187" i="3"/>
  <c r="BN187" i="3"/>
  <c r="BC184" i="3"/>
  <c r="BD184" i="3" s="1"/>
  <c r="BF184" i="3"/>
  <c r="BJ183" i="3" s="1"/>
  <c r="BB184" i="3"/>
  <c r="AN187" i="3"/>
  <c r="AV185" i="3"/>
  <c r="AY185" i="3"/>
  <c r="AU186" i="3"/>
  <c r="AT186" i="3"/>
  <c r="BD183" i="3"/>
  <c r="BG183" i="3"/>
  <c r="BH183" i="3" s="1"/>
  <c r="BI183" i="3" s="1"/>
  <c r="X187" i="3"/>
  <c r="AG187" i="3"/>
  <c r="AH187" i="3"/>
  <c r="AO187" i="3"/>
  <c r="AW186" i="3"/>
  <c r="BA185" i="3"/>
  <c r="Y187" i="3"/>
  <c r="Z187" i="3" s="1"/>
  <c r="A189" i="3"/>
  <c r="B188" i="3"/>
  <c r="AR188" i="3"/>
  <c r="AQ188" i="3"/>
  <c r="D188" i="3"/>
  <c r="AK188" i="3"/>
  <c r="T188" i="3"/>
  <c r="Q188" i="3"/>
  <c r="AM188" i="3"/>
  <c r="S188" i="3"/>
  <c r="AD188" i="3"/>
  <c r="O188" i="3"/>
  <c r="P188" i="3"/>
  <c r="AE188" i="3"/>
  <c r="AF188" i="3"/>
  <c r="V188" i="3"/>
  <c r="U188" i="3"/>
  <c r="M188" i="3"/>
  <c r="C188" i="3"/>
  <c r="F188" i="3"/>
  <c r="R188" i="3"/>
  <c r="G188" i="3"/>
  <c r="H188" i="3" s="1"/>
  <c r="AX186" i="3"/>
  <c r="BG184" i="3" l="1"/>
  <c r="BH184" i="3" s="1"/>
  <c r="BI184" i="3" s="1"/>
  <c r="BK183" i="3"/>
  <c r="AN188" i="3"/>
  <c r="BC185" i="3"/>
  <c r="BD185" i="3" s="1"/>
  <c r="AV186" i="3"/>
  <c r="AU187" i="3"/>
  <c r="AT187" i="3"/>
  <c r="X188" i="3"/>
  <c r="AR189" i="3"/>
  <c r="B189" i="3"/>
  <c r="AQ189" i="3"/>
  <c r="A190" i="3"/>
  <c r="Q189" i="3"/>
  <c r="D189" i="3"/>
  <c r="AK189" i="3"/>
  <c r="AM189" i="3"/>
  <c r="R189" i="3"/>
  <c r="AD189" i="3"/>
  <c r="P189" i="3"/>
  <c r="M189" i="3"/>
  <c r="V189" i="3"/>
  <c r="O189" i="3"/>
  <c r="AE189" i="3"/>
  <c r="AF189" i="3"/>
  <c r="U189" i="3"/>
  <c r="F189" i="3"/>
  <c r="C189" i="3"/>
  <c r="G189" i="3"/>
  <c r="H189" i="3" s="1"/>
  <c r="T189" i="3"/>
  <c r="S189" i="3"/>
  <c r="BQ185" i="3"/>
  <c r="BB185" i="3"/>
  <c r="BF185" i="3"/>
  <c r="BJ184" i="3" s="1"/>
  <c r="BK184" i="3" s="1"/>
  <c r="AH188" i="3"/>
  <c r="BN188" i="3"/>
  <c r="BM188" i="3"/>
  <c r="AG188" i="3"/>
  <c r="AO188" i="3"/>
  <c r="AX187" i="3"/>
  <c r="Y188" i="3"/>
  <c r="Z188" i="3" s="1"/>
  <c r="AY186" i="3"/>
  <c r="AW187" i="3"/>
  <c r="BA186" i="3"/>
  <c r="BN189" i="3" l="1"/>
  <c r="BG185" i="3"/>
  <c r="BH185" i="3" s="1"/>
  <c r="BI185" i="3" s="1"/>
  <c r="BC186" i="3"/>
  <c r="BD186" i="3" s="1"/>
  <c r="AO189" i="3"/>
  <c r="AV187" i="3"/>
  <c r="AU188" i="3"/>
  <c r="AW188" i="3"/>
  <c r="AG189" i="3"/>
  <c r="AT188" i="3"/>
  <c r="X189" i="3"/>
  <c r="BA187" i="3"/>
  <c r="BF187" i="3" s="1"/>
  <c r="BQ186" i="3"/>
  <c r="BB186" i="3"/>
  <c r="BF186" i="3"/>
  <c r="AY187" i="3"/>
  <c r="Y189" i="3"/>
  <c r="Z189" i="3" s="1"/>
  <c r="AR190" i="3"/>
  <c r="B190" i="3"/>
  <c r="AQ190" i="3"/>
  <c r="A191" i="3"/>
  <c r="D190" i="3"/>
  <c r="C190" i="3"/>
  <c r="AM190" i="3"/>
  <c r="S190" i="3"/>
  <c r="R190" i="3"/>
  <c r="AK190" i="3"/>
  <c r="Q190" i="3"/>
  <c r="P190" i="3"/>
  <c r="AD190" i="3"/>
  <c r="O190" i="3"/>
  <c r="AE190" i="3"/>
  <c r="M190" i="3"/>
  <c r="AF190" i="3"/>
  <c r="U190" i="3"/>
  <c r="V190" i="3"/>
  <c r="G190" i="3"/>
  <c r="H190" i="3" s="1"/>
  <c r="F190" i="3"/>
  <c r="T190" i="3"/>
  <c r="AX188" i="3"/>
  <c r="BM189" i="3"/>
  <c r="AH189" i="3"/>
  <c r="AN189" i="3"/>
  <c r="BC187" i="3" l="1"/>
  <c r="BD187" i="3" s="1"/>
  <c r="BG186" i="3"/>
  <c r="BH186" i="3" s="1"/>
  <c r="BI186" i="3" s="1"/>
  <c r="BN190" i="3"/>
  <c r="AV188" i="3"/>
  <c r="BA188" i="3"/>
  <c r="BQ188" i="3" s="1"/>
  <c r="BB187" i="3"/>
  <c r="AO190" i="3"/>
  <c r="BQ187" i="3"/>
  <c r="AX189" i="3"/>
  <c r="AY188" i="3"/>
  <c r="BM190" i="3"/>
  <c r="AG190" i="3"/>
  <c r="AH190" i="3"/>
  <c r="AN190" i="3"/>
  <c r="AU189" i="3"/>
  <c r="AQ191" i="3"/>
  <c r="B191" i="3"/>
  <c r="A192" i="3"/>
  <c r="AR191" i="3"/>
  <c r="AM191" i="3"/>
  <c r="Q191" i="3"/>
  <c r="C191" i="3"/>
  <c r="AK191" i="3"/>
  <c r="AD191" i="3"/>
  <c r="O191" i="3"/>
  <c r="S191" i="3"/>
  <c r="P191" i="3"/>
  <c r="AE191" i="3"/>
  <c r="AF191" i="3"/>
  <c r="V191" i="3"/>
  <c r="M191" i="3"/>
  <c r="U191" i="3"/>
  <c r="F191" i="3"/>
  <c r="R191" i="3"/>
  <c r="D191" i="3"/>
  <c r="G191" i="3"/>
  <c r="H191" i="3" s="1"/>
  <c r="T191" i="3"/>
  <c r="BJ186" i="3"/>
  <c r="BK186" i="3" s="1"/>
  <c r="BJ185" i="3"/>
  <c r="BK185" i="3" s="1"/>
  <c r="Y190" i="3"/>
  <c r="Z190" i="3" s="1"/>
  <c r="X190" i="3"/>
  <c r="AT189" i="3"/>
  <c r="AW189" i="3"/>
  <c r="BG187" i="3" l="1"/>
  <c r="BH187" i="3" s="1"/>
  <c r="BI187" i="3" s="1"/>
  <c r="AO191" i="3"/>
  <c r="BM191" i="3"/>
  <c r="BB188" i="3"/>
  <c r="BF188" i="3"/>
  <c r="BJ187" i="3" s="1"/>
  <c r="BK187" i="3" s="1"/>
  <c r="BC188" i="3"/>
  <c r="BG188" i="3" s="1"/>
  <c r="BH188" i="3" s="1"/>
  <c r="BI188" i="3" s="1"/>
  <c r="AY189" i="3"/>
  <c r="AT190" i="3"/>
  <c r="AU190" i="3"/>
  <c r="Y191" i="3"/>
  <c r="Z191" i="3" s="1"/>
  <c r="A193" i="3"/>
  <c r="B192" i="3"/>
  <c r="AR192" i="3"/>
  <c r="AQ192" i="3"/>
  <c r="D192" i="3"/>
  <c r="C192" i="3"/>
  <c r="AM192" i="3"/>
  <c r="AK192" i="3"/>
  <c r="R192" i="3"/>
  <c r="AD192" i="3"/>
  <c r="Q192" i="3"/>
  <c r="P192" i="3"/>
  <c r="O192" i="3"/>
  <c r="V192" i="3"/>
  <c r="AE192" i="3"/>
  <c r="M192" i="3"/>
  <c r="AF192" i="3"/>
  <c r="U192" i="3"/>
  <c r="G192" i="3"/>
  <c r="H192" i="3" s="1"/>
  <c r="F192" i="3"/>
  <c r="S192" i="3"/>
  <c r="T192" i="3"/>
  <c r="BN191" i="3"/>
  <c r="AG191" i="3"/>
  <c r="AH191" i="3"/>
  <c r="X191" i="3"/>
  <c r="AN191" i="3"/>
  <c r="AX190" i="3"/>
  <c r="BA189" i="3"/>
  <c r="AV189" i="3"/>
  <c r="AW190" i="3"/>
  <c r="BM192" i="3" l="1"/>
  <c r="BN192" i="3"/>
  <c r="BC189" i="3"/>
  <c r="BG189" i="3" s="1"/>
  <c r="BH189" i="3" s="1"/>
  <c r="BI189" i="3" s="1"/>
  <c r="BD188" i="3"/>
  <c r="AV190" i="3"/>
  <c r="AW191" i="3"/>
  <c r="AO192" i="3"/>
  <c r="AH192" i="3"/>
  <c r="AY190" i="3"/>
  <c r="Y192" i="3"/>
  <c r="Z192" i="3" s="1"/>
  <c r="AR193" i="3"/>
  <c r="B193" i="3"/>
  <c r="AQ193" i="3"/>
  <c r="A194" i="3"/>
  <c r="AK193" i="3"/>
  <c r="T193" i="3"/>
  <c r="Q193" i="3"/>
  <c r="AM193" i="3"/>
  <c r="C193" i="3"/>
  <c r="S193" i="3"/>
  <c r="R193" i="3"/>
  <c r="AD193" i="3"/>
  <c r="P193" i="3"/>
  <c r="M193" i="3"/>
  <c r="O193" i="3"/>
  <c r="AF193" i="3"/>
  <c r="AE193" i="3"/>
  <c r="V193" i="3"/>
  <c r="U193" i="3"/>
  <c r="D193" i="3"/>
  <c r="F193" i="3"/>
  <c r="BM193" i="3" s="1"/>
  <c r="G193" i="3"/>
  <c r="H193" i="3" s="1"/>
  <c r="AT191" i="3"/>
  <c r="AX191" i="3"/>
  <c r="X192" i="3"/>
  <c r="AG192" i="3"/>
  <c r="AN192" i="3"/>
  <c r="BA190" i="3"/>
  <c r="BB189" i="3"/>
  <c r="BQ189" i="3"/>
  <c r="BF189" i="3"/>
  <c r="BJ188" i="3" s="1"/>
  <c r="BK188" i="3" s="1"/>
  <c r="AU191" i="3"/>
  <c r="BD189" i="3" l="1"/>
  <c r="BN193" i="3"/>
  <c r="AT192" i="3"/>
  <c r="AY191" i="3"/>
  <c r="BC190" i="3"/>
  <c r="BD190" i="3" s="1"/>
  <c r="AN193" i="3"/>
  <c r="AX192" i="3"/>
  <c r="AU192" i="3"/>
  <c r="BA191" i="3"/>
  <c r="AV191" i="3"/>
  <c r="Y193" i="3"/>
  <c r="Z193" i="3" s="1"/>
  <c r="AR194" i="3"/>
  <c r="B194" i="3"/>
  <c r="AQ194" i="3"/>
  <c r="A195" i="3"/>
  <c r="C194" i="3"/>
  <c r="AK194" i="3"/>
  <c r="S194" i="3"/>
  <c r="AM194" i="3"/>
  <c r="R194" i="3"/>
  <c r="Q194" i="3"/>
  <c r="AD194" i="3"/>
  <c r="P194" i="3"/>
  <c r="AE194" i="3"/>
  <c r="V194" i="3"/>
  <c r="O194" i="3"/>
  <c r="M194" i="3"/>
  <c r="AF194" i="3"/>
  <c r="U194" i="3"/>
  <c r="G194" i="3"/>
  <c r="H194" i="3" s="1"/>
  <c r="F194" i="3"/>
  <c r="D194" i="3"/>
  <c r="T194" i="3"/>
  <c r="BB190" i="3"/>
  <c r="BQ190" i="3"/>
  <c r="BF190" i="3"/>
  <c r="BJ189" i="3" s="1"/>
  <c r="BK189" i="3" s="1"/>
  <c r="AH193" i="3"/>
  <c r="AW192" i="3"/>
  <c r="AG193" i="3"/>
  <c r="X193" i="3"/>
  <c r="AO193" i="3"/>
  <c r="AN194" i="3" l="1"/>
  <c r="BC191" i="3"/>
  <c r="BG191" i="3" s="1"/>
  <c r="BH191" i="3" s="1"/>
  <c r="BI191" i="3" s="1"/>
  <c r="AY192" i="3"/>
  <c r="BG190" i="3"/>
  <c r="BH190" i="3" s="1"/>
  <c r="BI190" i="3" s="1"/>
  <c r="AV192" i="3"/>
  <c r="BN194" i="3"/>
  <c r="AU193" i="3"/>
  <c r="AT193" i="3"/>
  <c r="BQ191" i="3"/>
  <c r="BF191" i="3"/>
  <c r="BJ190" i="3" s="1"/>
  <c r="BB191" i="3"/>
  <c r="AH194" i="3"/>
  <c r="X194" i="3"/>
  <c r="AQ195" i="3"/>
  <c r="B195" i="3"/>
  <c r="A196" i="3"/>
  <c r="AR195" i="3"/>
  <c r="AM195" i="3"/>
  <c r="D195" i="3"/>
  <c r="AK195" i="3"/>
  <c r="R195" i="3"/>
  <c r="T195" i="3"/>
  <c r="P195" i="3"/>
  <c r="S195" i="3"/>
  <c r="Q195" i="3"/>
  <c r="AD195" i="3"/>
  <c r="AE195" i="3"/>
  <c r="O195" i="3"/>
  <c r="M195" i="3"/>
  <c r="AF195" i="3"/>
  <c r="V195" i="3"/>
  <c r="U195" i="3"/>
  <c r="G195" i="3"/>
  <c r="H195" i="3" s="1"/>
  <c r="C195" i="3"/>
  <c r="F195" i="3"/>
  <c r="AG194" i="3"/>
  <c r="AW193" i="3"/>
  <c r="AX193" i="3"/>
  <c r="BA192" i="3"/>
  <c r="Y194" i="3"/>
  <c r="Z194" i="3" s="1"/>
  <c r="BM194" i="3"/>
  <c r="AO194" i="3"/>
  <c r="BK190" i="3" l="1"/>
  <c r="BN195" i="3"/>
  <c r="BD191" i="3"/>
  <c r="BC192" i="3"/>
  <c r="BD192" i="3" s="1"/>
  <c r="AO195" i="3"/>
  <c r="AV193" i="3"/>
  <c r="BM195" i="3"/>
  <c r="AU194" i="3"/>
  <c r="AX194" i="3"/>
  <c r="AG195" i="3"/>
  <c r="AY193" i="3"/>
  <c r="BQ192" i="3"/>
  <c r="BF192" i="3"/>
  <c r="BJ191" i="3" s="1"/>
  <c r="BK191" i="3" s="1"/>
  <c r="BB192" i="3"/>
  <c r="Y195" i="3"/>
  <c r="Z195" i="3" s="1"/>
  <c r="AT194" i="3"/>
  <c r="AW194" i="3"/>
  <c r="A197" i="3"/>
  <c r="B196" i="3"/>
  <c r="AR196" i="3"/>
  <c r="AQ196" i="3"/>
  <c r="S196" i="3"/>
  <c r="AM196" i="3"/>
  <c r="AK196" i="3"/>
  <c r="T196" i="3"/>
  <c r="R196" i="3"/>
  <c r="AD196" i="3"/>
  <c r="Q196" i="3"/>
  <c r="P196" i="3"/>
  <c r="M196" i="3"/>
  <c r="V196" i="3"/>
  <c r="U196" i="3"/>
  <c r="O196" i="3"/>
  <c r="AF196" i="3"/>
  <c r="AE196" i="3"/>
  <c r="C196" i="3"/>
  <c r="D196" i="3"/>
  <c r="G196" i="3"/>
  <c r="H196" i="3" s="1"/>
  <c r="F196" i="3"/>
  <c r="BA193" i="3"/>
  <c r="X195" i="3"/>
  <c r="AH195" i="3"/>
  <c r="AN195" i="3"/>
  <c r="BG192" i="3" l="1"/>
  <c r="BH192" i="3" s="1"/>
  <c r="BI192" i="3" s="1"/>
  <c r="AG196" i="3"/>
  <c r="BC193" i="3"/>
  <c r="BD193" i="3" s="1"/>
  <c r="BM196" i="3"/>
  <c r="AY194" i="3"/>
  <c r="AN196" i="3"/>
  <c r="Y196" i="3"/>
  <c r="Z196" i="3" s="1"/>
  <c r="AH196" i="3"/>
  <c r="AU195" i="3"/>
  <c r="AX195" i="3"/>
  <c r="BF193" i="3"/>
  <c r="BJ192" i="3" s="1"/>
  <c r="BB193" i="3"/>
  <c r="BQ193" i="3"/>
  <c r="AR197" i="3"/>
  <c r="B197" i="3"/>
  <c r="AQ197" i="3"/>
  <c r="A198" i="3"/>
  <c r="C197" i="3"/>
  <c r="D197" i="3"/>
  <c r="AM197" i="3"/>
  <c r="R197" i="3"/>
  <c r="AK197" i="3"/>
  <c r="Q197" i="3"/>
  <c r="AD197" i="3"/>
  <c r="P197" i="3"/>
  <c r="AE197" i="3"/>
  <c r="V197" i="3"/>
  <c r="O197" i="3"/>
  <c r="M197" i="3"/>
  <c r="AF197" i="3"/>
  <c r="U197" i="3"/>
  <c r="G197" i="3"/>
  <c r="H197" i="3" s="1"/>
  <c r="F197" i="3"/>
  <c r="T197" i="3"/>
  <c r="S197" i="3"/>
  <c r="AV194" i="3"/>
  <c r="BA194" i="3"/>
  <c r="AT195" i="3"/>
  <c r="AW195" i="3"/>
  <c r="BN196" i="3"/>
  <c r="X196" i="3"/>
  <c r="AO196" i="3"/>
  <c r="BK192" i="3" l="1"/>
  <c r="AO197" i="3"/>
  <c r="BC194" i="3"/>
  <c r="BD194" i="3" s="1"/>
  <c r="BG193" i="3"/>
  <c r="BH193" i="3" s="1"/>
  <c r="BI193" i="3" s="1"/>
  <c r="AU196" i="3"/>
  <c r="BN197" i="3"/>
  <c r="AT196" i="3"/>
  <c r="AW196" i="3"/>
  <c r="Y197" i="3"/>
  <c r="Z197" i="3" s="1"/>
  <c r="AV195" i="3"/>
  <c r="BA195" i="3"/>
  <c r="BB194" i="3"/>
  <c r="BQ194" i="3"/>
  <c r="BF194" i="3"/>
  <c r="BJ193" i="3" s="1"/>
  <c r="AR198" i="3"/>
  <c r="B198" i="3"/>
  <c r="AQ198" i="3"/>
  <c r="A199" i="3"/>
  <c r="C198" i="3"/>
  <c r="AK198" i="3"/>
  <c r="AM198" i="3"/>
  <c r="T198" i="3"/>
  <c r="Q198" i="3"/>
  <c r="R198" i="3"/>
  <c r="AD198" i="3"/>
  <c r="P198" i="3"/>
  <c r="O198" i="3"/>
  <c r="M198" i="3"/>
  <c r="AE198" i="3"/>
  <c r="AF198" i="3"/>
  <c r="V198" i="3"/>
  <c r="U198" i="3"/>
  <c r="D198" i="3"/>
  <c r="G198" i="3"/>
  <c r="H198" i="3" s="1"/>
  <c r="F198" i="3"/>
  <c r="S198" i="3"/>
  <c r="AG197" i="3"/>
  <c r="AH197" i="3"/>
  <c r="AN197" i="3"/>
  <c r="AY195" i="3"/>
  <c r="X197" i="3"/>
  <c r="BM197" i="3"/>
  <c r="AX196" i="3"/>
  <c r="BK193" i="3" l="1"/>
  <c r="BM198" i="3"/>
  <c r="BG194" i="3"/>
  <c r="BH194" i="3" s="1"/>
  <c r="BI194" i="3" s="1"/>
  <c r="AV196" i="3"/>
  <c r="BN198" i="3"/>
  <c r="BA196" i="3"/>
  <c r="BF196" i="3" s="1"/>
  <c r="AX197" i="3"/>
  <c r="AH198" i="3"/>
  <c r="X198" i="3"/>
  <c r="Y198" i="3"/>
  <c r="Z198" i="3" s="1"/>
  <c r="BF195" i="3"/>
  <c r="BJ194" i="3" s="1"/>
  <c r="BK194" i="3" s="1"/>
  <c r="BB195" i="3"/>
  <c r="BQ195" i="3"/>
  <c r="AU197" i="3"/>
  <c r="AT197" i="3"/>
  <c r="AW197" i="3"/>
  <c r="AG198" i="3"/>
  <c r="AY196" i="3"/>
  <c r="AN198" i="3"/>
  <c r="AO198" i="3"/>
  <c r="AQ199" i="3"/>
  <c r="B199" i="3"/>
  <c r="A200" i="3"/>
  <c r="AR199" i="3"/>
  <c r="D199" i="3"/>
  <c r="AM199" i="3"/>
  <c r="C199" i="3"/>
  <c r="AK199" i="3"/>
  <c r="R199" i="3"/>
  <c r="P199" i="3"/>
  <c r="S199" i="3"/>
  <c r="AD199" i="3"/>
  <c r="O199" i="3"/>
  <c r="AF199" i="3"/>
  <c r="M199" i="3"/>
  <c r="AE199" i="3"/>
  <c r="V199" i="3"/>
  <c r="U199" i="3"/>
  <c r="Q199" i="3"/>
  <c r="G199" i="3"/>
  <c r="H199" i="3" s="1"/>
  <c r="F199" i="3"/>
  <c r="T199" i="3"/>
  <c r="BC195" i="3"/>
  <c r="BM199" i="3" l="1"/>
  <c r="BC196" i="3"/>
  <c r="BD196" i="3" s="1"/>
  <c r="AG199" i="3"/>
  <c r="AO199" i="3"/>
  <c r="BN199" i="3"/>
  <c r="AY197" i="3"/>
  <c r="BQ196" i="3"/>
  <c r="AU198" i="3"/>
  <c r="BB196" i="3"/>
  <c r="AT198" i="3"/>
  <c r="AX198" i="3"/>
  <c r="Y199" i="3"/>
  <c r="Z199" i="3" s="1"/>
  <c r="BD195" i="3"/>
  <c r="BG195" i="3"/>
  <c r="BH195" i="3" s="1"/>
  <c r="BI195" i="3" s="1"/>
  <c r="A201" i="3"/>
  <c r="B200" i="3"/>
  <c r="AR200" i="3"/>
  <c r="AQ200" i="3"/>
  <c r="AM200" i="3"/>
  <c r="S200" i="3"/>
  <c r="R200" i="3"/>
  <c r="AK200" i="3"/>
  <c r="Q200" i="3"/>
  <c r="P200" i="3"/>
  <c r="AD200" i="3"/>
  <c r="O200" i="3"/>
  <c r="M200" i="3"/>
  <c r="AE200" i="3"/>
  <c r="U200" i="3"/>
  <c r="AF200" i="3"/>
  <c r="V200" i="3"/>
  <c r="C200" i="3"/>
  <c r="D200" i="3"/>
  <c r="F200" i="3"/>
  <c r="G200" i="3"/>
  <c r="H200" i="3" s="1"/>
  <c r="T200" i="3"/>
  <c r="BA197" i="3"/>
  <c r="AV197" i="3"/>
  <c r="X199" i="3"/>
  <c r="AW198" i="3"/>
  <c r="AH199" i="3"/>
  <c r="AN199" i="3"/>
  <c r="BJ195" i="3"/>
  <c r="BC197" i="3" l="1"/>
  <c r="BM200" i="3"/>
  <c r="BG196" i="3"/>
  <c r="BH196" i="3" s="1"/>
  <c r="BI196" i="3" s="1"/>
  <c r="AU199" i="3"/>
  <c r="BK195" i="3"/>
  <c r="AV198" i="3"/>
  <c r="BN200" i="3"/>
  <c r="AO200" i="3"/>
  <c r="AY198" i="3"/>
  <c r="AG200" i="3"/>
  <c r="AW199" i="3"/>
  <c r="Y200" i="3"/>
  <c r="Z200" i="3" s="1"/>
  <c r="BQ197" i="3"/>
  <c r="BF197" i="3"/>
  <c r="BJ196" i="3" s="1"/>
  <c r="BB197" i="3"/>
  <c r="AR201" i="3"/>
  <c r="B201" i="3"/>
  <c r="AQ201" i="3"/>
  <c r="A202" i="3"/>
  <c r="D201" i="3"/>
  <c r="AM201" i="3"/>
  <c r="AK201" i="3"/>
  <c r="S201" i="3"/>
  <c r="Q201" i="3"/>
  <c r="AD201" i="3"/>
  <c r="R201" i="3"/>
  <c r="P201" i="3"/>
  <c r="O201" i="3"/>
  <c r="AE201" i="3"/>
  <c r="M201" i="3"/>
  <c r="V201" i="3"/>
  <c r="U201" i="3"/>
  <c r="AF201" i="3"/>
  <c r="C201" i="3"/>
  <c r="F201" i="3"/>
  <c r="G201" i="3"/>
  <c r="H201" i="3" s="1"/>
  <c r="BN201" i="3" s="1"/>
  <c r="T201" i="3"/>
  <c r="AX199" i="3"/>
  <c r="AT199" i="3"/>
  <c r="BA198" i="3"/>
  <c r="AH200" i="3"/>
  <c r="AN200" i="3"/>
  <c r="BD197" i="3"/>
  <c r="BG197" i="3"/>
  <c r="BH197" i="3" s="1"/>
  <c r="BI197" i="3" s="1"/>
  <c r="X200" i="3"/>
  <c r="BK196" i="3" l="1"/>
  <c r="AY199" i="3"/>
  <c r="BC198" i="3"/>
  <c r="BD198" i="3" s="1"/>
  <c r="AX200" i="3"/>
  <c r="BM201" i="3"/>
  <c r="AN201" i="3"/>
  <c r="AU200" i="3"/>
  <c r="Y201" i="3"/>
  <c r="Z201" i="3" s="1"/>
  <c r="BQ198" i="3"/>
  <c r="BF198" i="3"/>
  <c r="BJ197" i="3" s="1"/>
  <c r="BK197" i="3" s="1"/>
  <c r="BB198" i="3"/>
  <c r="AV199" i="3"/>
  <c r="BA199" i="3"/>
  <c r="AT200" i="3"/>
  <c r="AG201" i="3"/>
  <c r="AW200" i="3"/>
  <c r="X201" i="3"/>
  <c r="AO201" i="3"/>
  <c r="AR202" i="3"/>
  <c r="B202" i="3"/>
  <c r="AQ202" i="3"/>
  <c r="A203" i="3"/>
  <c r="AM202" i="3"/>
  <c r="R202" i="3"/>
  <c r="D202" i="3"/>
  <c r="AK202" i="3"/>
  <c r="AD202" i="3"/>
  <c r="Q202" i="3"/>
  <c r="P202" i="3"/>
  <c r="M202" i="3"/>
  <c r="AF202" i="3"/>
  <c r="AE202" i="3"/>
  <c r="V202" i="3"/>
  <c r="O202" i="3"/>
  <c r="U202" i="3"/>
  <c r="C202" i="3"/>
  <c r="G202" i="3"/>
  <c r="H202" i="3" s="1"/>
  <c r="BN202" i="3" s="1"/>
  <c r="F202" i="3"/>
  <c r="S202" i="3"/>
  <c r="T202" i="3"/>
  <c r="AH201" i="3"/>
  <c r="BM202" i="3" l="1"/>
  <c r="BC199" i="3"/>
  <c r="BD199" i="3" s="1"/>
  <c r="AV200" i="3"/>
  <c r="BG198" i="3"/>
  <c r="BH198" i="3" s="1"/>
  <c r="BI198" i="3" s="1"/>
  <c r="AU201" i="3"/>
  <c r="AY200" i="3"/>
  <c r="AN202" i="3"/>
  <c r="X202" i="3"/>
  <c r="AQ203" i="3"/>
  <c r="B203" i="3"/>
  <c r="A204" i="3"/>
  <c r="AR203" i="3"/>
  <c r="AK203" i="3"/>
  <c r="T203" i="3"/>
  <c r="S203" i="3"/>
  <c r="R203" i="3"/>
  <c r="AM203" i="3"/>
  <c r="Q203" i="3"/>
  <c r="O203" i="3"/>
  <c r="AD203" i="3"/>
  <c r="AE203" i="3"/>
  <c r="AF203" i="3"/>
  <c r="U203" i="3"/>
  <c r="M203" i="3"/>
  <c r="V203" i="3"/>
  <c r="G203" i="3"/>
  <c r="H203" i="3" s="1"/>
  <c r="D203" i="3"/>
  <c r="C203" i="3"/>
  <c r="F203" i="3"/>
  <c r="P203" i="3"/>
  <c r="BB199" i="3"/>
  <c r="BQ199" i="3"/>
  <c r="BF199" i="3"/>
  <c r="BJ198" i="3" s="1"/>
  <c r="AH202" i="3"/>
  <c r="AX201" i="3"/>
  <c r="Y202" i="3"/>
  <c r="Z202" i="3" s="1"/>
  <c r="AG202" i="3"/>
  <c r="AO202" i="3"/>
  <c r="AT201" i="3"/>
  <c r="AW201" i="3"/>
  <c r="BA200" i="3"/>
  <c r="BG199" i="3" l="1"/>
  <c r="BH199" i="3" s="1"/>
  <c r="BI199" i="3" s="1"/>
  <c r="BK198" i="3"/>
  <c r="BC200" i="3"/>
  <c r="BG200" i="3" s="1"/>
  <c r="BH200" i="3" s="1"/>
  <c r="BI200" i="3" s="1"/>
  <c r="AN203" i="3"/>
  <c r="BN203" i="3"/>
  <c r="AT202" i="3"/>
  <c r="AU202" i="3"/>
  <c r="AW202" i="3"/>
  <c r="Y203" i="3"/>
  <c r="Z203" i="3" s="1"/>
  <c r="X203" i="3"/>
  <c r="AY201" i="3"/>
  <c r="BB200" i="3"/>
  <c r="BF200" i="3"/>
  <c r="BJ199" i="3" s="1"/>
  <c r="BK199" i="3" s="1"/>
  <c r="BQ200" i="3"/>
  <c r="AV201" i="3"/>
  <c r="BA201" i="3"/>
  <c r="A205" i="3"/>
  <c r="B204" i="3"/>
  <c r="AR204" i="3"/>
  <c r="AQ204" i="3"/>
  <c r="C204" i="3"/>
  <c r="D204" i="3"/>
  <c r="AK204" i="3"/>
  <c r="AM204" i="3"/>
  <c r="S204" i="3"/>
  <c r="R204" i="3"/>
  <c r="AD204" i="3"/>
  <c r="O204" i="3"/>
  <c r="P204" i="3"/>
  <c r="M204" i="3"/>
  <c r="AF204" i="3"/>
  <c r="AE204" i="3"/>
  <c r="V204" i="3"/>
  <c r="U204" i="3"/>
  <c r="Q204" i="3"/>
  <c r="F204" i="3"/>
  <c r="G204" i="3"/>
  <c r="H204" i="3" s="1"/>
  <c r="T204" i="3"/>
  <c r="BM203" i="3"/>
  <c r="AG203" i="3"/>
  <c r="AO203" i="3"/>
  <c r="AX202" i="3"/>
  <c r="AH203" i="3"/>
  <c r="BD200" i="3" l="1"/>
  <c r="BM204" i="3"/>
  <c r="AN204" i="3"/>
  <c r="AV202" i="3"/>
  <c r="BN204" i="3"/>
  <c r="AY202" i="3"/>
  <c r="AG204" i="3"/>
  <c r="BC201" i="3"/>
  <c r="BG201" i="3" s="1"/>
  <c r="BH201" i="3" s="1"/>
  <c r="BI201" i="3" s="1"/>
  <c r="AX203" i="3"/>
  <c r="Y204" i="3"/>
  <c r="Z204" i="3" s="1"/>
  <c r="BB201" i="3"/>
  <c r="BF201" i="3"/>
  <c r="BJ200" i="3" s="1"/>
  <c r="BK200" i="3" s="1"/>
  <c r="BQ201" i="3"/>
  <c r="AW203" i="3"/>
  <c r="BA202" i="3"/>
  <c r="AR205" i="3"/>
  <c r="B205" i="3"/>
  <c r="AQ205" i="3"/>
  <c r="A206" i="3"/>
  <c r="D205" i="3"/>
  <c r="AK205" i="3"/>
  <c r="AM205" i="3"/>
  <c r="T205" i="3"/>
  <c r="Q205" i="3"/>
  <c r="R205" i="3"/>
  <c r="P205" i="3"/>
  <c r="AD205" i="3"/>
  <c r="O205" i="3"/>
  <c r="AE205" i="3"/>
  <c r="M205" i="3"/>
  <c r="U205" i="3"/>
  <c r="AF205" i="3"/>
  <c r="V205" i="3"/>
  <c r="F205" i="3"/>
  <c r="C205" i="3"/>
  <c r="G205" i="3"/>
  <c r="H205" i="3" s="1"/>
  <c r="BN205" i="3" s="1"/>
  <c r="S205" i="3"/>
  <c r="AU203" i="3"/>
  <c r="AT203" i="3"/>
  <c r="AH204" i="3"/>
  <c r="AO204" i="3"/>
  <c r="X204" i="3"/>
  <c r="BC202" i="3" l="1"/>
  <c r="BG202" i="3" s="1"/>
  <c r="BH202" i="3" s="1"/>
  <c r="BI202" i="3" s="1"/>
  <c r="AO205" i="3"/>
  <c r="BD201" i="3"/>
  <c r="AG205" i="3"/>
  <c r="AT204" i="3"/>
  <c r="AY203" i="3"/>
  <c r="X205" i="3"/>
  <c r="AV203" i="3"/>
  <c r="BA203" i="3"/>
  <c r="Y205" i="3"/>
  <c r="Z205" i="3" s="1"/>
  <c r="AH205" i="3"/>
  <c r="AX204" i="3"/>
  <c r="BM205" i="3"/>
  <c r="AN205" i="3"/>
  <c r="AU204" i="3"/>
  <c r="AW204" i="3"/>
  <c r="AR206" i="3"/>
  <c r="B206" i="3"/>
  <c r="AQ206" i="3"/>
  <c r="A207" i="3"/>
  <c r="D206" i="3"/>
  <c r="AM206" i="3"/>
  <c r="S206" i="3"/>
  <c r="C206" i="3"/>
  <c r="AK206" i="3"/>
  <c r="R206" i="3"/>
  <c r="AD206" i="3"/>
  <c r="T206" i="3"/>
  <c r="O206" i="3"/>
  <c r="P206" i="3"/>
  <c r="M206" i="3"/>
  <c r="AE206" i="3"/>
  <c r="AF206" i="3"/>
  <c r="V206" i="3"/>
  <c r="U206" i="3"/>
  <c r="G206" i="3"/>
  <c r="H206" i="3" s="1"/>
  <c r="F206" i="3"/>
  <c r="Q206" i="3"/>
  <c r="BF202" i="3"/>
  <c r="BB202" i="3"/>
  <c r="BQ202" i="3"/>
  <c r="BC203" i="3" l="1"/>
  <c r="BD203" i="3" s="1"/>
  <c r="BD202" i="3"/>
  <c r="BM206" i="3"/>
  <c r="AU205" i="3"/>
  <c r="BN206" i="3"/>
  <c r="AW205" i="3"/>
  <c r="AV204" i="3"/>
  <c r="AX205" i="3"/>
  <c r="AO206" i="3"/>
  <c r="AH206" i="3"/>
  <c r="BJ201" i="3"/>
  <c r="BK201" i="3" s="1"/>
  <c r="AQ207" i="3"/>
  <c r="B207" i="3"/>
  <c r="A208" i="3"/>
  <c r="AR207" i="3"/>
  <c r="AK207" i="3"/>
  <c r="T207" i="3"/>
  <c r="AM207" i="3"/>
  <c r="Q207" i="3"/>
  <c r="R207" i="3"/>
  <c r="AD207" i="3"/>
  <c r="P207" i="3"/>
  <c r="O207" i="3"/>
  <c r="M207" i="3"/>
  <c r="AE207" i="3"/>
  <c r="U207" i="3"/>
  <c r="AF207" i="3"/>
  <c r="V207" i="3"/>
  <c r="D207" i="3"/>
  <c r="C207" i="3"/>
  <c r="G207" i="3"/>
  <c r="H207" i="3" s="1"/>
  <c r="F207" i="3"/>
  <c r="S207" i="3"/>
  <c r="BA204" i="3"/>
  <c r="AY204" i="3"/>
  <c r="AG206" i="3"/>
  <c r="X206" i="3"/>
  <c r="AN206" i="3"/>
  <c r="AT205" i="3"/>
  <c r="Y206" i="3"/>
  <c r="Z206" i="3" s="1"/>
  <c r="BQ203" i="3"/>
  <c r="BF203" i="3"/>
  <c r="BJ202" i="3" s="1"/>
  <c r="BK202" i="3" s="1"/>
  <c r="BB203" i="3"/>
  <c r="BM207" i="3" l="1"/>
  <c r="BN207" i="3"/>
  <c r="BG203" i="3"/>
  <c r="BH203" i="3" s="1"/>
  <c r="BI203" i="3" s="1"/>
  <c r="BC204" i="3"/>
  <c r="BG204" i="3" s="1"/>
  <c r="BH204" i="3" s="1"/>
  <c r="BI204" i="3" s="1"/>
  <c r="AU206" i="3"/>
  <c r="AN207" i="3"/>
  <c r="AY205" i="3"/>
  <c r="AX206" i="3"/>
  <c r="AG207" i="3"/>
  <c r="AW206" i="3"/>
  <c r="X207" i="3"/>
  <c r="AV205" i="3"/>
  <c r="BA205" i="3"/>
  <c r="BF204" i="3"/>
  <c r="BJ203" i="3" s="1"/>
  <c r="BK203" i="3" s="1"/>
  <c r="BQ204" i="3"/>
  <c r="BB204" i="3"/>
  <c r="A209" i="3"/>
  <c r="B208" i="3"/>
  <c r="AR208" i="3"/>
  <c r="AQ208" i="3"/>
  <c r="AM208" i="3"/>
  <c r="T208" i="3"/>
  <c r="AK208" i="3"/>
  <c r="C208" i="3"/>
  <c r="Q208" i="3"/>
  <c r="R208" i="3"/>
  <c r="AD208" i="3"/>
  <c r="P208" i="3"/>
  <c r="S208" i="3"/>
  <c r="O208" i="3"/>
  <c r="M208" i="3"/>
  <c r="AE208" i="3"/>
  <c r="AF208" i="3"/>
  <c r="U208" i="3"/>
  <c r="V208" i="3"/>
  <c r="D208" i="3"/>
  <c r="G208" i="3"/>
  <c r="H208" i="3" s="1"/>
  <c r="F208" i="3"/>
  <c r="AH207" i="3"/>
  <c r="AT206" i="3"/>
  <c r="AO207" i="3"/>
  <c r="Y207" i="3"/>
  <c r="Z207" i="3" s="1"/>
  <c r="BD204" i="3" l="1"/>
  <c r="BM208" i="3"/>
  <c r="AU207" i="3"/>
  <c r="BC205" i="3"/>
  <c r="BD205" i="3" s="1"/>
  <c r="AY206" i="3"/>
  <c r="AO208" i="3"/>
  <c r="BN208" i="3"/>
  <c r="AT207" i="3"/>
  <c r="AW207" i="3"/>
  <c r="AR209" i="3"/>
  <c r="B209" i="3"/>
  <c r="AQ209" i="3"/>
  <c r="A210" i="3"/>
  <c r="D209" i="3"/>
  <c r="C209" i="3"/>
  <c r="R209" i="3"/>
  <c r="AK209" i="3"/>
  <c r="AM209" i="3"/>
  <c r="Q209" i="3"/>
  <c r="S209" i="3"/>
  <c r="AD209" i="3"/>
  <c r="P209" i="3"/>
  <c r="AF209" i="3"/>
  <c r="O209" i="3"/>
  <c r="AE209" i="3"/>
  <c r="M209" i="3"/>
  <c r="V209" i="3"/>
  <c r="U209" i="3"/>
  <c r="G209" i="3"/>
  <c r="H209" i="3" s="1"/>
  <c r="F209" i="3"/>
  <c r="T209" i="3"/>
  <c r="BA206" i="3"/>
  <c r="AV206" i="3"/>
  <c r="Y208" i="3"/>
  <c r="Z208" i="3" s="1"/>
  <c r="AN208" i="3"/>
  <c r="AG208" i="3"/>
  <c r="X208" i="3"/>
  <c r="BQ205" i="3"/>
  <c r="BF205" i="3"/>
  <c r="BJ204" i="3" s="1"/>
  <c r="BK204" i="3" s="1"/>
  <c r="BB205" i="3"/>
  <c r="AX207" i="3"/>
  <c r="AH208" i="3"/>
  <c r="AV207" i="3" l="1"/>
  <c r="BC206" i="3"/>
  <c r="BG206" i="3" s="1"/>
  <c r="BH206" i="3" s="1"/>
  <c r="BI206" i="3" s="1"/>
  <c r="BG205" i="3"/>
  <c r="BH205" i="3" s="1"/>
  <c r="BI205" i="3" s="1"/>
  <c r="AG209" i="3"/>
  <c r="AT208" i="3"/>
  <c r="AO209" i="3"/>
  <c r="BN209" i="3"/>
  <c r="BA207" i="3"/>
  <c r="BB207" i="3" s="1"/>
  <c r="BQ206" i="3"/>
  <c r="BB206" i="3"/>
  <c r="BF206" i="3"/>
  <c r="BJ205" i="3" s="1"/>
  <c r="BK205" i="3" s="1"/>
  <c r="AX208" i="3"/>
  <c r="AY207" i="3"/>
  <c r="AU208" i="3"/>
  <c r="AW208" i="3"/>
  <c r="BM209" i="3"/>
  <c r="AN209" i="3"/>
  <c r="BD206" i="3"/>
  <c r="AR210" i="3"/>
  <c r="B210" i="3"/>
  <c r="AQ210" i="3"/>
  <c r="A211" i="3"/>
  <c r="AK210" i="3"/>
  <c r="Q210" i="3"/>
  <c r="AM210" i="3"/>
  <c r="T210" i="3"/>
  <c r="AD210" i="3"/>
  <c r="P210" i="3"/>
  <c r="O210" i="3"/>
  <c r="U210" i="3"/>
  <c r="AE210" i="3"/>
  <c r="M210" i="3"/>
  <c r="AF210" i="3"/>
  <c r="V210" i="3"/>
  <c r="R210" i="3"/>
  <c r="C210" i="3"/>
  <c r="F210" i="3"/>
  <c r="D210" i="3"/>
  <c r="G210" i="3"/>
  <c r="H210" i="3" s="1"/>
  <c r="S210" i="3"/>
  <c r="Y209" i="3"/>
  <c r="Z209" i="3" s="1"/>
  <c r="AH209" i="3"/>
  <c r="X209" i="3"/>
  <c r="BC207" i="3" l="1"/>
  <c r="BG207" i="3" s="1"/>
  <c r="BH207" i="3" s="1"/>
  <c r="BI207" i="3" s="1"/>
  <c r="AN210" i="3"/>
  <c r="AV208" i="3"/>
  <c r="BN210" i="3"/>
  <c r="BM210" i="3"/>
  <c r="BQ207" i="3"/>
  <c r="BF207" i="3"/>
  <c r="BJ206" i="3" s="1"/>
  <c r="BK206" i="3" s="1"/>
  <c r="AX209" i="3"/>
  <c r="BA208" i="3"/>
  <c r="BQ208" i="3" s="1"/>
  <c r="AY208" i="3"/>
  <c r="AG210" i="3"/>
  <c r="AH210" i="3"/>
  <c r="AO210" i="3"/>
  <c r="AT209" i="3"/>
  <c r="Y210" i="3"/>
  <c r="Z210" i="3" s="1"/>
  <c r="AQ211" i="3"/>
  <c r="B211" i="3"/>
  <c r="A212" i="3"/>
  <c r="AR211" i="3"/>
  <c r="AK211" i="3"/>
  <c r="AM211" i="3"/>
  <c r="C211" i="3"/>
  <c r="R211" i="3"/>
  <c r="Q211" i="3"/>
  <c r="AD211" i="3"/>
  <c r="P211" i="3"/>
  <c r="M211" i="3"/>
  <c r="AF211" i="3"/>
  <c r="U211" i="3"/>
  <c r="O211" i="3"/>
  <c r="AE211" i="3"/>
  <c r="V211" i="3"/>
  <c r="D211" i="3"/>
  <c r="G211" i="3"/>
  <c r="H211" i="3" s="1"/>
  <c r="F211" i="3"/>
  <c r="S211" i="3"/>
  <c r="T211" i="3"/>
  <c r="X210" i="3"/>
  <c r="AW209" i="3"/>
  <c r="AU209" i="3"/>
  <c r="BD207" i="3" l="1"/>
  <c r="BB208" i="3"/>
  <c r="AY209" i="3"/>
  <c r="BC208" i="3"/>
  <c r="BN211" i="3"/>
  <c r="AO211" i="3"/>
  <c r="BM211" i="3"/>
  <c r="AG211" i="3"/>
  <c r="BF208" i="3"/>
  <c r="BJ207" i="3" s="1"/>
  <c r="BK207" i="3" s="1"/>
  <c r="Y211" i="3"/>
  <c r="Z211" i="3" s="1"/>
  <c r="A213" i="3"/>
  <c r="B212" i="3"/>
  <c r="AR212" i="3"/>
  <c r="AQ212" i="3"/>
  <c r="D212" i="3"/>
  <c r="AM212" i="3"/>
  <c r="Q212" i="3"/>
  <c r="R212" i="3"/>
  <c r="C212" i="3"/>
  <c r="AK212" i="3"/>
  <c r="P212" i="3"/>
  <c r="AD212" i="3"/>
  <c r="AF212" i="3"/>
  <c r="U212" i="3"/>
  <c r="O212" i="3"/>
  <c r="AE212" i="3"/>
  <c r="M212" i="3"/>
  <c r="V212" i="3"/>
  <c r="F212" i="3"/>
  <c r="G212" i="3"/>
  <c r="H212" i="3" s="1"/>
  <c r="S212" i="3"/>
  <c r="T212" i="3"/>
  <c r="BA209" i="3"/>
  <c r="AV209" i="3"/>
  <c r="X211" i="3"/>
  <c r="AW210" i="3"/>
  <c r="AU210" i="3"/>
  <c r="AX210" i="3"/>
  <c r="AH211" i="3"/>
  <c r="AN211" i="3"/>
  <c r="AT210" i="3"/>
  <c r="AO212" i="3" l="1"/>
  <c r="BM212" i="3"/>
  <c r="BC209" i="3"/>
  <c r="BG209" i="3" s="1"/>
  <c r="BH209" i="3" s="1"/>
  <c r="BI209" i="3" s="1"/>
  <c r="BG208" i="3"/>
  <c r="BH208" i="3" s="1"/>
  <c r="BI208" i="3" s="1"/>
  <c r="BD208" i="3"/>
  <c r="BN212" i="3"/>
  <c r="AG212" i="3"/>
  <c r="AX211" i="3"/>
  <c r="Y212" i="3"/>
  <c r="Z212" i="3" s="1"/>
  <c r="X212" i="3"/>
  <c r="AV210" i="3"/>
  <c r="BA210" i="3"/>
  <c r="BQ209" i="3"/>
  <c r="BF209" i="3"/>
  <c r="BJ208" i="3" s="1"/>
  <c r="BK208" i="3" s="1"/>
  <c r="BB209" i="3"/>
  <c r="AR213" i="3"/>
  <c r="B213" i="3"/>
  <c r="AQ213" i="3"/>
  <c r="A214" i="3"/>
  <c r="AK213" i="3"/>
  <c r="T213" i="3"/>
  <c r="AM213" i="3"/>
  <c r="S213" i="3"/>
  <c r="R213" i="3"/>
  <c r="AD213" i="3"/>
  <c r="P213" i="3"/>
  <c r="M213" i="3"/>
  <c r="AF213" i="3"/>
  <c r="U213" i="3"/>
  <c r="O213" i="3"/>
  <c r="AE213" i="3"/>
  <c r="V213" i="3"/>
  <c r="Q213" i="3"/>
  <c r="C213" i="3"/>
  <c r="D213" i="3"/>
  <c r="G213" i="3"/>
  <c r="H213" i="3" s="1"/>
  <c r="F213" i="3"/>
  <c r="AT211" i="3"/>
  <c r="AW211" i="3"/>
  <c r="AY210" i="3"/>
  <c r="AU211" i="3"/>
  <c r="AH212" i="3"/>
  <c r="AN212" i="3"/>
  <c r="BD209" i="3" l="1"/>
  <c r="AN213" i="3"/>
  <c r="AT212" i="3"/>
  <c r="BN213" i="3"/>
  <c r="BC210" i="3"/>
  <c r="BG210" i="3" s="1"/>
  <c r="BH210" i="3" s="1"/>
  <c r="BI210" i="3" s="1"/>
  <c r="AY211" i="3"/>
  <c r="AW212" i="3"/>
  <c r="AU212" i="3"/>
  <c r="X213" i="3"/>
  <c r="Y213" i="3"/>
  <c r="Z213" i="3" s="1"/>
  <c r="AR214" i="3"/>
  <c r="B214" i="3"/>
  <c r="AQ214" i="3"/>
  <c r="A215" i="3"/>
  <c r="D214" i="3"/>
  <c r="AM214" i="3"/>
  <c r="AK214" i="3"/>
  <c r="S214" i="3"/>
  <c r="Q214" i="3"/>
  <c r="R214" i="3"/>
  <c r="AD214" i="3"/>
  <c r="P214" i="3"/>
  <c r="O214" i="3"/>
  <c r="AE214" i="3"/>
  <c r="M214" i="3"/>
  <c r="AF214" i="3"/>
  <c r="V214" i="3"/>
  <c r="U214" i="3"/>
  <c r="F214" i="3"/>
  <c r="C214" i="3"/>
  <c r="G214" i="3"/>
  <c r="H214" i="3" s="1"/>
  <c r="BN214" i="3" s="1"/>
  <c r="T214" i="3"/>
  <c r="AX212" i="3"/>
  <c r="BM213" i="3"/>
  <c r="AG213" i="3"/>
  <c r="AH213" i="3"/>
  <c r="AV211" i="3"/>
  <c r="BA211" i="3"/>
  <c r="BB210" i="3"/>
  <c r="BF210" i="3"/>
  <c r="BJ209" i="3" s="1"/>
  <c r="BK209" i="3" s="1"/>
  <c r="BQ210" i="3"/>
  <c r="AO213" i="3"/>
  <c r="BD210" i="3" l="1"/>
  <c r="AY212" i="3"/>
  <c r="AO214" i="3"/>
  <c r="AV212" i="3"/>
  <c r="BM214" i="3"/>
  <c r="BC211" i="3"/>
  <c r="BG211" i="3" s="1"/>
  <c r="BH211" i="3" s="1"/>
  <c r="BI211" i="3" s="1"/>
  <c r="AT213" i="3"/>
  <c r="AH214" i="3"/>
  <c r="BA212" i="3"/>
  <c r="BB212" i="3" s="1"/>
  <c r="BB211" i="3"/>
  <c r="BF211" i="3"/>
  <c r="BJ210" i="3" s="1"/>
  <c r="BK210" i="3" s="1"/>
  <c r="BQ211" i="3"/>
  <c r="AQ215" i="3"/>
  <c r="B215" i="3"/>
  <c r="A216" i="3"/>
  <c r="AR215" i="3"/>
  <c r="C215" i="3"/>
  <c r="S215" i="3"/>
  <c r="AK215" i="3"/>
  <c r="AM215" i="3"/>
  <c r="T215" i="3"/>
  <c r="Q215" i="3"/>
  <c r="R215" i="3"/>
  <c r="AD215" i="3"/>
  <c r="P215" i="3"/>
  <c r="M215" i="3"/>
  <c r="AE215" i="3"/>
  <c r="O215" i="3"/>
  <c r="V215" i="3"/>
  <c r="AF215" i="3"/>
  <c r="U215" i="3"/>
  <c r="G215" i="3"/>
  <c r="H215" i="3" s="1"/>
  <c r="D215" i="3"/>
  <c r="F215" i="3"/>
  <c r="AX213" i="3"/>
  <c r="AU213" i="3"/>
  <c r="AW213" i="3"/>
  <c r="Y214" i="3"/>
  <c r="Z214" i="3" s="1"/>
  <c r="X214" i="3"/>
  <c r="AG214" i="3"/>
  <c r="AN214" i="3"/>
  <c r="BC212" i="3" l="1"/>
  <c r="BD212" i="3" s="1"/>
  <c r="BD211" i="3"/>
  <c r="BM215" i="3"/>
  <c r="AO215" i="3"/>
  <c r="BQ212" i="3"/>
  <c r="BF212" i="3"/>
  <c r="BJ211" i="3" s="1"/>
  <c r="BK211" i="3" s="1"/>
  <c r="AT214" i="3"/>
  <c r="AX214" i="3"/>
  <c r="AY213" i="3"/>
  <c r="AG215" i="3"/>
  <c r="BA213" i="3"/>
  <c r="BQ213" i="3" s="1"/>
  <c r="AW214" i="3"/>
  <c r="AU214" i="3"/>
  <c r="BN215" i="3"/>
  <c r="AH215" i="3"/>
  <c r="AN215" i="3"/>
  <c r="AV213" i="3"/>
  <c r="Y215" i="3"/>
  <c r="Z215" i="3" s="1"/>
  <c r="A217" i="3"/>
  <c r="B216" i="3"/>
  <c r="AR216" i="3"/>
  <c r="AQ216" i="3"/>
  <c r="AK216" i="3"/>
  <c r="Q216" i="3"/>
  <c r="AM216" i="3"/>
  <c r="T216" i="3"/>
  <c r="R216" i="3"/>
  <c r="AD216" i="3"/>
  <c r="P216" i="3"/>
  <c r="O216" i="3"/>
  <c r="M216" i="3"/>
  <c r="AE216" i="3"/>
  <c r="V216" i="3"/>
  <c r="AF216" i="3"/>
  <c r="U216" i="3"/>
  <c r="D216" i="3"/>
  <c r="F216" i="3"/>
  <c r="C216" i="3"/>
  <c r="G216" i="3"/>
  <c r="H216" i="3" s="1"/>
  <c r="S216" i="3"/>
  <c r="X215" i="3"/>
  <c r="BC213" i="3" l="1"/>
  <c r="BG213" i="3" s="1"/>
  <c r="BH213" i="3" s="1"/>
  <c r="BI213" i="3" s="1"/>
  <c r="BG212" i="3"/>
  <c r="BH212" i="3" s="1"/>
  <c r="BI212" i="3" s="1"/>
  <c r="AN216" i="3"/>
  <c r="AY214" i="3"/>
  <c r="AV214" i="3"/>
  <c r="AT215" i="3"/>
  <c r="AU215" i="3"/>
  <c r="AW215" i="3"/>
  <c r="AH216" i="3"/>
  <c r="BB213" i="3"/>
  <c r="BF213" i="3"/>
  <c r="BJ212" i="3" s="1"/>
  <c r="X216" i="3"/>
  <c r="Y216" i="3"/>
  <c r="Z216" i="3" s="1"/>
  <c r="BN216" i="3"/>
  <c r="AR217" i="3"/>
  <c r="B217" i="3"/>
  <c r="AQ217" i="3"/>
  <c r="A218" i="3"/>
  <c r="D217" i="3"/>
  <c r="AM217" i="3"/>
  <c r="AK217" i="3"/>
  <c r="T217" i="3"/>
  <c r="P217" i="3"/>
  <c r="Q217" i="3"/>
  <c r="AD217" i="3"/>
  <c r="O217" i="3"/>
  <c r="M217" i="3"/>
  <c r="AE217" i="3"/>
  <c r="AF217" i="3"/>
  <c r="V217" i="3"/>
  <c r="U217" i="3"/>
  <c r="R217" i="3"/>
  <c r="C217" i="3"/>
  <c r="G217" i="3"/>
  <c r="H217" i="3" s="1"/>
  <c r="F217" i="3"/>
  <c r="S217" i="3"/>
  <c r="BM216" i="3"/>
  <c r="AO216" i="3"/>
  <c r="BA214" i="3"/>
  <c r="AX215" i="3"/>
  <c r="AG216" i="3"/>
  <c r="BD213" i="3" l="1"/>
  <c r="BM217" i="3"/>
  <c r="BK212" i="3"/>
  <c r="BC214" i="3"/>
  <c r="BG214" i="3" s="1"/>
  <c r="BH214" i="3" s="1"/>
  <c r="BI214" i="3" s="1"/>
  <c r="AW216" i="3"/>
  <c r="BN217" i="3"/>
  <c r="AV215" i="3"/>
  <c r="BA215" i="3"/>
  <c r="BQ215" i="3" s="1"/>
  <c r="AN217" i="3"/>
  <c r="AG217" i="3"/>
  <c r="X217" i="3"/>
  <c r="BQ214" i="3"/>
  <c r="BB214" i="3"/>
  <c r="BF214" i="3"/>
  <c r="BJ213" i="3" s="1"/>
  <c r="BK213" i="3" s="1"/>
  <c r="Y217" i="3"/>
  <c r="Z217" i="3" s="1"/>
  <c r="AY215" i="3"/>
  <c r="AU216" i="3"/>
  <c r="AT216" i="3"/>
  <c r="AX216" i="3"/>
  <c r="AH217" i="3"/>
  <c r="AO217" i="3"/>
  <c r="AR218" i="3"/>
  <c r="B218" i="3"/>
  <c r="AQ218" i="3"/>
  <c r="A219" i="3"/>
  <c r="D218" i="3"/>
  <c r="C218" i="3"/>
  <c r="AM218" i="3"/>
  <c r="T218" i="3"/>
  <c r="AK218" i="3"/>
  <c r="R218" i="3"/>
  <c r="S218" i="3"/>
  <c r="Q218" i="3"/>
  <c r="P218" i="3"/>
  <c r="AD218" i="3"/>
  <c r="O218" i="3"/>
  <c r="M218" i="3"/>
  <c r="AF218" i="3"/>
  <c r="AE218" i="3"/>
  <c r="U218" i="3"/>
  <c r="V218" i="3"/>
  <c r="G218" i="3"/>
  <c r="H218" i="3" s="1"/>
  <c r="BN218" i="3" s="1"/>
  <c r="F218" i="3"/>
  <c r="BM218" i="3" s="1"/>
  <c r="BF215" i="3" l="1"/>
  <c r="BJ214" i="3" s="1"/>
  <c r="BK214" i="3" s="1"/>
  <c r="AO218" i="3"/>
  <c r="AT217" i="3"/>
  <c r="BD214" i="3"/>
  <c r="AY216" i="3"/>
  <c r="AW217" i="3"/>
  <c r="BC215" i="3"/>
  <c r="BD215" i="3" s="1"/>
  <c r="AU217" i="3"/>
  <c r="BB215" i="3"/>
  <c r="AG218" i="3"/>
  <c r="AX217" i="3"/>
  <c r="Y218" i="3"/>
  <c r="Z218" i="3" s="1"/>
  <c r="AH218" i="3"/>
  <c r="AN218" i="3"/>
  <c r="AQ219" i="3"/>
  <c r="B219" i="3"/>
  <c r="A220" i="3"/>
  <c r="AR219" i="3"/>
  <c r="AK219" i="3"/>
  <c r="AM219" i="3"/>
  <c r="R219" i="3"/>
  <c r="AD219" i="3"/>
  <c r="P219" i="3"/>
  <c r="S219" i="3"/>
  <c r="O219" i="3"/>
  <c r="M219" i="3"/>
  <c r="AE219" i="3"/>
  <c r="AF219" i="3"/>
  <c r="V219" i="3"/>
  <c r="U219" i="3"/>
  <c r="Q219" i="3"/>
  <c r="D219" i="3"/>
  <c r="F219" i="3"/>
  <c r="C219" i="3"/>
  <c r="G219" i="3"/>
  <c r="H219" i="3" s="1"/>
  <c r="T219" i="3"/>
  <c r="BA216" i="3"/>
  <c r="AV216" i="3"/>
  <c r="X218" i="3"/>
  <c r="BC216" i="3" l="1"/>
  <c r="BD216" i="3" s="1"/>
  <c r="AV217" i="3"/>
  <c r="AY217" i="3"/>
  <c r="BN219" i="3"/>
  <c r="BM219" i="3"/>
  <c r="BG215" i="3"/>
  <c r="BH215" i="3" s="1"/>
  <c r="BI215" i="3" s="1"/>
  <c r="BA217" i="3"/>
  <c r="BQ217" i="3" s="1"/>
  <c r="AO219" i="3"/>
  <c r="AX218" i="3"/>
  <c r="AG219" i="3"/>
  <c r="A221" i="3"/>
  <c r="B220" i="3"/>
  <c r="AR220" i="3"/>
  <c r="AQ220" i="3"/>
  <c r="AK220" i="3"/>
  <c r="AM220" i="3"/>
  <c r="D220" i="3"/>
  <c r="S220" i="3"/>
  <c r="T220" i="3"/>
  <c r="Q220" i="3"/>
  <c r="AD220" i="3"/>
  <c r="O220" i="3"/>
  <c r="P220" i="3"/>
  <c r="AE220" i="3"/>
  <c r="M220" i="3"/>
  <c r="V220" i="3"/>
  <c r="U220" i="3"/>
  <c r="AF220" i="3"/>
  <c r="R220" i="3"/>
  <c r="F220" i="3"/>
  <c r="C220" i="3"/>
  <c r="G220" i="3"/>
  <c r="H220" i="3" s="1"/>
  <c r="Y219" i="3"/>
  <c r="Z219" i="3" s="1"/>
  <c r="AU218" i="3"/>
  <c r="X219" i="3"/>
  <c r="AH219" i="3"/>
  <c r="AN219" i="3"/>
  <c r="AT218" i="3"/>
  <c r="AW218" i="3"/>
  <c r="BQ216" i="3"/>
  <c r="BF216" i="3"/>
  <c r="BJ215" i="3" s="1"/>
  <c r="BB216" i="3"/>
  <c r="BK215" i="3" l="1"/>
  <c r="BC217" i="3"/>
  <c r="BG217" i="3" s="1"/>
  <c r="BH217" i="3" s="1"/>
  <c r="BI217" i="3" s="1"/>
  <c r="AU219" i="3"/>
  <c r="BB217" i="3"/>
  <c r="BG216" i="3"/>
  <c r="BH216" i="3" s="1"/>
  <c r="BI216" i="3" s="1"/>
  <c r="BN220" i="3"/>
  <c r="BF217" i="3"/>
  <c r="BJ216" i="3" s="1"/>
  <c r="BK216" i="3" s="1"/>
  <c r="BM220" i="3"/>
  <c r="AN220" i="3"/>
  <c r="AT219" i="3"/>
  <c r="AH220" i="3"/>
  <c r="AY218" i="3"/>
  <c r="Y220" i="3"/>
  <c r="Z220" i="3" s="1"/>
  <c r="AR221" i="3"/>
  <c r="B221" i="3"/>
  <c r="AQ221" i="3"/>
  <c r="A222" i="3"/>
  <c r="AM221" i="3"/>
  <c r="D221" i="3"/>
  <c r="AK221" i="3"/>
  <c r="Q221" i="3"/>
  <c r="R221" i="3"/>
  <c r="AD221" i="3"/>
  <c r="P221" i="3"/>
  <c r="M221" i="3"/>
  <c r="O221" i="3"/>
  <c r="V221" i="3"/>
  <c r="AF221" i="3"/>
  <c r="AE221" i="3"/>
  <c r="U221" i="3"/>
  <c r="C221" i="3"/>
  <c r="G221" i="3"/>
  <c r="H221" i="3" s="1"/>
  <c r="F221" i="3"/>
  <c r="S221" i="3"/>
  <c r="T221" i="3"/>
  <c r="AX219" i="3"/>
  <c r="AW219" i="3"/>
  <c r="X220" i="3"/>
  <c r="AO220" i="3"/>
  <c r="AV218" i="3"/>
  <c r="BA218" i="3"/>
  <c r="AG220" i="3"/>
  <c r="AO221" i="3" l="1"/>
  <c r="BM221" i="3"/>
  <c r="AV219" i="3"/>
  <c r="BD217" i="3"/>
  <c r="BC218" i="3"/>
  <c r="BG218" i="3" s="1"/>
  <c r="BH218" i="3" s="1"/>
  <c r="BI218" i="3" s="1"/>
  <c r="BN221" i="3"/>
  <c r="AX220" i="3"/>
  <c r="AU220" i="3"/>
  <c r="X221" i="3"/>
  <c r="AY219" i="3"/>
  <c r="AN221" i="3"/>
  <c r="BF218" i="3"/>
  <c r="BJ217" i="3" s="1"/>
  <c r="BK217" i="3" s="1"/>
  <c r="BQ218" i="3"/>
  <c r="BB218" i="3"/>
  <c r="AR222" i="3"/>
  <c r="B222" i="3"/>
  <c r="AQ222" i="3"/>
  <c r="A223" i="3"/>
  <c r="C222" i="3"/>
  <c r="D222" i="3"/>
  <c r="R222" i="3"/>
  <c r="AK222" i="3"/>
  <c r="AM222" i="3"/>
  <c r="Q222" i="3"/>
  <c r="S222" i="3"/>
  <c r="P222" i="3"/>
  <c r="AD222" i="3"/>
  <c r="O222" i="3"/>
  <c r="M222" i="3"/>
  <c r="AE222" i="3"/>
  <c r="AF222" i="3"/>
  <c r="U222" i="3"/>
  <c r="V222" i="3"/>
  <c r="F222" i="3"/>
  <c r="G222" i="3"/>
  <c r="H222" i="3" s="1"/>
  <c r="T222" i="3"/>
  <c r="AW220" i="3"/>
  <c r="AT220" i="3"/>
  <c r="BA219" i="3"/>
  <c r="Y221" i="3"/>
  <c r="Z221" i="3" s="1"/>
  <c r="AG221" i="3"/>
  <c r="AH221" i="3"/>
  <c r="BD218" i="3" l="1"/>
  <c r="BC219" i="3"/>
  <c r="BD219" i="3" s="1"/>
  <c r="AY220" i="3"/>
  <c r="BM222" i="3"/>
  <c r="AX221" i="3"/>
  <c r="AG222" i="3"/>
  <c r="AO222" i="3"/>
  <c r="Y222" i="3"/>
  <c r="Z222" i="3" s="1"/>
  <c r="AV220" i="3"/>
  <c r="BA220" i="3"/>
  <c r="BQ219" i="3"/>
  <c r="BF219" i="3"/>
  <c r="BJ218" i="3" s="1"/>
  <c r="BK218" i="3" s="1"/>
  <c r="BB219" i="3"/>
  <c r="AW221" i="3"/>
  <c r="BN222" i="3"/>
  <c r="AH222" i="3"/>
  <c r="AN222" i="3"/>
  <c r="X222" i="3"/>
  <c r="AT221" i="3"/>
  <c r="AQ223" i="3"/>
  <c r="B223" i="3"/>
  <c r="A224" i="3"/>
  <c r="AR223" i="3"/>
  <c r="AM223" i="3"/>
  <c r="Q223" i="3"/>
  <c r="AK223" i="3"/>
  <c r="AD223" i="3"/>
  <c r="O223" i="3"/>
  <c r="M223" i="3"/>
  <c r="U223" i="3"/>
  <c r="V223" i="3"/>
  <c r="P223" i="3"/>
  <c r="AF223" i="3"/>
  <c r="AE223" i="3"/>
  <c r="R223" i="3"/>
  <c r="F223" i="3"/>
  <c r="C223" i="3"/>
  <c r="D223" i="3"/>
  <c r="G223" i="3"/>
  <c r="H223" i="3" s="1"/>
  <c r="S223" i="3"/>
  <c r="T223" i="3"/>
  <c r="AU221" i="3"/>
  <c r="AY221" i="3" l="1"/>
  <c r="BG219" i="3"/>
  <c r="BH219" i="3" s="1"/>
  <c r="BI219" i="3" s="1"/>
  <c r="BC220" i="3"/>
  <c r="BG220" i="3" s="1"/>
  <c r="BH220" i="3" s="1"/>
  <c r="BI220" i="3" s="1"/>
  <c r="AO223" i="3"/>
  <c r="BM223" i="3"/>
  <c r="AW222" i="3"/>
  <c r="AG223" i="3"/>
  <c r="AT222" i="3"/>
  <c r="AX222" i="3"/>
  <c r="X223" i="3"/>
  <c r="AV221" i="3"/>
  <c r="BA221" i="3"/>
  <c r="Y223" i="3"/>
  <c r="Z223" i="3" s="1"/>
  <c r="BN223" i="3"/>
  <c r="AH223" i="3"/>
  <c r="AU222" i="3"/>
  <c r="A225" i="3"/>
  <c r="B224" i="3"/>
  <c r="AR224" i="3"/>
  <c r="AQ224" i="3"/>
  <c r="C224" i="3"/>
  <c r="D224" i="3"/>
  <c r="AM224" i="3"/>
  <c r="AK224" i="3"/>
  <c r="S224" i="3"/>
  <c r="R224" i="3"/>
  <c r="AD224" i="3"/>
  <c r="Q224" i="3"/>
  <c r="P224" i="3"/>
  <c r="O224" i="3"/>
  <c r="AF224" i="3"/>
  <c r="U224" i="3"/>
  <c r="V224" i="3"/>
  <c r="M224" i="3"/>
  <c r="AE224" i="3"/>
  <c r="F224" i="3"/>
  <c r="G224" i="3"/>
  <c r="H224" i="3" s="1"/>
  <c r="T224" i="3"/>
  <c r="BB220" i="3"/>
  <c r="BQ220" i="3"/>
  <c r="BF220" i="3"/>
  <c r="AN223" i="3"/>
  <c r="BD220" i="3" l="1"/>
  <c r="BC221" i="3"/>
  <c r="BD221" i="3" s="1"/>
  <c r="AU223" i="3"/>
  <c r="AV222" i="3"/>
  <c r="AG224" i="3"/>
  <c r="BM224" i="3"/>
  <c r="BN224" i="3"/>
  <c r="AY222" i="3"/>
  <c r="AW223" i="3"/>
  <c r="AN224" i="3"/>
  <c r="AT223" i="3"/>
  <c r="BJ219" i="3"/>
  <c r="BK219" i="3" s="1"/>
  <c r="Y224" i="3"/>
  <c r="Z224" i="3" s="1"/>
  <c r="AO224" i="3"/>
  <c r="AX223" i="3"/>
  <c r="BA222" i="3"/>
  <c r="AR225" i="3"/>
  <c r="B225" i="3"/>
  <c r="AQ225" i="3"/>
  <c r="A226" i="3"/>
  <c r="D225" i="3"/>
  <c r="AK225" i="3"/>
  <c r="AM225" i="3"/>
  <c r="Q225" i="3"/>
  <c r="R225" i="3"/>
  <c r="AD225" i="3"/>
  <c r="T225" i="3"/>
  <c r="P225" i="3"/>
  <c r="O225" i="3"/>
  <c r="V225" i="3"/>
  <c r="M225" i="3"/>
  <c r="AF225" i="3"/>
  <c r="AE225" i="3"/>
  <c r="U225" i="3"/>
  <c r="F225" i="3"/>
  <c r="G225" i="3"/>
  <c r="H225" i="3" s="1"/>
  <c r="C225" i="3"/>
  <c r="S225" i="3"/>
  <c r="BB221" i="3"/>
  <c r="BQ221" i="3"/>
  <c r="BF221" i="3"/>
  <c r="BJ220" i="3" s="1"/>
  <c r="BK220" i="3" s="1"/>
  <c r="AH224" i="3"/>
  <c r="X224" i="3"/>
  <c r="AV223" i="3" l="1"/>
  <c r="BG221" i="3"/>
  <c r="BH221" i="3" s="1"/>
  <c r="BI221" i="3" s="1"/>
  <c r="BC222" i="3"/>
  <c r="BD222" i="3" s="1"/>
  <c r="AX224" i="3"/>
  <c r="BN225" i="3"/>
  <c r="BM225" i="3"/>
  <c r="AN225" i="3"/>
  <c r="AY223" i="3"/>
  <c r="AG225" i="3"/>
  <c r="BA223" i="3"/>
  <c r="BQ223" i="3" s="1"/>
  <c r="AR226" i="3"/>
  <c r="B226" i="3"/>
  <c r="AQ226" i="3"/>
  <c r="A227" i="3"/>
  <c r="S226" i="3"/>
  <c r="R226" i="3"/>
  <c r="AK226" i="3"/>
  <c r="AM226" i="3"/>
  <c r="Q226" i="3"/>
  <c r="AD226" i="3"/>
  <c r="P226" i="3"/>
  <c r="O226" i="3"/>
  <c r="M226" i="3"/>
  <c r="AF226" i="3"/>
  <c r="V226" i="3"/>
  <c r="U226" i="3"/>
  <c r="AE226" i="3"/>
  <c r="C226" i="3"/>
  <c r="D226" i="3"/>
  <c r="F226" i="3"/>
  <c r="G226" i="3"/>
  <c r="H226" i="3" s="1"/>
  <c r="T226" i="3"/>
  <c r="BF222" i="3"/>
  <c r="BJ221" i="3" s="1"/>
  <c r="BK221" i="3" s="1"/>
  <c r="BB222" i="3"/>
  <c r="BQ222" i="3"/>
  <c r="AT224" i="3"/>
  <c r="AW224" i="3"/>
  <c r="X225" i="3"/>
  <c r="AH225" i="3"/>
  <c r="AO225" i="3"/>
  <c r="AU224" i="3"/>
  <c r="Y225" i="3"/>
  <c r="Z225" i="3" s="1"/>
  <c r="BC223" i="3" l="1"/>
  <c r="BG223" i="3" s="1"/>
  <c r="BH223" i="3" s="1"/>
  <c r="BI223" i="3" s="1"/>
  <c r="BN226" i="3"/>
  <c r="BG222" i="3"/>
  <c r="BH222" i="3" s="1"/>
  <c r="BI222" i="3" s="1"/>
  <c r="AY224" i="3"/>
  <c r="BM226" i="3"/>
  <c r="AO226" i="3"/>
  <c r="BB223" i="3"/>
  <c r="BF223" i="3"/>
  <c r="BJ222" i="3" s="1"/>
  <c r="BK222" i="3" s="1"/>
  <c r="AX225" i="3"/>
  <c r="AU225" i="3"/>
  <c r="AV224" i="3"/>
  <c r="AG226" i="3"/>
  <c r="AQ227" i="3"/>
  <c r="B227" i="3"/>
  <c r="A228" i="3"/>
  <c r="AR227" i="3"/>
  <c r="D227" i="3"/>
  <c r="C227" i="3"/>
  <c r="AM227" i="3"/>
  <c r="AK227" i="3"/>
  <c r="T227" i="3"/>
  <c r="S227" i="3"/>
  <c r="R227" i="3"/>
  <c r="Q227" i="3"/>
  <c r="AD227" i="3"/>
  <c r="P227" i="3"/>
  <c r="O227" i="3"/>
  <c r="AE227" i="3"/>
  <c r="M227" i="3"/>
  <c r="V227" i="3"/>
  <c r="U227" i="3"/>
  <c r="AF227" i="3"/>
  <c r="G227" i="3"/>
  <c r="H227" i="3" s="1"/>
  <c r="F227" i="3"/>
  <c r="BM227" i="3" s="1"/>
  <c r="AT225" i="3"/>
  <c r="AW225" i="3"/>
  <c r="BA224" i="3"/>
  <c r="Y226" i="3"/>
  <c r="Z226" i="3" s="1"/>
  <c r="X226" i="3"/>
  <c r="AH226" i="3"/>
  <c r="AN226" i="3"/>
  <c r="BD223" i="3" l="1"/>
  <c r="BN227" i="3"/>
  <c r="BC224" i="3"/>
  <c r="BD224" i="3" s="1"/>
  <c r="AX226" i="3"/>
  <c r="AO227" i="3"/>
  <c r="AY225" i="3"/>
  <c r="AV225" i="3"/>
  <c r="AG227" i="3"/>
  <c r="AT226" i="3"/>
  <c r="BQ224" i="3"/>
  <c r="BF224" i="3"/>
  <c r="BJ223" i="3" s="1"/>
  <c r="BK223" i="3" s="1"/>
  <c r="BB224" i="3"/>
  <c r="Y227" i="3"/>
  <c r="Z227" i="3" s="1"/>
  <c r="A229" i="3"/>
  <c r="B228" i="3"/>
  <c r="AR228" i="3"/>
  <c r="AQ228" i="3"/>
  <c r="AK228" i="3"/>
  <c r="T228" i="3"/>
  <c r="AM228" i="3"/>
  <c r="R228" i="3"/>
  <c r="Q228" i="3"/>
  <c r="AD228" i="3"/>
  <c r="P228" i="3"/>
  <c r="O228" i="3"/>
  <c r="M228" i="3"/>
  <c r="AF228" i="3"/>
  <c r="V228" i="3"/>
  <c r="AE228" i="3"/>
  <c r="U228" i="3"/>
  <c r="D228" i="3"/>
  <c r="C228" i="3"/>
  <c r="G228" i="3"/>
  <c r="H228" i="3" s="1"/>
  <c r="F228" i="3"/>
  <c r="S228" i="3"/>
  <c r="AW226" i="3"/>
  <c r="BA225" i="3"/>
  <c r="AH227" i="3"/>
  <c r="AN227" i="3"/>
  <c r="AU226" i="3"/>
  <c r="X227" i="3"/>
  <c r="BM228" i="3" l="1"/>
  <c r="BN228" i="3"/>
  <c r="AN228" i="3"/>
  <c r="AY226" i="3"/>
  <c r="BG224" i="3"/>
  <c r="BH224" i="3" s="1"/>
  <c r="BI224" i="3" s="1"/>
  <c r="AG228" i="3"/>
  <c r="BC225" i="3"/>
  <c r="BD225" i="3" s="1"/>
  <c r="AV226" i="3"/>
  <c r="AX227" i="3"/>
  <c r="AT227" i="3"/>
  <c r="AW227" i="3"/>
  <c r="BB225" i="3"/>
  <c r="BF225" i="3"/>
  <c r="BJ224" i="3" s="1"/>
  <c r="BK224" i="3" s="1"/>
  <c r="BQ225" i="3"/>
  <c r="Y228" i="3"/>
  <c r="Z228" i="3" s="1"/>
  <c r="AU227" i="3"/>
  <c r="AO228" i="3"/>
  <c r="X228" i="3"/>
  <c r="AH228" i="3"/>
  <c r="BA226" i="3"/>
  <c r="AR229" i="3"/>
  <c r="B229" i="3"/>
  <c r="AQ229" i="3"/>
  <c r="A230" i="3"/>
  <c r="C229" i="3"/>
  <c r="AM229" i="3"/>
  <c r="AK229" i="3"/>
  <c r="S229" i="3"/>
  <c r="R229" i="3"/>
  <c r="Q229" i="3"/>
  <c r="AD229" i="3"/>
  <c r="P229" i="3"/>
  <c r="O229" i="3"/>
  <c r="AE229" i="3"/>
  <c r="AF229" i="3"/>
  <c r="M229" i="3"/>
  <c r="V229" i="3"/>
  <c r="U229" i="3"/>
  <c r="D229" i="3"/>
  <c r="F229" i="3"/>
  <c r="G229" i="3"/>
  <c r="H229" i="3" s="1"/>
  <c r="T229" i="3"/>
  <c r="BN229" i="3" l="1"/>
  <c r="BC226" i="3"/>
  <c r="BG226" i="3" s="1"/>
  <c r="BH226" i="3" s="1"/>
  <c r="BI226" i="3" s="1"/>
  <c r="AY227" i="3"/>
  <c r="AT228" i="3"/>
  <c r="AU228" i="3"/>
  <c r="AO229" i="3"/>
  <c r="BG225" i="3"/>
  <c r="BH225" i="3" s="1"/>
  <c r="BI225" i="3" s="1"/>
  <c r="AV227" i="3"/>
  <c r="BA227" i="3"/>
  <c r="BB227" i="3" s="1"/>
  <c r="AW228" i="3"/>
  <c r="AR230" i="3"/>
  <c r="B230" i="3"/>
  <c r="AQ230" i="3"/>
  <c r="A231" i="3"/>
  <c r="AK230" i="3"/>
  <c r="S230" i="3"/>
  <c r="C230" i="3"/>
  <c r="AM230" i="3"/>
  <c r="T230" i="3"/>
  <c r="Q230" i="3"/>
  <c r="AD230" i="3"/>
  <c r="O230" i="3"/>
  <c r="R230" i="3"/>
  <c r="P230" i="3"/>
  <c r="AF230" i="3"/>
  <c r="M230" i="3"/>
  <c r="V230" i="3"/>
  <c r="AE230" i="3"/>
  <c r="U230" i="3"/>
  <c r="F230" i="3"/>
  <c r="D230" i="3"/>
  <c r="G230" i="3"/>
  <c r="H230" i="3" s="1"/>
  <c r="BF226" i="3"/>
  <c r="BJ225" i="3" s="1"/>
  <c r="BK225" i="3" s="1"/>
  <c r="BQ226" i="3"/>
  <c r="BB226" i="3"/>
  <c r="Y229" i="3"/>
  <c r="Z229" i="3" s="1"/>
  <c r="BM229" i="3"/>
  <c r="AG229" i="3"/>
  <c r="AN229" i="3"/>
  <c r="AX228" i="3"/>
  <c r="AH229" i="3"/>
  <c r="X229" i="3"/>
  <c r="BD226" i="3" l="1"/>
  <c r="BC227" i="3"/>
  <c r="BD227" i="3" s="1"/>
  <c r="BQ227" i="3"/>
  <c r="AV228" i="3"/>
  <c r="BA228" i="3"/>
  <c r="BF228" i="3" s="1"/>
  <c r="BF227" i="3"/>
  <c r="BJ226" i="3" s="1"/>
  <c r="BK226" i="3" s="1"/>
  <c r="AO230" i="3"/>
  <c r="AX229" i="3"/>
  <c r="AW229" i="3"/>
  <c r="AH230" i="3"/>
  <c r="X230" i="3"/>
  <c r="AY228" i="3"/>
  <c r="Y230" i="3"/>
  <c r="Z230" i="3" s="1"/>
  <c r="AQ231" i="3"/>
  <c r="B231" i="3"/>
  <c r="A232" i="3"/>
  <c r="AR231" i="3"/>
  <c r="C231" i="3"/>
  <c r="AK231" i="3"/>
  <c r="S231" i="3"/>
  <c r="AM231" i="3"/>
  <c r="R231" i="3"/>
  <c r="Q231" i="3"/>
  <c r="P231" i="3"/>
  <c r="AD231" i="3"/>
  <c r="AE231" i="3"/>
  <c r="M231" i="3"/>
  <c r="O231" i="3"/>
  <c r="AF231" i="3"/>
  <c r="U231" i="3"/>
  <c r="V231" i="3"/>
  <c r="G231" i="3"/>
  <c r="H231" i="3" s="1"/>
  <c r="F231" i="3"/>
  <c r="D231" i="3"/>
  <c r="T231" i="3"/>
  <c r="AT229" i="3"/>
  <c r="AU229" i="3"/>
  <c r="BN230" i="3"/>
  <c r="BM230" i="3"/>
  <c r="AG230" i="3"/>
  <c r="AN230" i="3"/>
  <c r="BG227" i="3" l="1"/>
  <c r="BH227" i="3" s="1"/>
  <c r="BI227" i="3" s="1"/>
  <c r="BC228" i="3"/>
  <c r="BG228" i="3" s="1"/>
  <c r="BH228" i="3" s="1"/>
  <c r="BI228" i="3" s="1"/>
  <c r="AN231" i="3"/>
  <c r="AY229" i="3"/>
  <c r="BB228" i="3"/>
  <c r="BQ228" i="3"/>
  <c r="BM231" i="3"/>
  <c r="AO231" i="3"/>
  <c r="AH231" i="3"/>
  <c r="AT230" i="3"/>
  <c r="Y231" i="3"/>
  <c r="Z231" i="3" s="1"/>
  <c r="AV229" i="3"/>
  <c r="BA229" i="3"/>
  <c r="A233" i="3"/>
  <c r="B232" i="3"/>
  <c r="AR232" i="3"/>
  <c r="AQ232" i="3"/>
  <c r="C232" i="3"/>
  <c r="AK232" i="3"/>
  <c r="AM232" i="3"/>
  <c r="R232" i="3"/>
  <c r="D232" i="3"/>
  <c r="S232" i="3"/>
  <c r="P232" i="3"/>
  <c r="AD232" i="3"/>
  <c r="AE232" i="3"/>
  <c r="M232" i="3"/>
  <c r="O232" i="3"/>
  <c r="AF232" i="3"/>
  <c r="V232" i="3"/>
  <c r="U232" i="3"/>
  <c r="G232" i="3"/>
  <c r="H232" i="3" s="1"/>
  <c r="Q232" i="3"/>
  <c r="F232" i="3"/>
  <c r="BM232" i="3" s="1"/>
  <c r="T232" i="3"/>
  <c r="BJ227" i="3"/>
  <c r="BK227" i="3" s="1"/>
  <c r="AW230" i="3"/>
  <c r="BN231" i="3"/>
  <c r="AG231" i="3"/>
  <c r="X231" i="3"/>
  <c r="AU230" i="3"/>
  <c r="AX230" i="3"/>
  <c r="BN232" i="3" l="1"/>
  <c r="BD228" i="3"/>
  <c r="BC229" i="3"/>
  <c r="BG229" i="3" s="1"/>
  <c r="BH229" i="3" s="1"/>
  <c r="BI229" i="3" s="1"/>
  <c r="AW231" i="3"/>
  <c r="AV230" i="3"/>
  <c r="AO232" i="3"/>
  <c r="AT231" i="3"/>
  <c r="AU231" i="3"/>
  <c r="AH232" i="3"/>
  <c r="AY230" i="3"/>
  <c r="Y232" i="3"/>
  <c r="Z232" i="3" s="1"/>
  <c r="AR233" i="3"/>
  <c r="B233" i="3"/>
  <c r="AQ233" i="3"/>
  <c r="A234" i="3"/>
  <c r="D233" i="3"/>
  <c r="R233" i="3"/>
  <c r="AM233" i="3"/>
  <c r="AK233" i="3"/>
  <c r="AD233" i="3"/>
  <c r="P233" i="3"/>
  <c r="V233" i="3"/>
  <c r="O233" i="3"/>
  <c r="AE233" i="3"/>
  <c r="M233" i="3"/>
  <c r="AF233" i="3"/>
  <c r="U233" i="3"/>
  <c r="F233" i="3"/>
  <c r="Q233" i="3"/>
  <c r="C233" i="3"/>
  <c r="G233" i="3"/>
  <c r="H233" i="3" s="1"/>
  <c r="S233" i="3"/>
  <c r="T233" i="3"/>
  <c r="AX231" i="3"/>
  <c r="AG232" i="3"/>
  <c r="AN232" i="3"/>
  <c r="X232" i="3"/>
  <c r="BA230" i="3"/>
  <c r="BF229" i="3"/>
  <c r="BJ228" i="3" s="1"/>
  <c r="BK228" i="3" s="1"/>
  <c r="BQ229" i="3"/>
  <c r="BB229" i="3"/>
  <c r="BD229" i="3" l="1"/>
  <c r="AT232" i="3"/>
  <c r="BC230" i="3"/>
  <c r="BD230" i="3" s="1"/>
  <c r="AV231" i="3"/>
  <c r="BN233" i="3"/>
  <c r="BA231" i="3"/>
  <c r="BF231" i="3" s="1"/>
  <c r="AU232" i="3"/>
  <c r="AN233" i="3"/>
  <c r="AX232" i="3"/>
  <c r="X233" i="3"/>
  <c r="Y233" i="3"/>
  <c r="Z233" i="3" s="1"/>
  <c r="AY231" i="3"/>
  <c r="AW232" i="3"/>
  <c r="BM233" i="3"/>
  <c r="AG233" i="3"/>
  <c r="AH233" i="3"/>
  <c r="BF230" i="3"/>
  <c r="BJ229" i="3" s="1"/>
  <c r="BK229" i="3" s="1"/>
  <c r="BB230" i="3"/>
  <c r="BQ230" i="3"/>
  <c r="AR234" i="3"/>
  <c r="B234" i="3"/>
  <c r="AQ234" i="3"/>
  <c r="A235" i="3"/>
  <c r="AM234" i="3"/>
  <c r="R234" i="3"/>
  <c r="AK234" i="3"/>
  <c r="AD234" i="3"/>
  <c r="P234" i="3"/>
  <c r="AE234" i="3"/>
  <c r="AF234" i="3"/>
  <c r="V234" i="3"/>
  <c r="O234" i="3"/>
  <c r="M234" i="3"/>
  <c r="U234" i="3"/>
  <c r="D234" i="3"/>
  <c r="F234" i="3"/>
  <c r="Q234" i="3"/>
  <c r="C234" i="3"/>
  <c r="G234" i="3"/>
  <c r="H234" i="3" s="1"/>
  <c r="T234" i="3"/>
  <c r="S234" i="3"/>
  <c r="AO233" i="3"/>
  <c r="BN234" i="3" l="1"/>
  <c r="AV232" i="3"/>
  <c r="AO234" i="3"/>
  <c r="BG230" i="3"/>
  <c r="BH230" i="3" s="1"/>
  <c r="BI230" i="3" s="1"/>
  <c r="BC231" i="3"/>
  <c r="BD231" i="3" s="1"/>
  <c r="BM234" i="3"/>
  <c r="BB231" i="3"/>
  <c r="BQ231" i="3"/>
  <c r="AU233" i="3"/>
  <c r="AY232" i="3"/>
  <c r="BA232" i="3"/>
  <c r="BQ232" i="3" s="1"/>
  <c r="AT233" i="3"/>
  <c r="Y234" i="3"/>
  <c r="Z234" i="3" s="1"/>
  <c r="AQ235" i="3"/>
  <c r="B235" i="3"/>
  <c r="A236" i="3"/>
  <c r="AR235" i="3"/>
  <c r="D235" i="3"/>
  <c r="AM235" i="3"/>
  <c r="R235" i="3"/>
  <c r="C235" i="3"/>
  <c r="AK235" i="3"/>
  <c r="Q235" i="3"/>
  <c r="AD235" i="3"/>
  <c r="AE235" i="3"/>
  <c r="U235" i="3"/>
  <c r="O235" i="3"/>
  <c r="M235" i="3"/>
  <c r="AF235" i="3"/>
  <c r="V235" i="3"/>
  <c r="F235" i="3"/>
  <c r="G235" i="3"/>
  <c r="H235" i="3" s="1"/>
  <c r="T235" i="3"/>
  <c r="S235" i="3"/>
  <c r="P235" i="3"/>
  <c r="X234" i="3"/>
  <c r="AG234" i="3"/>
  <c r="AH234" i="3"/>
  <c r="AX233" i="3"/>
  <c r="BJ230" i="3"/>
  <c r="BK230" i="3" s="1"/>
  <c r="AN234" i="3"/>
  <c r="AW233" i="3"/>
  <c r="BC232" i="3" l="1"/>
  <c r="BG232" i="3" s="1"/>
  <c r="BH232" i="3" s="1"/>
  <c r="BI232" i="3" s="1"/>
  <c r="BN235" i="3"/>
  <c r="BM235" i="3"/>
  <c r="BB232" i="3"/>
  <c r="BG231" i="3"/>
  <c r="BH231" i="3" s="1"/>
  <c r="BI231" i="3" s="1"/>
  <c r="AN235" i="3"/>
  <c r="AV233" i="3"/>
  <c r="BF232" i="3"/>
  <c r="BJ231" i="3" s="1"/>
  <c r="AY233" i="3"/>
  <c r="AT234" i="3"/>
  <c r="AU234" i="3"/>
  <c r="Y235" i="3"/>
  <c r="Z235" i="3" s="1"/>
  <c r="A237" i="3"/>
  <c r="B236" i="3"/>
  <c r="AR236" i="3"/>
  <c r="AQ236" i="3"/>
  <c r="AM236" i="3"/>
  <c r="R236" i="3"/>
  <c r="AK236" i="3"/>
  <c r="Q236" i="3"/>
  <c r="AD236" i="3"/>
  <c r="O236" i="3"/>
  <c r="U236" i="3"/>
  <c r="P236" i="3"/>
  <c r="M236" i="3"/>
  <c r="AE236" i="3"/>
  <c r="AF236" i="3"/>
  <c r="V236" i="3"/>
  <c r="C236" i="3"/>
  <c r="G236" i="3"/>
  <c r="H236" i="3" s="1"/>
  <c r="D236" i="3"/>
  <c r="F236" i="3"/>
  <c r="S236" i="3"/>
  <c r="T236" i="3"/>
  <c r="BA233" i="3"/>
  <c r="AW234" i="3"/>
  <c r="X235" i="3"/>
  <c r="AH235" i="3"/>
  <c r="AO235" i="3"/>
  <c r="AX234" i="3"/>
  <c r="AG235" i="3"/>
  <c r="BD232" i="3" l="1"/>
  <c r="BK231" i="3"/>
  <c r="AO236" i="3"/>
  <c r="BC233" i="3"/>
  <c r="BG233" i="3" s="1"/>
  <c r="BH233" i="3" s="1"/>
  <c r="BI233" i="3" s="1"/>
  <c r="Y236" i="3"/>
  <c r="Z236" i="3" s="1"/>
  <c r="BM236" i="3"/>
  <c r="BN236" i="3"/>
  <c r="AV234" i="3"/>
  <c r="AW235" i="3"/>
  <c r="AU235" i="3"/>
  <c r="AT235" i="3"/>
  <c r="BA234" i="3"/>
  <c r="BB234" i="3" s="1"/>
  <c r="BF233" i="3"/>
  <c r="BJ232" i="3" s="1"/>
  <c r="BK232" i="3" s="1"/>
  <c r="BB233" i="3"/>
  <c r="BQ233" i="3"/>
  <c r="AR237" i="3"/>
  <c r="B237" i="3"/>
  <c r="AQ237" i="3"/>
  <c r="A238" i="3"/>
  <c r="C237" i="3"/>
  <c r="AK237" i="3"/>
  <c r="S237" i="3"/>
  <c r="T237" i="3"/>
  <c r="AM237" i="3"/>
  <c r="Q237" i="3"/>
  <c r="AD237" i="3"/>
  <c r="P237" i="3"/>
  <c r="R237" i="3"/>
  <c r="AE237" i="3"/>
  <c r="AF237" i="3"/>
  <c r="U237" i="3"/>
  <c r="O237" i="3"/>
  <c r="M237" i="3"/>
  <c r="V237" i="3"/>
  <c r="D237" i="3"/>
  <c r="G237" i="3"/>
  <c r="H237" i="3" s="1"/>
  <c r="F237" i="3"/>
  <c r="X236" i="3"/>
  <c r="AH236" i="3"/>
  <c r="AN236" i="3"/>
  <c r="AX235" i="3"/>
  <c r="AY234" i="3"/>
  <c r="AG236" i="3"/>
  <c r="BC234" i="3" l="1"/>
  <c r="BG234" i="3" s="1"/>
  <c r="BH234" i="3" s="1"/>
  <c r="BI234" i="3" s="1"/>
  <c r="BD233" i="3"/>
  <c r="BM237" i="3"/>
  <c r="AV235" i="3"/>
  <c r="AG237" i="3"/>
  <c r="AO237" i="3"/>
  <c r="BA235" i="3"/>
  <c r="BQ235" i="3" s="1"/>
  <c r="AU236" i="3"/>
  <c r="BQ234" i="3"/>
  <c r="BF234" i="3"/>
  <c r="BJ233" i="3" s="1"/>
  <c r="BK233" i="3" s="1"/>
  <c r="Y237" i="3"/>
  <c r="Z237" i="3" s="1"/>
  <c r="AX236" i="3"/>
  <c r="BN237" i="3"/>
  <c r="AH237" i="3"/>
  <c r="AN237" i="3"/>
  <c r="X237" i="3"/>
  <c r="AY235" i="3"/>
  <c r="AT236" i="3"/>
  <c r="AW236" i="3"/>
  <c r="AR238" i="3"/>
  <c r="B238" i="3"/>
  <c r="AQ238" i="3"/>
  <c r="A239" i="3"/>
  <c r="C238" i="3"/>
  <c r="D238" i="3"/>
  <c r="T238" i="3"/>
  <c r="AK238" i="3"/>
  <c r="AM238" i="3"/>
  <c r="R238" i="3"/>
  <c r="S238" i="3"/>
  <c r="AD238" i="3"/>
  <c r="P238" i="3"/>
  <c r="O238" i="3"/>
  <c r="M238" i="3"/>
  <c r="V238" i="3"/>
  <c r="AE238" i="3"/>
  <c r="AF238" i="3"/>
  <c r="U238" i="3"/>
  <c r="Q238" i="3"/>
  <c r="G238" i="3"/>
  <c r="H238" i="3" s="1"/>
  <c r="F238" i="3"/>
  <c r="BD234" i="3" l="1"/>
  <c r="BB235" i="3"/>
  <c r="AU237" i="3"/>
  <c r="BC235" i="3"/>
  <c r="BD235" i="3" s="1"/>
  <c r="BN238" i="3"/>
  <c r="AT237" i="3"/>
  <c r="AN238" i="3"/>
  <c r="BF235" i="3"/>
  <c r="BJ234" i="3" s="1"/>
  <c r="BK234" i="3" s="1"/>
  <c r="AY236" i="3"/>
  <c r="AG238" i="3"/>
  <c r="AW237" i="3"/>
  <c r="Y238" i="3"/>
  <c r="Z238" i="3" s="1"/>
  <c r="AQ239" i="3"/>
  <c r="B239" i="3"/>
  <c r="A240" i="3"/>
  <c r="AR239" i="3"/>
  <c r="AM239" i="3"/>
  <c r="AK239" i="3"/>
  <c r="R239" i="3"/>
  <c r="T239" i="3"/>
  <c r="Q239" i="3"/>
  <c r="AD239" i="3"/>
  <c r="P239" i="3"/>
  <c r="M239" i="3"/>
  <c r="O239" i="3"/>
  <c r="AE239" i="3"/>
  <c r="AF239" i="3"/>
  <c r="U239" i="3"/>
  <c r="V239" i="3"/>
  <c r="G239" i="3"/>
  <c r="H239" i="3" s="1"/>
  <c r="D239" i="3"/>
  <c r="C239" i="3"/>
  <c r="F239" i="3"/>
  <c r="S239" i="3"/>
  <c r="X238" i="3"/>
  <c r="BM238" i="3"/>
  <c r="AH238" i="3"/>
  <c r="AO238" i="3"/>
  <c r="AX237" i="3"/>
  <c r="BA236" i="3"/>
  <c r="AV236" i="3"/>
  <c r="BG235" i="3" l="1"/>
  <c r="BH235" i="3" s="1"/>
  <c r="BI235" i="3" s="1"/>
  <c r="BC236" i="3"/>
  <c r="BG236" i="3" s="1"/>
  <c r="BH236" i="3" s="1"/>
  <c r="BI236" i="3" s="1"/>
  <c r="AY237" i="3"/>
  <c r="AV237" i="3"/>
  <c r="BM239" i="3"/>
  <c r="AN239" i="3"/>
  <c r="AX238" i="3"/>
  <c r="Y239" i="3"/>
  <c r="Z239" i="3" s="1"/>
  <c r="BB236" i="3"/>
  <c r="BF236" i="3"/>
  <c r="BJ235" i="3" s="1"/>
  <c r="BQ236" i="3"/>
  <c r="AU238" i="3"/>
  <c r="AW238" i="3"/>
  <c r="BA237" i="3"/>
  <c r="AT238" i="3"/>
  <c r="X239" i="3"/>
  <c r="BN239" i="3"/>
  <c r="AG239" i="3"/>
  <c r="AH239" i="3"/>
  <c r="AO239" i="3"/>
  <c r="A241" i="3"/>
  <c r="B240" i="3"/>
  <c r="AR240" i="3"/>
  <c r="AQ240" i="3"/>
  <c r="D240" i="3"/>
  <c r="AM240" i="3"/>
  <c r="AK240" i="3"/>
  <c r="S240" i="3"/>
  <c r="Q240" i="3"/>
  <c r="T240" i="3"/>
  <c r="O240" i="3"/>
  <c r="P240" i="3"/>
  <c r="R240" i="3"/>
  <c r="AD240" i="3"/>
  <c r="M240" i="3"/>
  <c r="AE240" i="3"/>
  <c r="AF240" i="3"/>
  <c r="V240" i="3"/>
  <c r="U240" i="3"/>
  <c r="C240" i="3"/>
  <c r="F240" i="3"/>
  <c r="G240" i="3"/>
  <c r="H240" i="3" s="1"/>
  <c r="BK235" i="3" l="1"/>
  <c r="BD236" i="3"/>
  <c r="AY238" i="3"/>
  <c r="BC237" i="3"/>
  <c r="BD237" i="3" s="1"/>
  <c r="BN240" i="3"/>
  <c r="AG240" i="3"/>
  <c r="AN240" i="3"/>
  <c r="AX239" i="3"/>
  <c r="X240" i="3"/>
  <c r="Y240" i="3"/>
  <c r="Z240" i="3" s="1"/>
  <c r="AR241" i="3"/>
  <c r="B241" i="3"/>
  <c r="AQ241" i="3"/>
  <c r="A242" i="3"/>
  <c r="AK241" i="3"/>
  <c r="R241" i="3"/>
  <c r="C241" i="3"/>
  <c r="AM241" i="3"/>
  <c r="Q241" i="3"/>
  <c r="AD241" i="3"/>
  <c r="O241" i="3"/>
  <c r="M241" i="3"/>
  <c r="U241" i="3"/>
  <c r="P241" i="3"/>
  <c r="AF241" i="3"/>
  <c r="AE241" i="3"/>
  <c r="V241" i="3"/>
  <c r="D241" i="3"/>
  <c r="G241" i="3"/>
  <c r="H241" i="3" s="1"/>
  <c r="F241" i="3"/>
  <c r="S241" i="3"/>
  <c r="T241" i="3"/>
  <c r="AU239" i="3"/>
  <c r="AW239" i="3"/>
  <c r="BA238" i="3"/>
  <c r="AV238" i="3"/>
  <c r="AH240" i="3"/>
  <c r="AT239" i="3"/>
  <c r="BM240" i="3"/>
  <c r="AO240" i="3"/>
  <c r="BB237" i="3"/>
  <c r="BQ237" i="3"/>
  <c r="BF237" i="3"/>
  <c r="BJ236" i="3" s="1"/>
  <c r="BK236" i="3" s="1"/>
  <c r="AY239" i="3" l="1"/>
  <c r="BG237" i="3"/>
  <c r="BH237" i="3" s="1"/>
  <c r="BI237" i="3" s="1"/>
  <c r="BC238" i="3"/>
  <c r="BD238" i="3" s="1"/>
  <c r="AN241" i="3"/>
  <c r="BM241" i="3"/>
  <c r="AU240" i="3"/>
  <c r="AG241" i="3"/>
  <c r="AW240" i="3"/>
  <c r="AT240" i="3"/>
  <c r="Y241" i="3"/>
  <c r="Z241" i="3" s="1"/>
  <c r="BA239" i="3"/>
  <c r="AV239" i="3"/>
  <c r="BB238" i="3"/>
  <c r="BQ238" i="3"/>
  <c r="BF238" i="3"/>
  <c r="BJ237" i="3" s="1"/>
  <c r="AX240" i="3"/>
  <c r="X241" i="3"/>
  <c r="BN241" i="3"/>
  <c r="AO241" i="3"/>
  <c r="AR242" i="3"/>
  <c r="B242" i="3"/>
  <c r="AQ242" i="3"/>
  <c r="A243" i="3"/>
  <c r="C242" i="3"/>
  <c r="D242" i="3"/>
  <c r="AM242" i="3"/>
  <c r="T242" i="3"/>
  <c r="S242" i="3"/>
  <c r="Q242" i="3"/>
  <c r="AK242" i="3"/>
  <c r="AD242" i="3"/>
  <c r="P242" i="3"/>
  <c r="AE242" i="3"/>
  <c r="O242" i="3"/>
  <c r="M242" i="3"/>
  <c r="AF242" i="3"/>
  <c r="U242" i="3"/>
  <c r="V242" i="3"/>
  <c r="G242" i="3"/>
  <c r="H242" i="3" s="1"/>
  <c r="F242" i="3"/>
  <c r="R242" i="3"/>
  <c r="AH241" i="3"/>
  <c r="BM242" i="3" l="1"/>
  <c r="BN242" i="3"/>
  <c r="AY240" i="3"/>
  <c r="BC239" i="3"/>
  <c r="BG239" i="3" s="1"/>
  <c r="BH239" i="3" s="1"/>
  <c r="BI239" i="3" s="1"/>
  <c r="BK237" i="3"/>
  <c r="AO242" i="3"/>
  <c r="BG238" i="3"/>
  <c r="BH238" i="3" s="1"/>
  <c r="BI238" i="3" s="1"/>
  <c r="AX241" i="3"/>
  <c r="AV240" i="3"/>
  <c r="AG242" i="3"/>
  <c r="AW241" i="3"/>
  <c r="BA240" i="3"/>
  <c r="BQ240" i="3" s="1"/>
  <c r="BB239" i="3"/>
  <c r="BF239" i="3"/>
  <c r="BJ238" i="3" s="1"/>
  <c r="BQ239" i="3"/>
  <c r="AN242" i="3"/>
  <c r="X242" i="3"/>
  <c r="AU241" i="3"/>
  <c r="Y242" i="3"/>
  <c r="Z242" i="3" s="1"/>
  <c r="AQ243" i="3"/>
  <c r="B243" i="3"/>
  <c r="A244" i="3"/>
  <c r="AR243" i="3"/>
  <c r="D243" i="3"/>
  <c r="AM243" i="3"/>
  <c r="AK243" i="3"/>
  <c r="S243" i="3"/>
  <c r="Q243" i="3"/>
  <c r="R243" i="3"/>
  <c r="AD243" i="3"/>
  <c r="P243" i="3"/>
  <c r="O243" i="3"/>
  <c r="U243" i="3"/>
  <c r="M243" i="3"/>
  <c r="AE243" i="3"/>
  <c r="AF243" i="3"/>
  <c r="V243" i="3"/>
  <c r="C243" i="3"/>
  <c r="G243" i="3"/>
  <c r="H243" i="3" s="1"/>
  <c r="F243" i="3"/>
  <c r="T243" i="3"/>
  <c r="AH242" i="3"/>
  <c r="AT241" i="3"/>
  <c r="BM243" i="3" l="1"/>
  <c r="BD239" i="3"/>
  <c r="BC240" i="3"/>
  <c r="BG240" i="3" s="1"/>
  <c r="BH240" i="3" s="1"/>
  <c r="BI240" i="3" s="1"/>
  <c r="BK238" i="3"/>
  <c r="AY241" i="3"/>
  <c r="AV241" i="3"/>
  <c r="BB240" i="3"/>
  <c r="BN243" i="3"/>
  <c r="Y243" i="3"/>
  <c r="Z243" i="3" s="1"/>
  <c r="BF240" i="3"/>
  <c r="BJ239" i="3" s="1"/>
  <c r="BK239" i="3" s="1"/>
  <c r="AO243" i="3"/>
  <c r="AX242" i="3"/>
  <c r="AH243" i="3"/>
  <c r="AG243" i="3"/>
  <c r="AN243" i="3"/>
  <c r="BA241" i="3"/>
  <c r="AU242" i="3"/>
  <c r="A245" i="3"/>
  <c r="B244" i="3"/>
  <c r="AR244" i="3"/>
  <c r="AQ244" i="3"/>
  <c r="D244" i="3"/>
  <c r="R244" i="3"/>
  <c r="AM244" i="3"/>
  <c r="AK244" i="3"/>
  <c r="Q244" i="3"/>
  <c r="S244" i="3"/>
  <c r="P244" i="3"/>
  <c r="AD244" i="3"/>
  <c r="AE244" i="3"/>
  <c r="M244" i="3"/>
  <c r="O244" i="3"/>
  <c r="AF244" i="3"/>
  <c r="V244" i="3"/>
  <c r="U244" i="3"/>
  <c r="C244" i="3"/>
  <c r="F244" i="3"/>
  <c r="G244" i="3"/>
  <c r="H244" i="3" s="1"/>
  <c r="T244" i="3"/>
  <c r="X243" i="3"/>
  <c r="AT242" i="3"/>
  <c r="AW242" i="3"/>
  <c r="BN244" i="3" l="1"/>
  <c r="AY242" i="3"/>
  <c r="BD240" i="3"/>
  <c r="BC241" i="3"/>
  <c r="BD241" i="3" s="1"/>
  <c r="AG244" i="3"/>
  <c r="AN244" i="3"/>
  <c r="AX243" i="3"/>
  <c r="AT243" i="3"/>
  <c r="X244" i="3"/>
  <c r="AU243" i="3"/>
  <c r="AW243" i="3"/>
  <c r="BA242" i="3"/>
  <c r="Y244" i="3"/>
  <c r="Z244" i="3" s="1"/>
  <c r="BM244" i="3"/>
  <c r="AH244" i="3"/>
  <c r="AO244" i="3"/>
  <c r="AV242" i="3"/>
  <c r="AR245" i="3"/>
  <c r="B245" i="3"/>
  <c r="AQ245" i="3"/>
  <c r="A246" i="3"/>
  <c r="C245" i="3"/>
  <c r="AK245" i="3"/>
  <c r="D245" i="3"/>
  <c r="AM245" i="3"/>
  <c r="T245" i="3"/>
  <c r="Q245" i="3"/>
  <c r="R245" i="3"/>
  <c r="AD245" i="3"/>
  <c r="P245" i="3"/>
  <c r="O245" i="3"/>
  <c r="AE245" i="3"/>
  <c r="M245" i="3"/>
  <c r="U245" i="3"/>
  <c r="AF245" i="3"/>
  <c r="V245" i="3"/>
  <c r="G245" i="3"/>
  <c r="H245" i="3" s="1"/>
  <c r="F245" i="3"/>
  <c r="S245" i="3"/>
  <c r="BF241" i="3"/>
  <c r="BJ240" i="3" s="1"/>
  <c r="BK240" i="3" s="1"/>
  <c r="BB241" i="3"/>
  <c r="BQ241" i="3"/>
  <c r="BM245" i="3" l="1"/>
  <c r="BC242" i="3"/>
  <c r="BG242" i="3" s="1"/>
  <c r="BH242" i="3" s="1"/>
  <c r="BI242" i="3" s="1"/>
  <c r="AN245" i="3"/>
  <c r="BG241" i="3"/>
  <c r="BH241" i="3" s="1"/>
  <c r="BI241" i="3" s="1"/>
  <c r="AY243" i="3"/>
  <c r="AV243" i="3"/>
  <c r="BN245" i="3"/>
  <c r="AX244" i="3"/>
  <c r="AG245" i="3"/>
  <c r="AU244" i="3"/>
  <c r="AT244" i="3"/>
  <c r="AR246" i="3"/>
  <c r="B246" i="3"/>
  <c r="AQ246" i="3"/>
  <c r="A247" i="3"/>
  <c r="C246" i="3"/>
  <c r="AK246" i="3"/>
  <c r="AM246" i="3"/>
  <c r="S246" i="3"/>
  <c r="R246" i="3"/>
  <c r="AD246" i="3"/>
  <c r="Q246" i="3"/>
  <c r="O246" i="3"/>
  <c r="AE246" i="3"/>
  <c r="M246" i="3"/>
  <c r="AF246" i="3"/>
  <c r="P246" i="3"/>
  <c r="V246" i="3"/>
  <c r="U246" i="3"/>
  <c r="D246" i="3"/>
  <c r="F246" i="3"/>
  <c r="G246" i="3"/>
  <c r="H246" i="3" s="1"/>
  <c r="T246" i="3"/>
  <c r="BQ242" i="3"/>
  <c r="BB242" i="3"/>
  <c r="BF242" i="3"/>
  <c r="BJ241" i="3" s="1"/>
  <c r="BK241" i="3" s="1"/>
  <c r="X245" i="3"/>
  <c r="AH245" i="3"/>
  <c r="AO245" i="3"/>
  <c r="AW244" i="3"/>
  <c r="Y245" i="3"/>
  <c r="Z245" i="3" s="1"/>
  <c r="BA243" i="3"/>
  <c r="BD242" i="3" l="1"/>
  <c r="BN246" i="3"/>
  <c r="AU245" i="3"/>
  <c r="BC243" i="3"/>
  <c r="BD243" i="3" s="1"/>
  <c r="BM246" i="3"/>
  <c r="AY244" i="3"/>
  <c r="AV244" i="3"/>
  <c r="AW245" i="3"/>
  <c r="AT245" i="3"/>
  <c r="AO246" i="3"/>
  <c r="Y246" i="3"/>
  <c r="Z246" i="3" s="1"/>
  <c r="BF243" i="3"/>
  <c r="BQ243" i="3"/>
  <c r="BB243" i="3"/>
  <c r="AX245" i="3"/>
  <c r="AH246" i="3"/>
  <c r="AG246" i="3"/>
  <c r="AN246" i="3"/>
  <c r="X246" i="3"/>
  <c r="BA244" i="3"/>
  <c r="AQ247" i="3"/>
  <c r="B247" i="3"/>
  <c r="A248" i="3"/>
  <c r="AR247" i="3"/>
  <c r="AK247" i="3"/>
  <c r="AM247" i="3"/>
  <c r="T247" i="3"/>
  <c r="S247" i="3"/>
  <c r="R247" i="3"/>
  <c r="AD247" i="3"/>
  <c r="P247" i="3"/>
  <c r="O247" i="3"/>
  <c r="M247" i="3"/>
  <c r="AF247" i="3"/>
  <c r="AE247" i="3"/>
  <c r="V247" i="3"/>
  <c r="U247" i="3"/>
  <c r="Q247" i="3"/>
  <c r="G247" i="3"/>
  <c r="H247" i="3" s="1"/>
  <c r="D247" i="3"/>
  <c r="C247" i="3"/>
  <c r="F247" i="3"/>
  <c r="AV245" i="3" l="1"/>
  <c r="BG243" i="3"/>
  <c r="BH243" i="3" s="1"/>
  <c r="BI243" i="3" s="1"/>
  <c r="BC244" i="3"/>
  <c r="BG244" i="3" s="1"/>
  <c r="BH244" i="3" s="1"/>
  <c r="BI244" i="3" s="1"/>
  <c r="BM247" i="3"/>
  <c r="BA245" i="3"/>
  <c r="BQ245" i="3" s="1"/>
  <c r="AU246" i="3"/>
  <c r="AT246" i="3"/>
  <c r="AN247" i="3"/>
  <c r="AY245" i="3"/>
  <c r="BF244" i="3"/>
  <c r="BJ243" i="3" s="1"/>
  <c r="BK243" i="3" s="1"/>
  <c r="BQ244" i="3"/>
  <c r="BB244" i="3"/>
  <c r="A249" i="3"/>
  <c r="B248" i="3"/>
  <c r="AR248" i="3"/>
  <c r="AQ248" i="3"/>
  <c r="D248" i="3"/>
  <c r="AK248" i="3"/>
  <c r="T248" i="3"/>
  <c r="Q248" i="3"/>
  <c r="AM248" i="3"/>
  <c r="S248" i="3"/>
  <c r="R248" i="3"/>
  <c r="AD248" i="3"/>
  <c r="P248" i="3"/>
  <c r="O248" i="3"/>
  <c r="AF248" i="3"/>
  <c r="AE248" i="3"/>
  <c r="U248" i="3"/>
  <c r="V248" i="3"/>
  <c r="M248" i="3"/>
  <c r="C248" i="3"/>
  <c r="G248" i="3"/>
  <c r="H248" i="3" s="1"/>
  <c r="F248" i="3"/>
  <c r="BJ242" i="3"/>
  <c r="BK242" i="3" s="1"/>
  <c r="X247" i="3"/>
  <c r="BN247" i="3"/>
  <c r="AG247" i="3"/>
  <c r="AO247" i="3"/>
  <c r="AW246" i="3"/>
  <c r="Y247" i="3"/>
  <c r="Z247" i="3" s="1"/>
  <c r="AH247" i="3"/>
  <c r="AX246" i="3"/>
  <c r="BN248" i="3" l="1"/>
  <c r="BC245" i="3"/>
  <c r="BG245" i="3" s="1"/>
  <c r="BH245" i="3" s="1"/>
  <c r="BI245" i="3" s="1"/>
  <c r="BM248" i="3"/>
  <c r="BD244" i="3"/>
  <c r="AT247" i="3"/>
  <c r="BF245" i="3"/>
  <c r="BJ244" i="3" s="1"/>
  <c r="BK244" i="3" s="1"/>
  <c r="AV246" i="3"/>
  <c r="AO248" i="3"/>
  <c r="BB245" i="3"/>
  <c r="AY246" i="3"/>
  <c r="AH248" i="3"/>
  <c r="AG248" i="3"/>
  <c r="Y248" i="3"/>
  <c r="Z248" i="3" s="1"/>
  <c r="AR249" i="3"/>
  <c r="B249" i="3"/>
  <c r="AQ249" i="3"/>
  <c r="A250" i="3"/>
  <c r="C249" i="3"/>
  <c r="AK249" i="3"/>
  <c r="AM249" i="3"/>
  <c r="T249" i="3"/>
  <c r="Q249" i="3"/>
  <c r="P249" i="3"/>
  <c r="AD249" i="3"/>
  <c r="O249" i="3"/>
  <c r="U249" i="3"/>
  <c r="AE249" i="3"/>
  <c r="AF249" i="3"/>
  <c r="M249" i="3"/>
  <c r="V249" i="3"/>
  <c r="D249" i="3"/>
  <c r="R249" i="3"/>
  <c r="F249" i="3"/>
  <c r="G249" i="3"/>
  <c r="H249" i="3" s="1"/>
  <c r="S249" i="3"/>
  <c r="AX247" i="3"/>
  <c r="AU247" i="3"/>
  <c r="AW247" i="3"/>
  <c r="AN248" i="3"/>
  <c r="X248" i="3"/>
  <c r="BA246" i="3"/>
  <c r="BD245" i="3" l="1"/>
  <c r="BC246" i="3"/>
  <c r="BD246" i="3" s="1"/>
  <c r="AV247" i="3"/>
  <c r="AY247" i="3"/>
  <c r="BM249" i="3"/>
  <c r="AG249" i="3"/>
  <c r="AT248" i="3"/>
  <c r="AO249" i="3"/>
  <c r="AU248" i="3"/>
  <c r="BA247" i="3"/>
  <c r="BB247" i="3" s="1"/>
  <c r="Y249" i="3"/>
  <c r="Z249" i="3" s="1"/>
  <c r="BF246" i="3"/>
  <c r="BJ245" i="3" s="1"/>
  <c r="BK245" i="3" s="1"/>
  <c r="BB246" i="3"/>
  <c r="BQ246" i="3"/>
  <c r="BN249" i="3"/>
  <c r="AH249" i="3"/>
  <c r="AN249" i="3"/>
  <c r="AX248" i="3"/>
  <c r="AR250" i="3"/>
  <c r="B250" i="3"/>
  <c r="AQ250" i="3"/>
  <c r="A251" i="3"/>
  <c r="AM250" i="3"/>
  <c r="Q250" i="3"/>
  <c r="AK250" i="3"/>
  <c r="AD250" i="3"/>
  <c r="P250" i="3"/>
  <c r="T250" i="3"/>
  <c r="S250" i="3"/>
  <c r="R250" i="3"/>
  <c r="M250" i="3"/>
  <c r="AE250" i="3"/>
  <c r="U250" i="3"/>
  <c r="O250" i="3"/>
  <c r="AF250" i="3"/>
  <c r="V250" i="3"/>
  <c r="D250" i="3"/>
  <c r="C250" i="3"/>
  <c r="G250" i="3"/>
  <c r="H250" i="3" s="1"/>
  <c r="F250" i="3"/>
  <c r="X249" i="3"/>
  <c r="AW248" i="3"/>
  <c r="BM250" i="3" l="1"/>
  <c r="BN250" i="3"/>
  <c r="BG246" i="3"/>
  <c r="BH246" i="3" s="1"/>
  <c r="BI246" i="3" s="1"/>
  <c r="AV248" i="3"/>
  <c r="AO250" i="3"/>
  <c r="BC247" i="3"/>
  <c r="BD247" i="3" s="1"/>
  <c r="AU249" i="3"/>
  <c r="AG250" i="3"/>
  <c r="AX249" i="3"/>
  <c r="BQ247" i="3"/>
  <c r="AW249" i="3"/>
  <c r="BF247" i="3"/>
  <c r="BJ246" i="3" s="1"/>
  <c r="BK246" i="3" s="1"/>
  <c r="AQ251" i="3"/>
  <c r="B251" i="3"/>
  <c r="A252" i="3"/>
  <c r="AR251" i="3"/>
  <c r="D251" i="3"/>
  <c r="AK251" i="3"/>
  <c r="S251" i="3"/>
  <c r="AM251" i="3"/>
  <c r="R251" i="3"/>
  <c r="Q251" i="3"/>
  <c r="AD251" i="3"/>
  <c r="P251" i="3"/>
  <c r="O251" i="3"/>
  <c r="AF251" i="3"/>
  <c r="V251" i="3"/>
  <c r="U251" i="3"/>
  <c r="M251" i="3"/>
  <c r="AE251" i="3"/>
  <c r="F251" i="3"/>
  <c r="C251" i="3"/>
  <c r="G251" i="3"/>
  <c r="H251" i="3" s="1"/>
  <c r="BN251" i="3" s="1"/>
  <c r="T251" i="3"/>
  <c r="Y250" i="3"/>
  <c r="Z250" i="3" s="1"/>
  <c r="X250" i="3"/>
  <c r="AH250" i="3"/>
  <c r="AY248" i="3"/>
  <c r="AN250" i="3"/>
  <c r="AT249" i="3"/>
  <c r="BA248" i="3"/>
  <c r="BC248" i="3" l="1"/>
  <c r="BG248" i="3" s="1"/>
  <c r="BH248" i="3" s="1"/>
  <c r="BI248" i="3" s="1"/>
  <c r="AN251" i="3"/>
  <c r="AY249" i="3"/>
  <c r="BG247" i="3"/>
  <c r="BH247" i="3" s="1"/>
  <c r="BI247" i="3" s="1"/>
  <c r="AU250" i="3"/>
  <c r="AW250" i="3"/>
  <c r="AT250" i="3"/>
  <c r="AG251" i="3"/>
  <c r="Y251" i="3"/>
  <c r="Z251" i="3" s="1"/>
  <c r="X251" i="3"/>
  <c r="BQ248" i="3"/>
  <c r="BF248" i="3"/>
  <c r="BJ247" i="3" s="1"/>
  <c r="BK247" i="3" s="1"/>
  <c r="BB248" i="3"/>
  <c r="AV249" i="3"/>
  <c r="BA249" i="3"/>
  <c r="A253" i="3"/>
  <c r="B252" i="3"/>
  <c r="AR252" i="3"/>
  <c r="AQ252" i="3"/>
  <c r="AK252" i="3"/>
  <c r="T252" i="3"/>
  <c r="C252" i="3"/>
  <c r="AM252" i="3"/>
  <c r="AD252" i="3"/>
  <c r="Q252" i="3"/>
  <c r="P252" i="3"/>
  <c r="M252" i="3"/>
  <c r="AE252" i="3"/>
  <c r="V252" i="3"/>
  <c r="U252" i="3"/>
  <c r="O252" i="3"/>
  <c r="AF252" i="3"/>
  <c r="D252" i="3"/>
  <c r="R252" i="3"/>
  <c r="G252" i="3"/>
  <c r="H252" i="3" s="1"/>
  <c r="F252" i="3"/>
  <c r="S252" i="3"/>
  <c r="AX250" i="3"/>
  <c r="BM251" i="3"/>
  <c r="AH251" i="3"/>
  <c r="AO251" i="3"/>
  <c r="BM252" i="3" l="1"/>
  <c r="BN252" i="3"/>
  <c r="BD248" i="3"/>
  <c r="AV250" i="3"/>
  <c r="AY250" i="3"/>
  <c r="BC249" i="3"/>
  <c r="BD249" i="3" s="1"/>
  <c r="AX251" i="3"/>
  <c r="AO252" i="3"/>
  <c r="AT251" i="3"/>
  <c r="AU251" i="3"/>
  <c r="Y252" i="3"/>
  <c r="Z252" i="3" s="1"/>
  <c r="BF249" i="3"/>
  <c r="BJ248" i="3" s="1"/>
  <c r="BK248" i="3" s="1"/>
  <c r="BQ249" i="3"/>
  <c r="BB249" i="3"/>
  <c r="AW251" i="3"/>
  <c r="BA250" i="3"/>
  <c r="X252" i="3"/>
  <c r="AN252" i="3"/>
  <c r="AR253" i="3"/>
  <c r="B253" i="3"/>
  <c r="AQ253" i="3"/>
  <c r="A254" i="3"/>
  <c r="C253" i="3"/>
  <c r="AM253" i="3"/>
  <c r="S253" i="3"/>
  <c r="AK253" i="3"/>
  <c r="R253" i="3"/>
  <c r="AD253" i="3"/>
  <c r="Q253" i="3"/>
  <c r="P253" i="3"/>
  <c r="O253" i="3"/>
  <c r="V253" i="3"/>
  <c r="AF253" i="3"/>
  <c r="M253" i="3"/>
  <c r="AE253" i="3"/>
  <c r="U253" i="3"/>
  <c r="D253" i="3"/>
  <c r="G253" i="3"/>
  <c r="H253" i="3" s="1"/>
  <c r="F253" i="3"/>
  <c r="T253" i="3"/>
  <c r="AG252" i="3"/>
  <c r="AH252" i="3"/>
  <c r="BM253" i="3" l="1"/>
  <c r="AY251" i="3"/>
  <c r="BC250" i="3"/>
  <c r="BD250" i="3" s="1"/>
  <c r="BG249" i="3"/>
  <c r="BH249" i="3" s="1"/>
  <c r="BI249" i="3" s="1"/>
  <c r="AV251" i="3"/>
  <c r="AO253" i="3"/>
  <c r="AG253" i="3"/>
  <c r="AW252" i="3"/>
  <c r="BA251" i="3"/>
  <c r="BB251" i="3" s="1"/>
  <c r="AR254" i="3"/>
  <c r="B254" i="3"/>
  <c r="AQ254" i="3"/>
  <c r="A255" i="3"/>
  <c r="C254" i="3"/>
  <c r="AM254" i="3"/>
  <c r="R254" i="3"/>
  <c r="D254" i="3"/>
  <c r="AK254" i="3"/>
  <c r="Q254" i="3"/>
  <c r="P254" i="3"/>
  <c r="AD254" i="3"/>
  <c r="M254" i="3"/>
  <c r="U254" i="3"/>
  <c r="O254" i="3"/>
  <c r="AE254" i="3"/>
  <c r="AF254" i="3"/>
  <c r="V254" i="3"/>
  <c r="G254" i="3"/>
  <c r="H254" i="3" s="1"/>
  <c r="F254" i="3"/>
  <c r="T254" i="3"/>
  <c r="S254" i="3"/>
  <c r="AT252" i="3"/>
  <c r="X253" i="3"/>
  <c r="AX252" i="3"/>
  <c r="Y253" i="3"/>
  <c r="Z253" i="3" s="1"/>
  <c r="BN253" i="3"/>
  <c r="AH253" i="3"/>
  <c r="AN253" i="3"/>
  <c r="AU252" i="3"/>
  <c r="BF250" i="3"/>
  <c r="BJ249" i="3" s="1"/>
  <c r="BK249" i="3" s="1"/>
  <c r="BB250" i="3"/>
  <c r="BQ250" i="3"/>
  <c r="BC251" i="3" l="1"/>
  <c r="BD251" i="3" s="1"/>
  <c r="BG250" i="3"/>
  <c r="BH250" i="3" s="1"/>
  <c r="BI250" i="3" s="1"/>
  <c r="AU253" i="3"/>
  <c r="BM254" i="3"/>
  <c r="AT253" i="3"/>
  <c r="BQ251" i="3"/>
  <c r="AW253" i="3"/>
  <c r="AG254" i="3"/>
  <c r="AN254" i="3"/>
  <c r="BF251" i="3"/>
  <c r="BJ250" i="3" s="1"/>
  <c r="BK250" i="3" s="1"/>
  <c r="BA252" i="3"/>
  <c r="BQ252" i="3" s="1"/>
  <c r="AY252" i="3"/>
  <c r="AX253" i="3"/>
  <c r="AV252" i="3"/>
  <c r="Y254" i="3"/>
  <c r="Z254" i="3" s="1"/>
  <c r="BN254" i="3"/>
  <c r="AO254" i="3"/>
  <c r="AQ255" i="3"/>
  <c r="B255" i="3"/>
  <c r="A256" i="3"/>
  <c r="AR255" i="3"/>
  <c r="AM255" i="3"/>
  <c r="Q255" i="3"/>
  <c r="AK255" i="3"/>
  <c r="S255" i="3"/>
  <c r="AD255" i="3"/>
  <c r="O255" i="3"/>
  <c r="AE255" i="3"/>
  <c r="M255" i="3"/>
  <c r="P255" i="3"/>
  <c r="AF255" i="3"/>
  <c r="V255" i="3"/>
  <c r="U255" i="3"/>
  <c r="G255" i="3"/>
  <c r="H255" i="3" s="1"/>
  <c r="R255" i="3"/>
  <c r="D255" i="3"/>
  <c r="C255" i="3"/>
  <c r="F255" i="3"/>
  <c r="T255" i="3"/>
  <c r="X254" i="3"/>
  <c r="AH254" i="3"/>
  <c r="BG251" i="3" l="1"/>
  <c r="BH251" i="3" s="1"/>
  <c r="BI251" i="3" s="1"/>
  <c r="AV253" i="3"/>
  <c r="AO255" i="3"/>
  <c r="BA253" i="3"/>
  <c r="BF253" i="3" s="1"/>
  <c r="BM255" i="3"/>
  <c r="BN255" i="3"/>
  <c r="BF252" i="3"/>
  <c r="BJ251" i="3" s="1"/>
  <c r="BK251" i="3" s="1"/>
  <c r="AG255" i="3"/>
  <c r="AW254" i="3"/>
  <c r="BB252" i="3"/>
  <c r="AX254" i="3"/>
  <c r="AY253" i="3"/>
  <c r="Y255" i="3"/>
  <c r="Z255" i="3" s="1"/>
  <c r="X255" i="3"/>
  <c r="AT254" i="3"/>
  <c r="A257" i="3"/>
  <c r="B256" i="3"/>
  <c r="AR256" i="3"/>
  <c r="AQ256" i="3"/>
  <c r="C256" i="3"/>
  <c r="AK256" i="3"/>
  <c r="S256" i="3"/>
  <c r="AM256" i="3"/>
  <c r="R256" i="3"/>
  <c r="AD256" i="3"/>
  <c r="Q256" i="3"/>
  <c r="P256" i="3"/>
  <c r="O256" i="3"/>
  <c r="M256" i="3"/>
  <c r="AF256" i="3"/>
  <c r="V256" i="3"/>
  <c r="AE256" i="3"/>
  <c r="U256" i="3"/>
  <c r="G256" i="3"/>
  <c r="H256" i="3" s="1"/>
  <c r="D256" i="3"/>
  <c r="F256" i="3"/>
  <c r="BM256" i="3" s="1"/>
  <c r="T256" i="3"/>
  <c r="AH255" i="3"/>
  <c r="AN255" i="3"/>
  <c r="AU254" i="3"/>
  <c r="BC252" i="3"/>
  <c r="BC253" i="3" l="1"/>
  <c r="BG253" i="3" s="1"/>
  <c r="BH253" i="3" s="1"/>
  <c r="BI253" i="3" s="1"/>
  <c r="AN256" i="3"/>
  <c r="AU255" i="3"/>
  <c r="BN256" i="3"/>
  <c r="BB253" i="3"/>
  <c r="BQ253" i="3"/>
  <c r="AY254" i="3"/>
  <c r="BJ252" i="3"/>
  <c r="BK252" i="3" s="1"/>
  <c r="AW255" i="3"/>
  <c r="AG256" i="3"/>
  <c r="BD252" i="3"/>
  <c r="BG252" i="3"/>
  <c r="BH252" i="3" s="1"/>
  <c r="BI252" i="3" s="1"/>
  <c r="AX255" i="3"/>
  <c r="Y256" i="3"/>
  <c r="Z256" i="3" s="1"/>
  <c r="AH256" i="3"/>
  <c r="AO256" i="3"/>
  <c r="AT255" i="3"/>
  <c r="AR257" i="3"/>
  <c r="B257" i="3"/>
  <c r="AQ257" i="3"/>
  <c r="A258" i="3"/>
  <c r="AM257" i="3"/>
  <c r="AK257" i="3"/>
  <c r="T257" i="3"/>
  <c r="S257" i="3"/>
  <c r="Q257" i="3"/>
  <c r="R257" i="3"/>
  <c r="AD257" i="3"/>
  <c r="P257" i="3"/>
  <c r="AE257" i="3"/>
  <c r="M257" i="3"/>
  <c r="AF257" i="3"/>
  <c r="V257" i="3"/>
  <c r="U257" i="3"/>
  <c r="O257" i="3"/>
  <c r="D257" i="3"/>
  <c r="F257" i="3"/>
  <c r="C257" i="3"/>
  <c r="G257" i="3"/>
  <c r="H257" i="3" s="1"/>
  <c r="BA254" i="3"/>
  <c r="AV254" i="3"/>
  <c r="X256" i="3"/>
  <c r="BD253" i="3" l="1"/>
  <c r="BC254" i="3"/>
  <c r="BD254" i="3" s="1"/>
  <c r="AV255" i="3"/>
  <c r="AY255" i="3"/>
  <c r="AU256" i="3"/>
  <c r="AG257" i="3"/>
  <c r="AT256" i="3"/>
  <c r="AW256" i="3"/>
  <c r="AN257" i="3"/>
  <c r="AX256" i="3"/>
  <c r="BA255" i="3"/>
  <c r="BQ255" i="3" s="1"/>
  <c r="Y257" i="3"/>
  <c r="Z257" i="3" s="1"/>
  <c r="X257" i="3"/>
  <c r="BM257" i="3"/>
  <c r="AR258" i="3"/>
  <c r="B258" i="3"/>
  <c r="AQ258" i="3"/>
  <c r="A259" i="3"/>
  <c r="D258" i="3"/>
  <c r="C258" i="3"/>
  <c r="AK258" i="3"/>
  <c r="AM258" i="3"/>
  <c r="R258" i="3"/>
  <c r="Q258" i="3"/>
  <c r="AD258" i="3"/>
  <c r="P258" i="3"/>
  <c r="O258" i="3"/>
  <c r="AF258" i="3"/>
  <c r="AE258" i="3"/>
  <c r="M258" i="3"/>
  <c r="V258" i="3"/>
  <c r="U258" i="3"/>
  <c r="F258" i="3"/>
  <c r="G258" i="3"/>
  <c r="H258" i="3" s="1"/>
  <c r="S258" i="3"/>
  <c r="T258" i="3"/>
  <c r="AH257" i="3"/>
  <c r="BN257" i="3"/>
  <c r="AO257" i="3"/>
  <c r="BQ254" i="3"/>
  <c r="BB254" i="3"/>
  <c r="BF254" i="3"/>
  <c r="BJ253" i="3" s="1"/>
  <c r="BK253" i="3" s="1"/>
  <c r="BG254" i="3" l="1"/>
  <c r="BH254" i="3" s="1"/>
  <c r="BI254" i="3" s="1"/>
  <c r="BC255" i="3"/>
  <c r="BD255" i="3" s="1"/>
  <c r="AV256" i="3"/>
  <c r="AN258" i="3"/>
  <c r="BN258" i="3"/>
  <c r="AY256" i="3"/>
  <c r="AT257" i="3"/>
  <c r="AU257" i="3"/>
  <c r="BA256" i="3"/>
  <c r="BF256" i="3" s="1"/>
  <c r="AW257" i="3"/>
  <c r="BF255" i="3"/>
  <c r="BJ254" i="3" s="1"/>
  <c r="BK254" i="3" s="1"/>
  <c r="BB255" i="3"/>
  <c r="Y258" i="3"/>
  <c r="Z258" i="3" s="1"/>
  <c r="AX257" i="3"/>
  <c r="X258" i="3"/>
  <c r="BM258" i="3"/>
  <c r="AG258" i="3"/>
  <c r="AH258" i="3"/>
  <c r="AO258" i="3"/>
  <c r="AQ259" i="3"/>
  <c r="B259" i="3"/>
  <c r="A260" i="3"/>
  <c r="AR259" i="3"/>
  <c r="C259" i="3"/>
  <c r="D259" i="3"/>
  <c r="AM259" i="3"/>
  <c r="AK259" i="3"/>
  <c r="T259" i="3"/>
  <c r="Q259" i="3"/>
  <c r="R259" i="3"/>
  <c r="AD259" i="3"/>
  <c r="P259" i="3"/>
  <c r="O259" i="3"/>
  <c r="M259" i="3"/>
  <c r="AE259" i="3"/>
  <c r="V259" i="3"/>
  <c r="AF259" i="3"/>
  <c r="U259" i="3"/>
  <c r="G259" i="3"/>
  <c r="H259" i="3" s="1"/>
  <c r="F259" i="3"/>
  <c r="S259" i="3"/>
  <c r="BM259" i="3" l="1"/>
  <c r="BN259" i="3"/>
  <c r="BC256" i="3"/>
  <c r="BG256" i="3" s="1"/>
  <c r="BH256" i="3" s="1"/>
  <c r="BI256" i="3" s="1"/>
  <c r="BG255" i="3"/>
  <c r="BH255" i="3" s="1"/>
  <c r="BI255" i="3" s="1"/>
  <c r="AV257" i="3"/>
  <c r="AG259" i="3"/>
  <c r="AT258" i="3"/>
  <c r="BQ256" i="3"/>
  <c r="BB256" i="3"/>
  <c r="BA257" i="3"/>
  <c r="BF257" i="3" s="1"/>
  <c r="BJ256" i="3" s="1"/>
  <c r="BK256" i="3" s="1"/>
  <c r="AX258" i="3"/>
  <c r="BJ255" i="3"/>
  <c r="BK255" i="3" s="1"/>
  <c r="X259" i="3"/>
  <c r="AN259" i="3"/>
  <c r="AO259" i="3"/>
  <c r="Y259" i="3"/>
  <c r="Z259" i="3" s="1"/>
  <c r="A261" i="3"/>
  <c r="B260" i="3"/>
  <c r="AR260" i="3"/>
  <c r="AQ260" i="3"/>
  <c r="C260" i="3"/>
  <c r="AM260" i="3"/>
  <c r="Q260" i="3"/>
  <c r="AK260" i="3"/>
  <c r="T260" i="3"/>
  <c r="R260" i="3"/>
  <c r="AD260" i="3"/>
  <c r="P260" i="3"/>
  <c r="O260" i="3"/>
  <c r="M260" i="3"/>
  <c r="V260" i="3"/>
  <c r="AE260" i="3"/>
  <c r="AF260" i="3"/>
  <c r="U260" i="3"/>
  <c r="G260" i="3"/>
  <c r="H260" i="3" s="1"/>
  <c r="D260" i="3"/>
  <c r="F260" i="3"/>
  <c r="S260" i="3"/>
  <c r="AH259" i="3"/>
  <c r="AY257" i="3"/>
  <c r="AU258" i="3"/>
  <c r="AW258" i="3"/>
  <c r="BM260" i="3" l="1"/>
  <c r="BD256" i="3"/>
  <c r="BC257" i="3"/>
  <c r="BD257" i="3" s="1"/>
  <c r="AU259" i="3"/>
  <c r="BB257" i="3"/>
  <c r="BN260" i="3"/>
  <c r="BQ257" i="3"/>
  <c r="AV258" i="3"/>
  <c r="AY258" i="3"/>
  <c r="AW259" i="3"/>
  <c r="AT259" i="3"/>
  <c r="BA258" i="3"/>
  <c r="BQ258" i="3" s="1"/>
  <c r="Y260" i="3"/>
  <c r="Z260" i="3" s="1"/>
  <c r="AN260" i="3"/>
  <c r="AO260" i="3"/>
  <c r="AH260" i="3"/>
  <c r="AX259" i="3"/>
  <c r="X260" i="3"/>
  <c r="AG260" i="3"/>
  <c r="AR261" i="3"/>
  <c r="B261" i="3"/>
  <c r="AQ261" i="3"/>
  <c r="A262" i="3"/>
  <c r="AK261" i="3"/>
  <c r="AM261" i="3"/>
  <c r="R261" i="3"/>
  <c r="S261" i="3"/>
  <c r="AD261" i="3"/>
  <c r="P261" i="3"/>
  <c r="O261" i="3"/>
  <c r="AE261" i="3"/>
  <c r="AF261" i="3"/>
  <c r="U261" i="3"/>
  <c r="V261" i="3"/>
  <c r="M261" i="3"/>
  <c r="Q261" i="3"/>
  <c r="C261" i="3"/>
  <c r="F261" i="3"/>
  <c r="D261" i="3"/>
  <c r="G261" i="3"/>
  <c r="H261" i="3" s="1"/>
  <c r="T261" i="3"/>
  <c r="BG257" i="3" l="1"/>
  <c r="BH257" i="3" s="1"/>
  <c r="BI257" i="3" s="1"/>
  <c r="AV259" i="3"/>
  <c r="BN261" i="3"/>
  <c r="BM261" i="3"/>
  <c r="BC258" i="3"/>
  <c r="BG258" i="3" s="1"/>
  <c r="BH258" i="3" s="1"/>
  <c r="BI258" i="3" s="1"/>
  <c r="BA259" i="3"/>
  <c r="BF259" i="3" s="1"/>
  <c r="BB258" i="3"/>
  <c r="AO261" i="3"/>
  <c r="BF258" i="3"/>
  <c r="BJ257" i="3" s="1"/>
  <c r="BK257" i="3" s="1"/>
  <c r="AU260" i="3"/>
  <c r="AY259" i="3"/>
  <c r="AX260" i="3"/>
  <c r="AW260" i="3"/>
  <c r="AR262" i="3"/>
  <c r="B262" i="3"/>
  <c r="AQ262" i="3"/>
  <c r="A263" i="3"/>
  <c r="C262" i="3"/>
  <c r="D262" i="3"/>
  <c r="AM262" i="3"/>
  <c r="T262" i="3"/>
  <c r="Q262" i="3"/>
  <c r="AK262" i="3"/>
  <c r="R262" i="3"/>
  <c r="AD262" i="3"/>
  <c r="P262" i="3"/>
  <c r="AE262" i="3"/>
  <c r="V262" i="3"/>
  <c r="U262" i="3"/>
  <c r="O262" i="3"/>
  <c r="AF262" i="3"/>
  <c r="M262" i="3"/>
  <c r="G262" i="3"/>
  <c r="H262" i="3" s="1"/>
  <c r="F262" i="3"/>
  <c r="BM262" i="3" s="1"/>
  <c r="S262" i="3"/>
  <c r="AH261" i="3"/>
  <c r="AT260" i="3"/>
  <c r="Y261" i="3"/>
  <c r="Z261" i="3" s="1"/>
  <c r="X261" i="3"/>
  <c r="AG261" i="3"/>
  <c r="AN261" i="3"/>
  <c r="BN262" i="3" l="1"/>
  <c r="BD258" i="3"/>
  <c r="BB259" i="3"/>
  <c r="BC259" i="3"/>
  <c r="BD259" i="3" s="1"/>
  <c r="AN262" i="3"/>
  <c r="BJ258" i="3"/>
  <c r="BK258" i="3" s="1"/>
  <c r="BQ259" i="3"/>
  <c r="AW261" i="3"/>
  <c r="Y262" i="3"/>
  <c r="Z262" i="3" s="1"/>
  <c r="AQ263" i="3"/>
  <c r="B263" i="3"/>
  <c r="A264" i="3"/>
  <c r="AR263" i="3"/>
  <c r="C263" i="3"/>
  <c r="AK263" i="3"/>
  <c r="AM263" i="3"/>
  <c r="Q263" i="3"/>
  <c r="R263" i="3"/>
  <c r="AD263" i="3"/>
  <c r="P263" i="3"/>
  <c r="O263" i="3"/>
  <c r="AE263" i="3"/>
  <c r="AF263" i="3"/>
  <c r="U263" i="3"/>
  <c r="M263" i="3"/>
  <c r="V263" i="3"/>
  <c r="F263" i="3"/>
  <c r="D263" i="3"/>
  <c r="G263" i="3"/>
  <c r="H263" i="3" s="1"/>
  <c r="T263" i="3"/>
  <c r="S263" i="3"/>
  <c r="AX261" i="3"/>
  <c r="AU261" i="3"/>
  <c r="AT261" i="3"/>
  <c r="X262" i="3"/>
  <c r="AG262" i="3"/>
  <c r="AH262" i="3"/>
  <c r="AO262" i="3"/>
  <c r="AY260" i="3"/>
  <c r="AV260" i="3"/>
  <c r="BA260" i="3"/>
  <c r="AY261" i="3" l="1"/>
  <c r="BG259" i="3"/>
  <c r="BH259" i="3" s="1"/>
  <c r="BI259" i="3" s="1"/>
  <c r="BN263" i="3"/>
  <c r="BM263" i="3"/>
  <c r="AT262" i="3"/>
  <c r="AO263" i="3"/>
  <c r="X263" i="3"/>
  <c r="BC260" i="3"/>
  <c r="BD260" i="3" s="1"/>
  <c r="BB260" i="3"/>
  <c r="BF260" i="3"/>
  <c r="BJ259" i="3" s="1"/>
  <c r="BK259" i="3" s="1"/>
  <c r="BQ260" i="3"/>
  <c r="A265" i="3"/>
  <c r="B264" i="3"/>
  <c r="AR264" i="3"/>
  <c r="AQ264" i="3"/>
  <c r="D264" i="3"/>
  <c r="AK264" i="3"/>
  <c r="AM264" i="3"/>
  <c r="R264" i="3"/>
  <c r="P264" i="3"/>
  <c r="S264" i="3"/>
  <c r="AD264" i="3"/>
  <c r="O264" i="3"/>
  <c r="M264" i="3"/>
  <c r="AE264" i="3"/>
  <c r="AF264" i="3"/>
  <c r="V264" i="3"/>
  <c r="U264" i="3"/>
  <c r="Q264" i="3"/>
  <c r="C264" i="3"/>
  <c r="F264" i="3"/>
  <c r="G264" i="3"/>
  <c r="H264" i="3" s="1"/>
  <c r="BN264" i="3" s="1"/>
  <c r="T264" i="3"/>
  <c r="AX262" i="3"/>
  <c r="Y263" i="3"/>
  <c r="Z263" i="3" s="1"/>
  <c r="AG263" i="3"/>
  <c r="AN263" i="3"/>
  <c r="AV261" i="3"/>
  <c r="BA261" i="3"/>
  <c r="AW262" i="3"/>
  <c r="AU262" i="3"/>
  <c r="AH263" i="3"/>
  <c r="AV262" i="3" l="1"/>
  <c r="AT263" i="3"/>
  <c r="BC261" i="3"/>
  <c r="BD261" i="3" s="1"/>
  <c r="AN264" i="3"/>
  <c r="AY262" i="3"/>
  <c r="BG260" i="3"/>
  <c r="BH260" i="3" s="1"/>
  <c r="BI260" i="3" s="1"/>
  <c r="AW263" i="3"/>
  <c r="X264" i="3"/>
  <c r="BF261" i="3"/>
  <c r="BB261" i="3"/>
  <c r="BQ261" i="3"/>
  <c r="AH264" i="3"/>
  <c r="AX263" i="3"/>
  <c r="Y264" i="3"/>
  <c r="Z264" i="3" s="1"/>
  <c r="BM264" i="3"/>
  <c r="AG264" i="3"/>
  <c r="AO264" i="3"/>
  <c r="BA262" i="3"/>
  <c r="AR265" i="3"/>
  <c r="B265" i="3"/>
  <c r="AQ265" i="3"/>
  <c r="A266" i="3"/>
  <c r="AK265" i="3"/>
  <c r="S265" i="3"/>
  <c r="AM265" i="3"/>
  <c r="R265" i="3"/>
  <c r="Q265" i="3"/>
  <c r="AD265" i="3"/>
  <c r="P265" i="3"/>
  <c r="M265" i="3"/>
  <c r="AE265" i="3"/>
  <c r="V265" i="3"/>
  <c r="O265" i="3"/>
  <c r="AF265" i="3"/>
  <c r="U265" i="3"/>
  <c r="C265" i="3"/>
  <c r="D265" i="3"/>
  <c r="G265" i="3"/>
  <c r="H265" i="3" s="1"/>
  <c r="F265" i="3"/>
  <c r="T265" i="3"/>
  <c r="AU263" i="3"/>
  <c r="BC262" i="3" l="1"/>
  <c r="BG262" i="3" s="1"/>
  <c r="BH262" i="3" s="1"/>
  <c r="BI262" i="3" s="1"/>
  <c r="AV263" i="3"/>
  <c r="AU264" i="3"/>
  <c r="BG261" i="3"/>
  <c r="BH261" i="3" s="1"/>
  <c r="BI261" i="3" s="1"/>
  <c r="AY263" i="3"/>
  <c r="AN265" i="3"/>
  <c r="BN265" i="3"/>
  <c r="AT264" i="3"/>
  <c r="X265" i="3"/>
  <c r="BJ260" i="3"/>
  <c r="BK260" i="3" s="1"/>
  <c r="BM265" i="3"/>
  <c r="AG265" i="3"/>
  <c r="AO265" i="3"/>
  <c r="BA263" i="3"/>
  <c r="AW264" i="3"/>
  <c r="AX264" i="3"/>
  <c r="AR266" i="3"/>
  <c r="B266" i="3"/>
  <c r="AQ266" i="3"/>
  <c r="A267" i="3"/>
  <c r="C266" i="3"/>
  <c r="D266" i="3"/>
  <c r="S266" i="3"/>
  <c r="Q266" i="3"/>
  <c r="R266" i="3"/>
  <c r="AM266" i="3"/>
  <c r="AK266" i="3"/>
  <c r="AD266" i="3"/>
  <c r="P266" i="3"/>
  <c r="O266" i="3"/>
  <c r="M266" i="3"/>
  <c r="AF266" i="3"/>
  <c r="U266" i="3"/>
  <c r="V266" i="3"/>
  <c r="AE266" i="3"/>
  <c r="G266" i="3"/>
  <c r="H266" i="3" s="1"/>
  <c r="F266" i="3"/>
  <c r="T266" i="3"/>
  <c r="BF262" i="3"/>
  <c r="BJ261" i="3" s="1"/>
  <c r="BK261" i="3" s="1"/>
  <c r="BB262" i="3"/>
  <c r="BQ262" i="3"/>
  <c r="Y265" i="3"/>
  <c r="Z265" i="3" s="1"/>
  <c r="AH265" i="3"/>
  <c r="BM266" i="3" l="1"/>
  <c r="BD262" i="3"/>
  <c r="BN266" i="3"/>
  <c r="BC263" i="3"/>
  <c r="BD263" i="3" s="1"/>
  <c r="AV264" i="3"/>
  <c r="AO266" i="3"/>
  <c r="AN266" i="3"/>
  <c r="Y266" i="3"/>
  <c r="Z266" i="3" s="1"/>
  <c r="AX265" i="3"/>
  <c r="AG266" i="3"/>
  <c r="AT265" i="3"/>
  <c r="AW265" i="3"/>
  <c r="X266" i="3"/>
  <c r="AY264" i="3"/>
  <c r="AU265" i="3"/>
  <c r="AQ267" i="3"/>
  <c r="B267" i="3"/>
  <c r="A268" i="3"/>
  <c r="AR267" i="3"/>
  <c r="AK267" i="3"/>
  <c r="Q267" i="3"/>
  <c r="R267" i="3"/>
  <c r="D267" i="3"/>
  <c r="AM267" i="3"/>
  <c r="C267" i="3"/>
  <c r="T267" i="3"/>
  <c r="AD267" i="3"/>
  <c r="O267" i="3"/>
  <c r="M267" i="3"/>
  <c r="AE267" i="3"/>
  <c r="AF267" i="3"/>
  <c r="U267" i="3"/>
  <c r="V267" i="3"/>
  <c r="G267" i="3"/>
  <c r="H267" i="3" s="1"/>
  <c r="F267" i="3"/>
  <c r="P267" i="3"/>
  <c r="S267" i="3"/>
  <c r="BF263" i="3"/>
  <c r="BJ262" i="3" s="1"/>
  <c r="BK262" i="3" s="1"/>
  <c r="BQ263" i="3"/>
  <c r="BB263" i="3"/>
  <c r="AH266" i="3"/>
  <c r="BA264" i="3"/>
  <c r="BM267" i="3" l="1"/>
  <c r="BG263" i="3"/>
  <c r="BH263" i="3" s="1"/>
  <c r="BI263" i="3" s="1"/>
  <c r="AN267" i="3"/>
  <c r="BC264" i="3"/>
  <c r="BD264" i="3" s="1"/>
  <c r="BN267" i="3"/>
  <c r="Y267" i="3"/>
  <c r="Z267" i="3" s="1"/>
  <c r="AY265" i="3"/>
  <c r="AX266" i="3"/>
  <c r="X267" i="3"/>
  <c r="BQ264" i="3"/>
  <c r="BB264" i="3"/>
  <c r="BF264" i="3"/>
  <c r="BJ263" i="3" s="1"/>
  <c r="BK263" i="3" s="1"/>
  <c r="A269" i="3"/>
  <c r="B268" i="3"/>
  <c r="AR268" i="3"/>
  <c r="AQ268" i="3"/>
  <c r="D268" i="3"/>
  <c r="AK268" i="3"/>
  <c r="AM268" i="3"/>
  <c r="R268" i="3"/>
  <c r="S268" i="3"/>
  <c r="Q268" i="3"/>
  <c r="AD268" i="3"/>
  <c r="O268" i="3"/>
  <c r="P268" i="3"/>
  <c r="AF268" i="3"/>
  <c r="AE268" i="3"/>
  <c r="U268" i="3"/>
  <c r="M268" i="3"/>
  <c r="V268" i="3"/>
  <c r="G268" i="3"/>
  <c r="H268" i="3" s="1"/>
  <c r="C268" i="3"/>
  <c r="F268" i="3"/>
  <c r="T268" i="3"/>
  <c r="AV265" i="3"/>
  <c r="BA265" i="3"/>
  <c r="AG267" i="3"/>
  <c r="AO267" i="3"/>
  <c r="AU266" i="3"/>
  <c r="AW266" i="3"/>
  <c r="AH267" i="3"/>
  <c r="AT266" i="3"/>
  <c r="AY266" i="3" l="1"/>
  <c r="BN268" i="3"/>
  <c r="AT267" i="3"/>
  <c r="BG264" i="3"/>
  <c r="BH264" i="3" s="1"/>
  <c r="BI264" i="3" s="1"/>
  <c r="BC265" i="3"/>
  <c r="BG265" i="3" s="1"/>
  <c r="BH265" i="3" s="1"/>
  <c r="BI265" i="3" s="1"/>
  <c r="AG268" i="3"/>
  <c r="BM268" i="3"/>
  <c r="AN268" i="3"/>
  <c r="AW267" i="3"/>
  <c r="AV266" i="3"/>
  <c r="BC266" i="3" s="1"/>
  <c r="BA266" i="3"/>
  <c r="BF265" i="3"/>
  <c r="BJ264" i="3" s="1"/>
  <c r="BK264" i="3" s="1"/>
  <c r="BQ265" i="3"/>
  <c r="BB265" i="3"/>
  <c r="AX267" i="3"/>
  <c r="Y268" i="3"/>
  <c r="Z268" i="3" s="1"/>
  <c r="X268" i="3"/>
  <c r="AO268" i="3"/>
  <c r="AR269" i="3"/>
  <c r="B269" i="3"/>
  <c r="AQ269" i="3"/>
  <c r="A270" i="3"/>
  <c r="D269" i="3"/>
  <c r="AM269" i="3"/>
  <c r="S269" i="3"/>
  <c r="AK269" i="3"/>
  <c r="Q269" i="3"/>
  <c r="R269" i="3"/>
  <c r="AD269" i="3"/>
  <c r="P269" i="3"/>
  <c r="T269" i="3"/>
  <c r="AE269" i="3"/>
  <c r="O269" i="3"/>
  <c r="M269" i="3"/>
  <c r="U269" i="3"/>
  <c r="AF269" i="3"/>
  <c r="V269" i="3"/>
  <c r="C269" i="3"/>
  <c r="F269" i="3"/>
  <c r="G269" i="3"/>
  <c r="H269" i="3" s="1"/>
  <c r="AU267" i="3"/>
  <c r="AH268" i="3"/>
  <c r="BD265" i="3" l="1"/>
  <c r="AY267" i="3"/>
  <c r="AX268" i="3"/>
  <c r="BM269" i="3"/>
  <c r="BN269" i="3"/>
  <c r="AT268" i="3"/>
  <c r="BA267" i="3"/>
  <c r="BF267" i="3" s="1"/>
  <c r="BD266" i="3"/>
  <c r="BG266" i="3"/>
  <c r="BH266" i="3" s="1"/>
  <c r="BI266" i="3" s="1"/>
  <c r="Y269" i="3"/>
  <c r="Z269" i="3" s="1"/>
  <c r="AW268" i="3"/>
  <c r="AH269" i="3"/>
  <c r="AN269" i="3"/>
  <c r="AO269" i="3"/>
  <c r="AR270" i="3"/>
  <c r="B270" i="3"/>
  <c r="AQ270" i="3"/>
  <c r="A271" i="3"/>
  <c r="AK270" i="3"/>
  <c r="AM270" i="3"/>
  <c r="C270" i="3"/>
  <c r="T270" i="3"/>
  <c r="R270" i="3"/>
  <c r="S270" i="3"/>
  <c r="Q270" i="3"/>
  <c r="AD270" i="3"/>
  <c r="P270" i="3"/>
  <c r="O270" i="3"/>
  <c r="V270" i="3"/>
  <c r="M270" i="3"/>
  <c r="AF270" i="3"/>
  <c r="AE270" i="3"/>
  <c r="U270" i="3"/>
  <c r="D270" i="3"/>
  <c r="G270" i="3"/>
  <c r="H270" i="3" s="1"/>
  <c r="F270" i="3"/>
  <c r="BB266" i="3"/>
  <c r="BQ266" i="3"/>
  <c r="BF266" i="3"/>
  <c r="BJ265" i="3" s="1"/>
  <c r="BK265" i="3" s="1"/>
  <c r="X269" i="3"/>
  <c r="AG269" i="3"/>
  <c r="AU268" i="3"/>
  <c r="AV267" i="3"/>
  <c r="AY268" i="3" l="1"/>
  <c r="BC267" i="3"/>
  <c r="BG267" i="3" s="1"/>
  <c r="BH267" i="3" s="1"/>
  <c r="BI267" i="3" s="1"/>
  <c r="BB267" i="3"/>
  <c r="BN270" i="3"/>
  <c r="AV268" i="3"/>
  <c r="AO270" i="3"/>
  <c r="BQ267" i="3"/>
  <c r="AW269" i="3"/>
  <c r="BJ266" i="3"/>
  <c r="BK266" i="3" s="1"/>
  <c r="BA268" i="3"/>
  <c r="AU269" i="3"/>
  <c r="Y270" i="3"/>
  <c r="Z270" i="3" s="1"/>
  <c r="AQ271" i="3"/>
  <c r="B271" i="3"/>
  <c r="A272" i="3"/>
  <c r="AR271" i="3"/>
  <c r="AK271" i="3"/>
  <c r="AM271" i="3"/>
  <c r="T271" i="3"/>
  <c r="R271" i="3"/>
  <c r="Q271" i="3"/>
  <c r="O271" i="3"/>
  <c r="AD271" i="3"/>
  <c r="P271" i="3"/>
  <c r="AE271" i="3"/>
  <c r="AF271" i="3"/>
  <c r="M271" i="3"/>
  <c r="U271" i="3"/>
  <c r="V271" i="3"/>
  <c r="G271" i="3"/>
  <c r="H271" i="3" s="1"/>
  <c r="C271" i="3"/>
  <c r="D271" i="3"/>
  <c r="F271" i="3"/>
  <c r="S271" i="3"/>
  <c r="AT269" i="3"/>
  <c r="AX269" i="3"/>
  <c r="X270" i="3"/>
  <c r="BM270" i="3"/>
  <c r="AG270" i="3"/>
  <c r="AH270" i="3"/>
  <c r="AN270" i="3"/>
  <c r="BC268" i="3" l="1"/>
  <c r="BD268" i="3" s="1"/>
  <c r="BM271" i="3"/>
  <c r="BD267" i="3"/>
  <c r="AG271" i="3"/>
  <c r="AY269" i="3"/>
  <c r="AN271" i="3"/>
  <c r="AW270" i="3"/>
  <c r="AO271" i="3"/>
  <c r="AU270" i="3"/>
  <c r="BA269" i="3"/>
  <c r="AV269" i="3"/>
  <c r="A273" i="3"/>
  <c r="B272" i="3"/>
  <c r="AR272" i="3"/>
  <c r="AQ272" i="3"/>
  <c r="C272" i="3"/>
  <c r="AM272" i="3"/>
  <c r="T272" i="3"/>
  <c r="AK272" i="3"/>
  <c r="Q272" i="3"/>
  <c r="R272" i="3"/>
  <c r="P272" i="3"/>
  <c r="AD272" i="3"/>
  <c r="M272" i="3"/>
  <c r="AE272" i="3"/>
  <c r="O272" i="3"/>
  <c r="AF272" i="3"/>
  <c r="U272" i="3"/>
  <c r="V272" i="3"/>
  <c r="G272" i="3"/>
  <c r="H272" i="3" s="1"/>
  <c r="F272" i="3"/>
  <c r="D272" i="3"/>
  <c r="S272" i="3"/>
  <c r="BF268" i="3"/>
  <c r="BJ267" i="3" s="1"/>
  <c r="BK267" i="3" s="1"/>
  <c r="BQ268" i="3"/>
  <c r="BB268" i="3"/>
  <c r="AH271" i="3"/>
  <c r="Y271" i="3"/>
  <c r="Z271" i="3" s="1"/>
  <c r="AT270" i="3"/>
  <c r="AX270" i="3"/>
  <c r="X271" i="3"/>
  <c r="BN271" i="3"/>
  <c r="BG268" i="3" l="1"/>
  <c r="BH268" i="3" s="1"/>
  <c r="BI268" i="3" s="1"/>
  <c r="AO272" i="3"/>
  <c r="BM272" i="3"/>
  <c r="BC269" i="3"/>
  <c r="BG269" i="3" s="1"/>
  <c r="BH269" i="3" s="1"/>
  <c r="BI269" i="3" s="1"/>
  <c r="AY270" i="3"/>
  <c r="AX271" i="3"/>
  <c r="AT271" i="3"/>
  <c r="AU271" i="3"/>
  <c r="AW271" i="3"/>
  <c r="X272" i="3"/>
  <c r="AV270" i="3"/>
  <c r="BA270" i="3"/>
  <c r="Y272" i="3"/>
  <c r="Z272" i="3" s="1"/>
  <c r="AR273" i="3"/>
  <c r="B273" i="3"/>
  <c r="AQ273" i="3"/>
  <c r="A274" i="3"/>
  <c r="R273" i="3"/>
  <c r="AM273" i="3"/>
  <c r="AK273" i="3"/>
  <c r="S273" i="3"/>
  <c r="Q273" i="3"/>
  <c r="AD273" i="3"/>
  <c r="P273" i="3"/>
  <c r="AF273" i="3"/>
  <c r="U273" i="3"/>
  <c r="O273" i="3"/>
  <c r="AE273" i="3"/>
  <c r="M273" i="3"/>
  <c r="V273" i="3"/>
  <c r="D273" i="3"/>
  <c r="F273" i="3"/>
  <c r="C273" i="3"/>
  <c r="G273" i="3"/>
  <c r="H273" i="3" s="1"/>
  <c r="T273" i="3"/>
  <c r="BF269" i="3"/>
  <c r="BJ268" i="3" s="1"/>
  <c r="BK268" i="3" s="1"/>
  <c r="BB269" i="3"/>
  <c r="BQ269" i="3"/>
  <c r="BN272" i="3"/>
  <c r="BD269" i="3"/>
  <c r="AG272" i="3"/>
  <c r="AH272" i="3"/>
  <c r="AN272" i="3"/>
  <c r="BC270" i="3" l="1"/>
  <c r="BD270" i="3" s="1"/>
  <c r="BN273" i="3"/>
  <c r="BM273" i="3"/>
  <c r="AU272" i="3"/>
  <c r="AV271" i="3"/>
  <c r="AY271" i="3"/>
  <c r="AO273" i="3"/>
  <c r="BA271" i="3"/>
  <c r="BB271" i="3" s="1"/>
  <c r="AG273" i="3"/>
  <c r="AR274" i="3"/>
  <c r="B274" i="3"/>
  <c r="AQ274" i="3"/>
  <c r="A275" i="3"/>
  <c r="C274" i="3"/>
  <c r="AK274" i="3"/>
  <c r="S274" i="3"/>
  <c r="AM274" i="3"/>
  <c r="T274" i="3"/>
  <c r="Q274" i="3"/>
  <c r="AD274" i="3"/>
  <c r="P274" i="3"/>
  <c r="O274" i="3"/>
  <c r="M274" i="3"/>
  <c r="AF274" i="3"/>
  <c r="AE274" i="3"/>
  <c r="V274" i="3"/>
  <c r="U274" i="3"/>
  <c r="R274" i="3"/>
  <c r="D274" i="3"/>
  <c r="G274" i="3"/>
  <c r="H274" i="3" s="1"/>
  <c r="F274" i="3"/>
  <c r="BQ270" i="3"/>
  <c r="BF270" i="3"/>
  <c r="BJ269" i="3" s="1"/>
  <c r="BK269" i="3" s="1"/>
  <c r="BB270" i="3"/>
  <c r="AT272" i="3"/>
  <c r="AX272" i="3"/>
  <c r="Y273" i="3"/>
  <c r="Z273" i="3" s="1"/>
  <c r="X273" i="3"/>
  <c r="AH273" i="3"/>
  <c r="AN273" i="3"/>
  <c r="AW272" i="3"/>
  <c r="BG270" i="3" l="1"/>
  <c r="BH270" i="3" s="1"/>
  <c r="BI270" i="3" s="1"/>
  <c r="AN274" i="3"/>
  <c r="BM274" i="3"/>
  <c r="BC271" i="3"/>
  <c r="BG271" i="3" s="1"/>
  <c r="BH271" i="3" s="1"/>
  <c r="BI271" i="3" s="1"/>
  <c r="AW273" i="3"/>
  <c r="BQ271" i="3"/>
  <c r="BF271" i="3"/>
  <c r="BJ270" i="3" s="1"/>
  <c r="BK270" i="3" s="1"/>
  <c r="AX273" i="3"/>
  <c r="AG274" i="3"/>
  <c r="BA272" i="3"/>
  <c r="AV272" i="3"/>
  <c r="Y274" i="3"/>
  <c r="Z274" i="3" s="1"/>
  <c r="AU273" i="3"/>
  <c r="AY272" i="3"/>
  <c r="AT273" i="3"/>
  <c r="BN274" i="3"/>
  <c r="AH274" i="3"/>
  <c r="X274" i="3"/>
  <c r="AQ275" i="3"/>
  <c r="B275" i="3"/>
  <c r="A276" i="3"/>
  <c r="AR275" i="3"/>
  <c r="AM275" i="3"/>
  <c r="AK275" i="3"/>
  <c r="R275" i="3"/>
  <c r="AD275" i="3"/>
  <c r="P275" i="3"/>
  <c r="O275" i="3"/>
  <c r="M275" i="3"/>
  <c r="AE275" i="3"/>
  <c r="AF275" i="3"/>
  <c r="V275" i="3"/>
  <c r="U275" i="3"/>
  <c r="D275" i="3"/>
  <c r="G275" i="3"/>
  <c r="H275" i="3" s="1"/>
  <c r="F275" i="3"/>
  <c r="Q275" i="3"/>
  <c r="C275" i="3"/>
  <c r="S275" i="3"/>
  <c r="T275" i="3"/>
  <c r="AO274" i="3"/>
  <c r="AT274" i="3" l="1"/>
  <c r="AU274" i="3"/>
  <c r="AW274" i="3"/>
  <c r="BN275" i="3"/>
  <c r="AN275" i="3"/>
  <c r="BD271" i="3"/>
  <c r="AY273" i="3"/>
  <c r="X275" i="3"/>
  <c r="Y275" i="3"/>
  <c r="Z275" i="3" s="1"/>
  <c r="BF272" i="3"/>
  <c r="BJ271" i="3" s="1"/>
  <c r="BK271" i="3" s="1"/>
  <c r="BQ272" i="3"/>
  <c r="BB272" i="3"/>
  <c r="BM275" i="3"/>
  <c r="AG275" i="3"/>
  <c r="AH275" i="3"/>
  <c r="AO275" i="3"/>
  <c r="A277" i="3"/>
  <c r="B276" i="3"/>
  <c r="AR276" i="3"/>
  <c r="AQ276" i="3"/>
  <c r="AK276" i="3"/>
  <c r="S276" i="3"/>
  <c r="R276" i="3"/>
  <c r="C276" i="3"/>
  <c r="AM276" i="3"/>
  <c r="P276" i="3"/>
  <c r="Q276" i="3"/>
  <c r="AD276" i="3"/>
  <c r="M276" i="3"/>
  <c r="O276" i="3"/>
  <c r="AE276" i="3"/>
  <c r="U276" i="3"/>
  <c r="AF276" i="3"/>
  <c r="V276" i="3"/>
  <c r="D276" i="3"/>
  <c r="G276" i="3"/>
  <c r="H276" i="3" s="1"/>
  <c r="F276" i="3"/>
  <c r="T276" i="3"/>
  <c r="AV273" i="3"/>
  <c r="BA273" i="3"/>
  <c r="AX274" i="3"/>
  <c r="BC272" i="3"/>
  <c r="AN276" i="3" l="1"/>
  <c r="AV274" i="3"/>
  <c r="BA274" i="3"/>
  <c r="BF274" i="3" s="1"/>
  <c r="BC273" i="3"/>
  <c r="BG273" i="3" s="1"/>
  <c r="BH273" i="3" s="1"/>
  <c r="BI273" i="3" s="1"/>
  <c r="BN276" i="3"/>
  <c r="AT275" i="3"/>
  <c r="AH276" i="3"/>
  <c r="AX275" i="3"/>
  <c r="AU275" i="3"/>
  <c r="BB273" i="3"/>
  <c r="BF273" i="3"/>
  <c r="BJ272" i="3" s="1"/>
  <c r="BK272" i="3" s="1"/>
  <c r="BQ273" i="3"/>
  <c r="BD272" i="3"/>
  <c r="BG272" i="3"/>
  <c r="BH272" i="3" s="1"/>
  <c r="BI272" i="3" s="1"/>
  <c r="AR277" i="3"/>
  <c r="B277" i="3"/>
  <c r="AQ277" i="3"/>
  <c r="A278" i="3"/>
  <c r="D277" i="3"/>
  <c r="T277" i="3"/>
  <c r="AM277" i="3"/>
  <c r="AK277" i="3"/>
  <c r="S277" i="3"/>
  <c r="R277" i="3"/>
  <c r="Q277" i="3"/>
  <c r="P277" i="3"/>
  <c r="AD277" i="3"/>
  <c r="O277" i="3"/>
  <c r="M277" i="3"/>
  <c r="AF277" i="3"/>
  <c r="U277" i="3"/>
  <c r="AE277" i="3"/>
  <c r="V277" i="3"/>
  <c r="G277" i="3"/>
  <c r="H277" i="3" s="1"/>
  <c r="F277" i="3"/>
  <c r="C277" i="3"/>
  <c r="Y276" i="3"/>
  <c r="Z276" i="3" s="1"/>
  <c r="X276" i="3"/>
  <c r="BM276" i="3"/>
  <c r="AG276" i="3"/>
  <c r="AO276" i="3"/>
  <c r="AW275" i="3"/>
  <c r="AY274" i="3"/>
  <c r="BC274" i="3" l="1"/>
  <c r="BD274" i="3" s="1"/>
  <c r="BD273" i="3"/>
  <c r="BQ274" i="3"/>
  <c r="BB274" i="3"/>
  <c r="BN277" i="3"/>
  <c r="AU276" i="3"/>
  <c r="AV275" i="3"/>
  <c r="AY275" i="3"/>
  <c r="AW276" i="3"/>
  <c r="AO277" i="3"/>
  <c r="X277" i="3"/>
  <c r="AG277" i="3"/>
  <c r="BA275" i="3"/>
  <c r="BB275" i="3" s="1"/>
  <c r="Y277" i="3"/>
  <c r="Z277" i="3" s="1"/>
  <c r="BJ273" i="3"/>
  <c r="BK273" i="3" s="1"/>
  <c r="AT276" i="3"/>
  <c r="AX276" i="3"/>
  <c r="BM277" i="3"/>
  <c r="AH277" i="3"/>
  <c r="AN277" i="3"/>
  <c r="AR278" i="3"/>
  <c r="B278" i="3"/>
  <c r="AQ278" i="3"/>
  <c r="A279" i="3"/>
  <c r="D278" i="3"/>
  <c r="C278" i="3"/>
  <c r="AK278" i="3"/>
  <c r="S278" i="3"/>
  <c r="Q278" i="3"/>
  <c r="AM278" i="3"/>
  <c r="R278" i="3"/>
  <c r="AD278" i="3"/>
  <c r="AE278" i="3"/>
  <c r="P278" i="3"/>
  <c r="M278" i="3"/>
  <c r="AF278" i="3"/>
  <c r="O278" i="3"/>
  <c r="V278" i="3"/>
  <c r="U278" i="3"/>
  <c r="G278" i="3"/>
  <c r="H278" i="3" s="1"/>
  <c r="F278" i="3"/>
  <c r="T278" i="3"/>
  <c r="BG274" i="3" l="1"/>
  <c r="BH274" i="3" s="1"/>
  <c r="BI274" i="3" s="1"/>
  <c r="AU277" i="3"/>
  <c r="BM278" i="3"/>
  <c r="BC275" i="3"/>
  <c r="BG275" i="3" s="1"/>
  <c r="BH275" i="3" s="1"/>
  <c r="BI275" i="3" s="1"/>
  <c r="AY276" i="3"/>
  <c r="AO278" i="3"/>
  <c r="AT277" i="3"/>
  <c r="AW277" i="3"/>
  <c r="AG278" i="3"/>
  <c r="BF275" i="3"/>
  <c r="BJ274" i="3" s="1"/>
  <c r="BK274" i="3" s="1"/>
  <c r="BQ275" i="3"/>
  <c r="AV276" i="3"/>
  <c r="BA276" i="3"/>
  <c r="AQ279" i="3"/>
  <c r="B279" i="3"/>
  <c r="A280" i="3"/>
  <c r="AR279" i="3"/>
  <c r="AK279" i="3"/>
  <c r="Q279" i="3"/>
  <c r="AM279" i="3"/>
  <c r="T279" i="3"/>
  <c r="AD279" i="3"/>
  <c r="R279" i="3"/>
  <c r="P279" i="3"/>
  <c r="O279" i="3"/>
  <c r="M279" i="3"/>
  <c r="AE279" i="3"/>
  <c r="AF279" i="3"/>
  <c r="V279" i="3"/>
  <c r="U279" i="3"/>
  <c r="D279" i="3"/>
  <c r="F279" i="3"/>
  <c r="C279" i="3"/>
  <c r="G279" i="3"/>
  <c r="H279" i="3" s="1"/>
  <c r="S279" i="3"/>
  <c r="Y278" i="3"/>
  <c r="Z278" i="3" s="1"/>
  <c r="BN278" i="3"/>
  <c r="AH278" i="3"/>
  <c r="AN278" i="3"/>
  <c r="X278" i="3"/>
  <c r="AX277" i="3"/>
  <c r="AN279" i="3" l="1"/>
  <c r="AU278" i="3"/>
  <c r="AV277" i="3"/>
  <c r="BM279" i="3"/>
  <c r="AY277" i="3"/>
  <c r="BD275" i="3"/>
  <c r="BC276" i="3"/>
  <c r="BD276" i="3" s="1"/>
  <c r="AH279" i="3"/>
  <c r="AT278" i="3"/>
  <c r="AW278" i="3"/>
  <c r="Y279" i="3"/>
  <c r="Z279" i="3" s="1"/>
  <c r="BN279" i="3"/>
  <c r="A281" i="3"/>
  <c r="B280" i="3"/>
  <c r="AR280" i="3"/>
  <c r="AQ280" i="3"/>
  <c r="D280" i="3"/>
  <c r="AM280" i="3"/>
  <c r="AK280" i="3"/>
  <c r="S280" i="3"/>
  <c r="Q280" i="3"/>
  <c r="C280" i="3"/>
  <c r="T280" i="3"/>
  <c r="AD280" i="3"/>
  <c r="R280" i="3"/>
  <c r="P280" i="3"/>
  <c r="AE280" i="3"/>
  <c r="M280" i="3"/>
  <c r="V280" i="3"/>
  <c r="O280" i="3"/>
  <c r="AF280" i="3"/>
  <c r="U280" i="3"/>
  <c r="G280" i="3"/>
  <c r="H280" i="3" s="1"/>
  <c r="BN280" i="3" s="1"/>
  <c r="F280" i="3"/>
  <c r="BM280" i="3" s="1"/>
  <c r="BF276" i="3"/>
  <c r="BJ275" i="3" s="1"/>
  <c r="BK275" i="3" s="1"/>
  <c r="BB276" i="3"/>
  <c r="BQ276" i="3"/>
  <c r="AO279" i="3"/>
  <c r="AX278" i="3"/>
  <c r="BA277" i="3"/>
  <c r="X279" i="3"/>
  <c r="AG279" i="3"/>
  <c r="AW279" i="3" l="1"/>
  <c r="BC277" i="3"/>
  <c r="BG277" i="3" s="1"/>
  <c r="BH277" i="3" s="1"/>
  <c r="BI277" i="3" s="1"/>
  <c r="AV278" i="3"/>
  <c r="BG276" i="3"/>
  <c r="BH276" i="3" s="1"/>
  <c r="BI276" i="3" s="1"/>
  <c r="AY278" i="3"/>
  <c r="AO280" i="3"/>
  <c r="BB277" i="3"/>
  <c r="BQ277" i="3"/>
  <c r="BF277" i="3"/>
  <c r="BJ276" i="3" s="1"/>
  <c r="BK276" i="3" s="1"/>
  <c r="AG280" i="3"/>
  <c r="AT279" i="3"/>
  <c r="AH280" i="3"/>
  <c r="X280" i="3"/>
  <c r="AN280" i="3"/>
  <c r="BA278" i="3"/>
  <c r="AU279" i="3"/>
  <c r="Y280" i="3"/>
  <c r="Z280" i="3" s="1"/>
  <c r="AR281" i="3"/>
  <c r="B281" i="3"/>
  <c r="AQ281" i="3"/>
  <c r="A282" i="3"/>
  <c r="S281" i="3"/>
  <c r="T281" i="3"/>
  <c r="AK281" i="3"/>
  <c r="AM281" i="3"/>
  <c r="Q281" i="3"/>
  <c r="P281" i="3"/>
  <c r="AD281" i="3"/>
  <c r="AE281" i="3"/>
  <c r="U281" i="3"/>
  <c r="O281" i="3"/>
  <c r="AF281" i="3"/>
  <c r="M281" i="3"/>
  <c r="V281" i="3"/>
  <c r="R281" i="3"/>
  <c r="D281" i="3"/>
  <c r="F281" i="3"/>
  <c r="C281" i="3"/>
  <c r="G281" i="3"/>
  <c r="H281" i="3" s="1"/>
  <c r="AX279" i="3"/>
  <c r="AY279" i="3" l="1"/>
  <c r="AT280" i="3"/>
  <c r="BD277" i="3"/>
  <c r="BC278" i="3"/>
  <c r="BD278" i="3" s="1"/>
  <c r="AU280" i="3"/>
  <c r="BM281" i="3"/>
  <c r="AG281" i="3"/>
  <c r="AN281" i="3"/>
  <c r="Y281" i="3"/>
  <c r="Z281" i="3" s="1"/>
  <c r="BN281" i="3"/>
  <c r="BB278" i="3"/>
  <c r="BF278" i="3"/>
  <c r="BJ277" i="3" s="1"/>
  <c r="BK277" i="3" s="1"/>
  <c r="BQ278" i="3"/>
  <c r="X281" i="3"/>
  <c r="AH281" i="3"/>
  <c r="AO281" i="3"/>
  <c r="AX280" i="3"/>
  <c r="AW280" i="3"/>
  <c r="AR282" i="3"/>
  <c r="B282" i="3"/>
  <c r="AQ282" i="3"/>
  <c r="A283" i="3"/>
  <c r="C282" i="3"/>
  <c r="T282" i="3"/>
  <c r="AM282" i="3"/>
  <c r="AK282" i="3"/>
  <c r="S282" i="3"/>
  <c r="R282" i="3"/>
  <c r="Q282" i="3"/>
  <c r="P282" i="3"/>
  <c r="AD282" i="3"/>
  <c r="O282" i="3"/>
  <c r="AF282" i="3"/>
  <c r="M282" i="3"/>
  <c r="AE282" i="3"/>
  <c r="U282" i="3"/>
  <c r="V282" i="3"/>
  <c r="F282" i="3"/>
  <c r="D282" i="3"/>
  <c r="G282" i="3"/>
  <c r="H282" i="3" s="1"/>
  <c r="BA279" i="3"/>
  <c r="AV279" i="3"/>
  <c r="BC279" i="3" l="1"/>
  <c r="BG279" i="3" s="1"/>
  <c r="BH279" i="3" s="1"/>
  <c r="BI279" i="3" s="1"/>
  <c r="AV280" i="3"/>
  <c r="BG278" i="3"/>
  <c r="BH278" i="3" s="1"/>
  <c r="BI278" i="3" s="1"/>
  <c r="AU281" i="3"/>
  <c r="AN282" i="3"/>
  <c r="AG282" i="3"/>
  <c r="AX281" i="3"/>
  <c r="AY280" i="3"/>
  <c r="AQ283" i="3"/>
  <c r="B283" i="3"/>
  <c r="A284" i="3"/>
  <c r="AR283" i="3"/>
  <c r="C283" i="3"/>
  <c r="AK283" i="3"/>
  <c r="AM283" i="3"/>
  <c r="AD283" i="3"/>
  <c r="P283" i="3"/>
  <c r="R283" i="3"/>
  <c r="Q283" i="3"/>
  <c r="O283" i="3"/>
  <c r="AE283" i="3"/>
  <c r="AF283" i="3"/>
  <c r="M283" i="3"/>
  <c r="V283" i="3"/>
  <c r="U283" i="3"/>
  <c r="D283" i="3"/>
  <c r="G283" i="3"/>
  <c r="H283" i="3" s="1"/>
  <c r="F283" i="3"/>
  <c r="T283" i="3"/>
  <c r="S283" i="3"/>
  <c r="AH282" i="3"/>
  <c r="BN282" i="3"/>
  <c r="BM282" i="3"/>
  <c r="AO282" i="3"/>
  <c r="AT281" i="3"/>
  <c r="AW281" i="3"/>
  <c r="BQ279" i="3"/>
  <c r="BB279" i="3"/>
  <c r="BF279" i="3"/>
  <c r="BJ278" i="3" s="1"/>
  <c r="BK278" i="3" s="1"/>
  <c r="Y282" i="3"/>
  <c r="Z282" i="3" s="1"/>
  <c r="X282" i="3"/>
  <c r="BA280" i="3"/>
  <c r="BD279" i="3" l="1"/>
  <c r="BC280" i="3"/>
  <c r="BG280" i="3" s="1"/>
  <c r="BH280" i="3" s="1"/>
  <c r="BI280" i="3" s="1"/>
  <c r="BN283" i="3"/>
  <c r="AO283" i="3"/>
  <c r="BM283" i="3"/>
  <c r="AT282" i="3"/>
  <c r="AY281" i="3"/>
  <c r="AW282" i="3"/>
  <c r="Y283" i="3"/>
  <c r="Z283" i="3" s="1"/>
  <c r="AN283" i="3"/>
  <c r="X283" i="3"/>
  <c r="AH283" i="3"/>
  <c r="BQ280" i="3"/>
  <c r="BF280" i="3"/>
  <c r="BJ279" i="3" s="1"/>
  <c r="BK279" i="3" s="1"/>
  <c r="BB280" i="3"/>
  <c r="AV281" i="3"/>
  <c r="BA281" i="3"/>
  <c r="A285" i="3"/>
  <c r="B284" i="3"/>
  <c r="AR284" i="3"/>
  <c r="AQ284" i="3"/>
  <c r="C284" i="3"/>
  <c r="AM284" i="3"/>
  <c r="AK284" i="3"/>
  <c r="S284" i="3"/>
  <c r="AD284" i="3"/>
  <c r="T284" i="3"/>
  <c r="Q284" i="3"/>
  <c r="P284" i="3"/>
  <c r="M284" i="3"/>
  <c r="O284" i="3"/>
  <c r="AE284" i="3"/>
  <c r="V284" i="3"/>
  <c r="AF284" i="3"/>
  <c r="U284" i="3"/>
  <c r="R284" i="3"/>
  <c r="F284" i="3"/>
  <c r="G284" i="3"/>
  <c r="H284" i="3" s="1"/>
  <c r="D284" i="3"/>
  <c r="AU282" i="3"/>
  <c r="AG283" i="3"/>
  <c r="AX282" i="3"/>
  <c r="BD280" i="3" l="1"/>
  <c r="BM284" i="3"/>
  <c r="BC281" i="3"/>
  <c r="BD281" i="3" s="1"/>
  <c r="AY282" i="3"/>
  <c r="AN284" i="3"/>
  <c r="AU283" i="3"/>
  <c r="AX283" i="3"/>
  <c r="BA282" i="3"/>
  <c r="BF282" i="3" s="1"/>
  <c r="Y284" i="3"/>
  <c r="Z284" i="3" s="1"/>
  <c r="AT283" i="3"/>
  <c r="AV283" i="3" s="1"/>
  <c r="AW283" i="3"/>
  <c r="AR285" i="3"/>
  <c r="B285" i="3"/>
  <c r="AQ285" i="3"/>
  <c r="A286" i="3"/>
  <c r="C285" i="3"/>
  <c r="AK285" i="3"/>
  <c r="AM285" i="3"/>
  <c r="R285" i="3"/>
  <c r="AD285" i="3"/>
  <c r="P285" i="3"/>
  <c r="O285" i="3"/>
  <c r="AE285" i="3"/>
  <c r="M285" i="3"/>
  <c r="AF285" i="3"/>
  <c r="U285" i="3"/>
  <c r="V285" i="3"/>
  <c r="Q285" i="3"/>
  <c r="D285" i="3"/>
  <c r="G285" i="3"/>
  <c r="H285" i="3" s="1"/>
  <c r="F285" i="3"/>
  <c r="T285" i="3"/>
  <c r="S285" i="3"/>
  <c r="BN284" i="3"/>
  <c r="AG284" i="3"/>
  <c r="AH284" i="3"/>
  <c r="AO284" i="3"/>
  <c r="X284" i="3"/>
  <c r="AV282" i="3"/>
  <c r="BQ281" i="3"/>
  <c r="BF281" i="3"/>
  <c r="BJ280" i="3" s="1"/>
  <c r="BK280" i="3" s="1"/>
  <c r="BB281" i="3"/>
  <c r="BC282" i="3" l="1"/>
  <c r="BD282" i="3" s="1"/>
  <c r="AY283" i="3"/>
  <c r="BC283" i="3" s="1"/>
  <c r="BD283" i="3" s="1"/>
  <c r="BN285" i="3"/>
  <c r="BG281" i="3"/>
  <c r="BH281" i="3" s="1"/>
  <c r="BI281" i="3" s="1"/>
  <c r="AT284" i="3"/>
  <c r="AH285" i="3"/>
  <c r="BB282" i="3"/>
  <c r="BA283" i="3"/>
  <c r="BB283" i="3" s="1"/>
  <c r="BQ282" i="3"/>
  <c r="AN285" i="3"/>
  <c r="AO285" i="3"/>
  <c r="AR286" i="3"/>
  <c r="B286" i="3"/>
  <c r="AQ286" i="3"/>
  <c r="A287" i="3"/>
  <c r="AM286" i="3"/>
  <c r="AK286" i="3"/>
  <c r="R286" i="3"/>
  <c r="S286" i="3"/>
  <c r="Q286" i="3"/>
  <c r="P286" i="3"/>
  <c r="AD286" i="3"/>
  <c r="O286" i="3"/>
  <c r="AE286" i="3"/>
  <c r="U286" i="3"/>
  <c r="M286" i="3"/>
  <c r="AF286" i="3"/>
  <c r="V286" i="3"/>
  <c r="C286" i="3"/>
  <c r="F286" i="3"/>
  <c r="D286" i="3"/>
  <c r="G286" i="3"/>
  <c r="H286" i="3" s="1"/>
  <c r="T286" i="3"/>
  <c r="AW284" i="3"/>
  <c r="Y285" i="3"/>
  <c r="Z285" i="3" s="1"/>
  <c r="AU284" i="3"/>
  <c r="AX284" i="3"/>
  <c r="X285" i="3"/>
  <c r="BM285" i="3"/>
  <c r="AG285" i="3"/>
  <c r="BJ281" i="3"/>
  <c r="BK281" i="3" s="1"/>
  <c r="BG282" i="3" l="1"/>
  <c r="BH282" i="3" s="1"/>
  <c r="BI282" i="3" s="1"/>
  <c r="BF283" i="3"/>
  <c r="BJ282" i="3" s="1"/>
  <c r="BK282" i="3" s="1"/>
  <c r="AW285" i="3"/>
  <c r="AO286" i="3"/>
  <c r="AT285" i="3"/>
  <c r="AU285" i="3"/>
  <c r="BG283" i="3"/>
  <c r="BH283" i="3" s="1"/>
  <c r="BI283" i="3" s="1"/>
  <c r="BA284" i="3"/>
  <c r="BQ284" i="3" s="1"/>
  <c r="BQ283" i="3"/>
  <c r="Y286" i="3"/>
  <c r="Z286" i="3" s="1"/>
  <c r="X286" i="3"/>
  <c r="AX285" i="3"/>
  <c r="AY284" i="3"/>
  <c r="BN286" i="3"/>
  <c r="BM286" i="3"/>
  <c r="AG286" i="3"/>
  <c r="AH286" i="3"/>
  <c r="AN286" i="3"/>
  <c r="AV284" i="3"/>
  <c r="AQ287" i="3"/>
  <c r="B287" i="3"/>
  <c r="A288" i="3"/>
  <c r="AR287" i="3"/>
  <c r="D287" i="3"/>
  <c r="AK287" i="3"/>
  <c r="AM287" i="3"/>
  <c r="S287" i="3"/>
  <c r="Q287" i="3"/>
  <c r="AD287" i="3"/>
  <c r="O287" i="3"/>
  <c r="M287" i="3"/>
  <c r="AE287" i="3"/>
  <c r="V287" i="3"/>
  <c r="U287" i="3"/>
  <c r="P287" i="3"/>
  <c r="AF287" i="3"/>
  <c r="R287" i="3"/>
  <c r="G287" i="3"/>
  <c r="H287" i="3" s="1"/>
  <c r="C287" i="3"/>
  <c r="F287" i="3"/>
  <c r="T287" i="3"/>
  <c r="BN287" i="3" l="1"/>
  <c r="BB284" i="3"/>
  <c r="BM287" i="3"/>
  <c r="AU286" i="3"/>
  <c r="AV285" i="3"/>
  <c r="BF284" i="3"/>
  <c r="BJ283" i="3" s="1"/>
  <c r="BK283" i="3" s="1"/>
  <c r="AY285" i="3"/>
  <c r="AN287" i="3"/>
  <c r="A289" i="3"/>
  <c r="B288" i="3"/>
  <c r="AR288" i="3"/>
  <c r="AQ288" i="3"/>
  <c r="AM288" i="3"/>
  <c r="AK288" i="3"/>
  <c r="R288" i="3"/>
  <c r="AD288" i="3"/>
  <c r="Q288" i="3"/>
  <c r="P288" i="3"/>
  <c r="O288" i="3"/>
  <c r="AF288" i="3"/>
  <c r="V288" i="3"/>
  <c r="U288" i="3"/>
  <c r="AE288" i="3"/>
  <c r="M288" i="3"/>
  <c r="D288" i="3"/>
  <c r="C288" i="3"/>
  <c r="G288" i="3"/>
  <c r="H288" i="3" s="1"/>
  <c r="F288" i="3"/>
  <c r="T288" i="3"/>
  <c r="S288" i="3"/>
  <c r="AT286" i="3"/>
  <c r="AX286" i="3"/>
  <c r="AG287" i="3"/>
  <c r="BC284" i="3"/>
  <c r="Y287" i="3"/>
  <c r="Z287" i="3" s="1"/>
  <c r="X287" i="3"/>
  <c r="AH287" i="3"/>
  <c r="AO287" i="3"/>
  <c r="AW286" i="3"/>
  <c r="BA285" i="3"/>
  <c r="BN288" i="3" l="1"/>
  <c r="BM288" i="3"/>
  <c r="AV286" i="3"/>
  <c r="BC285" i="3"/>
  <c r="BD285" i="3" s="1"/>
  <c r="AT287" i="3"/>
  <c r="AO288" i="3"/>
  <c r="AX287" i="3"/>
  <c r="BA286" i="3"/>
  <c r="BB286" i="3" s="1"/>
  <c r="X288" i="3"/>
  <c r="AH288" i="3"/>
  <c r="BF285" i="3"/>
  <c r="BJ284" i="3" s="1"/>
  <c r="BK284" i="3" s="1"/>
  <c r="BB285" i="3"/>
  <c r="BQ285" i="3"/>
  <c r="BD284" i="3"/>
  <c r="BG284" i="3"/>
  <c r="BH284" i="3" s="1"/>
  <c r="BI284" i="3" s="1"/>
  <c r="AR289" i="3"/>
  <c r="B289" i="3"/>
  <c r="AQ289" i="3"/>
  <c r="A290" i="3"/>
  <c r="D289" i="3"/>
  <c r="AM289" i="3"/>
  <c r="AK289" i="3"/>
  <c r="T289" i="3"/>
  <c r="R289" i="3"/>
  <c r="Q289" i="3"/>
  <c r="AD289" i="3"/>
  <c r="P289" i="3"/>
  <c r="O289" i="3"/>
  <c r="M289" i="3"/>
  <c r="AF289" i="3"/>
  <c r="V289" i="3"/>
  <c r="U289" i="3"/>
  <c r="AE289" i="3"/>
  <c r="C289" i="3"/>
  <c r="G289" i="3"/>
  <c r="H289" i="3" s="1"/>
  <c r="F289" i="3"/>
  <c r="S289" i="3"/>
  <c r="AY286" i="3"/>
  <c r="AU287" i="3"/>
  <c r="AW287" i="3"/>
  <c r="Y288" i="3"/>
  <c r="Z288" i="3" s="1"/>
  <c r="AG288" i="3"/>
  <c r="AN288" i="3"/>
  <c r="BM289" i="3" l="1"/>
  <c r="AY287" i="3"/>
  <c r="BQ286" i="3"/>
  <c r="AV287" i="3"/>
  <c r="BG285" i="3"/>
  <c r="BH285" i="3" s="1"/>
  <c r="BI285" i="3" s="1"/>
  <c r="BN289" i="3"/>
  <c r="BC286" i="3"/>
  <c r="BD286" i="3" s="1"/>
  <c r="AO289" i="3"/>
  <c r="BF286" i="3"/>
  <c r="BJ285" i="3" s="1"/>
  <c r="BK285" i="3" s="1"/>
  <c r="AW288" i="3"/>
  <c r="Y289" i="3"/>
  <c r="Z289" i="3" s="1"/>
  <c r="AT288" i="3"/>
  <c r="AX288" i="3"/>
  <c r="AH289" i="3"/>
  <c r="BA287" i="3"/>
  <c r="AR290" i="3"/>
  <c r="B290" i="3"/>
  <c r="AQ290" i="3"/>
  <c r="A291" i="3"/>
  <c r="C290" i="3"/>
  <c r="AK290" i="3"/>
  <c r="AM290" i="3"/>
  <c r="S290" i="3"/>
  <c r="R290" i="3"/>
  <c r="D290" i="3"/>
  <c r="AD290" i="3"/>
  <c r="Q290" i="3"/>
  <c r="P290" i="3"/>
  <c r="O290" i="3"/>
  <c r="AE290" i="3"/>
  <c r="V290" i="3"/>
  <c r="AF290" i="3"/>
  <c r="M290" i="3"/>
  <c r="U290" i="3"/>
  <c r="F290" i="3"/>
  <c r="G290" i="3"/>
  <c r="H290" i="3" s="1"/>
  <c r="T290" i="3"/>
  <c r="AU288" i="3"/>
  <c r="X289" i="3"/>
  <c r="AG289" i="3"/>
  <c r="AN289" i="3"/>
  <c r="AT289" i="3" l="1"/>
  <c r="BC287" i="3"/>
  <c r="BD287" i="3" s="1"/>
  <c r="BM290" i="3"/>
  <c r="BG286" i="3"/>
  <c r="BH286" i="3" s="1"/>
  <c r="BI286" i="3" s="1"/>
  <c r="AN290" i="3"/>
  <c r="BN290" i="3"/>
  <c r="AY288" i="3"/>
  <c r="AV288" i="3"/>
  <c r="BA288" i="3"/>
  <c r="AG290" i="3"/>
  <c r="AH290" i="3"/>
  <c r="X290" i="3"/>
  <c r="AX289" i="3"/>
  <c r="AQ291" i="3"/>
  <c r="B291" i="3"/>
  <c r="A292" i="3"/>
  <c r="AR291" i="3"/>
  <c r="AK291" i="3"/>
  <c r="AM291" i="3"/>
  <c r="T291" i="3"/>
  <c r="R291" i="3"/>
  <c r="AD291" i="3"/>
  <c r="P291" i="3"/>
  <c r="O291" i="3"/>
  <c r="AE291" i="3"/>
  <c r="V291" i="3"/>
  <c r="M291" i="3"/>
  <c r="AF291" i="3"/>
  <c r="U291" i="3"/>
  <c r="D291" i="3"/>
  <c r="G291" i="3"/>
  <c r="H291" i="3" s="1"/>
  <c r="Q291" i="3"/>
  <c r="C291" i="3"/>
  <c r="F291" i="3"/>
  <c r="S291" i="3"/>
  <c r="BQ287" i="3"/>
  <c r="BF287" i="3"/>
  <c r="BJ286" i="3" s="1"/>
  <c r="BK286" i="3" s="1"/>
  <c r="BB287" i="3"/>
  <c r="AW289" i="3"/>
  <c r="Y290" i="3"/>
  <c r="Z290" i="3" s="1"/>
  <c r="AO290" i="3"/>
  <c r="AU289" i="3"/>
  <c r="AV289" i="3" l="1"/>
  <c r="BG287" i="3"/>
  <c r="BH287" i="3" s="1"/>
  <c r="BI287" i="3" s="1"/>
  <c r="AY289" i="3"/>
  <c r="BC288" i="3"/>
  <c r="BG288" i="3" s="1"/>
  <c r="BH288" i="3" s="1"/>
  <c r="BI288" i="3" s="1"/>
  <c r="AU290" i="3"/>
  <c r="BN291" i="3"/>
  <c r="AN291" i="3"/>
  <c r="AT290" i="3"/>
  <c r="AG291" i="3"/>
  <c r="X291" i="3"/>
  <c r="Y291" i="3"/>
  <c r="Z291" i="3" s="1"/>
  <c r="A293" i="3"/>
  <c r="B292" i="3"/>
  <c r="AR292" i="3"/>
  <c r="AQ292" i="3"/>
  <c r="AK292" i="3"/>
  <c r="T292" i="3"/>
  <c r="AM292" i="3"/>
  <c r="C292" i="3"/>
  <c r="S292" i="3"/>
  <c r="R292" i="3"/>
  <c r="Q292" i="3"/>
  <c r="AD292" i="3"/>
  <c r="P292" i="3"/>
  <c r="AE292" i="3"/>
  <c r="AF292" i="3"/>
  <c r="V292" i="3"/>
  <c r="O292" i="3"/>
  <c r="M292" i="3"/>
  <c r="U292" i="3"/>
  <c r="D292" i="3"/>
  <c r="F292" i="3"/>
  <c r="G292" i="3"/>
  <c r="H292" i="3" s="1"/>
  <c r="BF288" i="3"/>
  <c r="BJ287" i="3" s="1"/>
  <c r="BK287" i="3" s="1"/>
  <c r="BQ288" i="3"/>
  <c r="BB288" i="3"/>
  <c r="BM291" i="3"/>
  <c r="AH291" i="3"/>
  <c r="AO291" i="3"/>
  <c r="AW290" i="3"/>
  <c r="BA289" i="3"/>
  <c r="AX290" i="3"/>
  <c r="BC289" i="3" l="1"/>
  <c r="BD289" i="3" s="1"/>
  <c r="BD288" i="3"/>
  <c r="BN292" i="3"/>
  <c r="AN292" i="3"/>
  <c r="AV290" i="3"/>
  <c r="BM292" i="3"/>
  <c r="AU291" i="3"/>
  <c r="AT291" i="3"/>
  <c r="AW291" i="3"/>
  <c r="AH292" i="3"/>
  <c r="AR293" i="3"/>
  <c r="B293" i="3"/>
  <c r="AQ293" i="3"/>
  <c r="A294" i="3"/>
  <c r="R293" i="3"/>
  <c r="AM293" i="3"/>
  <c r="AK293" i="3"/>
  <c r="S293" i="3"/>
  <c r="Q293" i="3"/>
  <c r="AD293" i="3"/>
  <c r="P293" i="3"/>
  <c r="O293" i="3"/>
  <c r="AE293" i="3"/>
  <c r="AF293" i="3"/>
  <c r="U293" i="3"/>
  <c r="V293" i="3"/>
  <c r="M293" i="3"/>
  <c r="C293" i="3"/>
  <c r="G293" i="3"/>
  <c r="H293" i="3" s="1"/>
  <c r="D293" i="3"/>
  <c r="F293" i="3"/>
  <c r="T293" i="3"/>
  <c r="AY290" i="3"/>
  <c r="AO292" i="3"/>
  <c r="BF289" i="3"/>
  <c r="BJ288" i="3" s="1"/>
  <c r="BK288" i="3" s="1"/>
  <c r="BQ289" i="3"/>
  <c r="BB289" i="3"/>
  <c r="Y292" i="3"/>
  <c r="Z292" i="3" s="1"/>
  <c r="AX291" i="3"/>
  <c r="BA290" i="3"/>
  <c r="AG292" i="3"/>
  <c r="X292" i="3"/>
  <c r="BC290" i="3" l="1"/>
  <c r="BD290" i="3" s="1"/>
  <c r="BG289" i="3"/>
  <c r="BH289" i="3" s="1"/>
  <c r="BI289" i="3" s="1"/>
  <c r="BM293" i="3"/>
  <c r="BN293" i="3"/>
  <c r="AU292" i="3"/>
  <c r="AV291" i="3"/>
  <c r="BA291" i="3"/>
  <c r="BB291" i="3" s="1"/>
  <c r="AG293" i="3"/>
  <c r="BQ290" i="3"/>
  <c r="BF290" i="3"/>
  <c r="BJ289" i="3" s="1"/>
  <c r="BK289" i="3" s="1"/>
  <c r="BB290" i="3"/>
  <c r="AR294" i="3"/>
  <c r="B294" i="3"/>
  <c r="AQ294" i="3"/>
  <c r="A295" i="3"/>
  <c r="AM294" i="3"/>
  <c r="AK294" i="3"/>
  <c r="Q294" i="3"/>
  <c r="T294" i="3"/>
  <c r="AD294" i="3"/>
  <c r="R294" i="3"/>
  <c r="P294" i="3"/>
  <c r="AE294" i="3"/>
  <c r="O294" i="3"/>
  <c r="AF294" i="3"/>
  <c r="V294" i="3"/>
  <c r="U294" i="3"/>
  <c r="M294" i="3"/>
  <c r="F294" i="3"/>
  <c r="D294" i="3"/>
  <c r="C294" i="3"/>
  <c r="G294" i="3"/>
  <c r="H294" i="3" s="1"/>
  <c r="S294" i="3"/>
  <c r="AW292" i="3"/>
  <c r="AT292" i="3"/>
  <c r="AX292" i="3"/>
  <c r="Y293" i="3"/>
  <c r="Z293" i="3" s="1"/>
  <c r="X293" i="3"/>
  <c r="AH293" i="3"/>
  <c r="AY291" i="3"/>
  <c r="AN293" i="3"/>
  <c r="AO293" i="3"/>
  <c r="BG290" i="3" l="1"/>
  <c r="BH290" i="3" s="1"/>
  <c r="BI290" i="3" s="1"/>
  <c r="BN294" i="3"/>
  <c r="AU293" i="3"/>
  <c r="BQ291" i="3"/>
  <c r="BC291" i="3"/>
  <c r="BG291" i="3" s="1"/>
  <c r="BH291" i="3" s="1"/>
  <c r="BI291" i="3" s="1"/>
  <c r="BF291" i="3"/>
  <c r="BJ290" i="3" s="1"/>
  <c r="BK290" i="3" s="1"/>
  <c r="AW293" i="3"/>
  <c r="AN294" i="3"/>
  <c r="AV292" i="3"/>
  <c r="BA292" i="3"/>
  <c r="AQ295" i="3"/>
  <c r="B295" i="3"/>
  <c r="A296" i="3"/>
  <c r="AR295" i="3"/>
  <c r="S295" i="3"/>
  <c r="Q295" i="3"/>
  <c r="AK295" i="3"/>
  <c r="AM295" i="3"/>
  <c r="R295" i="3"/>
  <c r="P295" i="3"/>
  <c r="AD295" i="3"/>
  <c r="O295" i="3"/>
  <c r="M295" i="3"/>
  <c r="AE295" i="3"/>
  <c r="AF295" i="3"/>
  <c r="V295" i="3"/>
  <c r="U295" i="3"/>
  <c r="D295" i="3"/>
  <c r="C295" i="3"/>
  <c r="G295" i="3"/>
  <c r="H295" i="3" s="1"/>
  <c r="F295" i="3"/>
  <c r="T295" i="3"/>
  <c r="AX293" i="3"/>
  <c r="AY292" i="3"/>
  <c r="Y294" i="3"/>
  <c r="Z294" i="3" s="1"/>
  <c r="AT293" i="3"/>
  <c r="X294" i="3"/>
  <c r="BM294" i="3"/>
  <c r="AH294" i="3"/>
  <c r="AG294" i="3"/>
  <c r="AO294" i="3"/>
  <c r="AV293" i="3" l="1"/>
  <c r="BM295" i="3"/>
  <c r="BN295" i="3"/>
  <c r="BD291" i="3"/>
  <c r="AY293" i="3"/>
  <c r="BC292" i="3"/>
  <c r="BD292" i="3" s="1"/>
  <c r="AO295" i="3"/>
  <c r="A297" i="3"/>
  <c r="B296" i="3"/>
  <c r="AR296" i="3"/>
  <c r="AQ296" i="3"/>
  <c r="D296" i="3"/>
  <c r="AM296" i="3"/>
  <c r="R296" i="3"/>
  <c r="Q296" i="3"/>
  <c r="C296" i="3"/>
  <c r="AK296" i="3"/>
  <c r="S296" i="3"/>
  <c r="P296" i="3"/>
  <c r="AD296" i="3"/>
  <c r="AE296" i="3"/>
  <c r="M296" i="3"/>
  <c r="O296" i="3"/>
  <c r="AF296" i="3"/>
  <c r="V296" i="3"/>
  <c r="U296" i="3"/>
  <c r="G296" i="3"/>
  <c r="H296" i="3" s="1"/>
  <c r="F296" i="3"/>
  <c r="BM296" i="3" s="1"/>
  <c r="T296" i="3"/>
  <c r="AH295" i="3"/>
  <c r="AG295" i="3"/>
  <c r="BB292" i="3"/>
  <c r="BQ292" i="3"/>
  <c r="BF292" i="3"/>
  <c r="BJ291" i="3" s="1"/>
  <c r="BK291" i="3" s="1"/>
  <c r="AX294" i="3"/>
  <c r="AU294" i="3"/>
  <c r="X295" i="3"/>
  <c r="AW294" i="3"/>
  <c r="AT294" i="3"/>
  <c r="BA293" i="3"/>
  <c r="Y295" i="3"/>
  <c r="Z295" i="3" s="1"/>
  <c r="AN295" i="3"/>
  <c r="BC293" i="3" l="1"/>
  <c r="BD293" i="3" s="1"/>
  <c r="AO296" i="3"/>
  <c r="BN296" i="3"/>
  <c r="AU295" i="3"/>
  <c r="BG292" i="3"/>
  <c r="BH292" i="3" s="1"/>
  <c r="BI292" i="3" s="1"/>
  <c r="AY294" i="3"/>
  <c r="AT295" i="3"/>
  <c r="Y296" i="3"/>
  <c r="Z296" i="3" s="1"/>
  <c r="BB293" i="3"/>
  <c r="BQ293" i="3"/>
  <c r="BF293" i="3"/>
  <c r="BJ292" i="3" s="1"/>
  <c r="BK292" i="3" s="1"/>
  <c r="AV294" i="3"/>
  <c r="BA294" i="3"/>
  <c r="AR297" i="3"/>
  <c r="B297" i="3"/>
  <c r="AQ297" i="3"/>
  <c r="A298" i="3"/>
  <c r="AM297" i="3"/>
  <c r="AK297" i="3"/>
  <c r="S297" i="3"/>
  <c r="R297" i="3"/>
  <c r="AD297" i="3"/>
  <c r="P297" i="3"/>
  <c r="O297" i="3"/>
  <c r="M297" i="3"/>
  <c r="V297" i="3"/>
  <c r="AE297" i="3"/>
  <c r="AF297" i="3"/>
  <c r="U297" i="3"/>
  <c r="C297" i="3"/>
  <c r="G297" i="3"/>
  <c r="H297" i="3" s="1"/>
  <c r="Q297" i="3"/>
  <c r="D297" i="3"/>
  <c r="F297" i="3"/>
  <c r="T297" i="3"/>
  <c r="AX295" i="3"/>
  <c r="AH296" i="3"/>
  <c r="X296" i="3"/>
  <c r="AW295" i="3"/>
  <c r="AG296" i="3"/>
  <c r="AN296" i="3"/>
  <c r="BG293" i="3" l="1"/>
  <c r="BH293" i="3" s="1"/>
  <c r="BI293" i="3" s="1"/>
  <c r="BM297" i="3"/>
  <c r="BC294" i="3"/>
  <c r="BD294" i="3" s="1"/>
  <c r="AV295" i="3"/>
  <c r="AU296" i="3"/>
  <c r="AW296" i="3"/>
  <c r="AO297" i="3"/>
  <c r="AY295" i="3"/>
  <c r="Y297" i="3"/>
  <c r="Z297" i="3" s="1"/>
  <c r="AG297" i="3"/>
  <c r="AR298" i="3"/>
  <c r="B298" i="3"/>
  <c r="AQ298" i="3"/>
  <c r="A299" i="3"/>
  <c r="C298" i="3"/>
  <c r="R298" i="3"/>
  <c r="D298" i="3"/>
  <c r="AK298" i="3"/>
  <c r="AM298" i="3"/>
  <c r="Q298" i="3"/>
  <c r="AD298" i="3"/>
  <c r="P298" i="3"/>
  <c r="O298" i="3"/>
  <c r="M298" i="3"/>
  <c r="AE298" i="3"/>
  <c r="AF298" i="3"/>
  <c r="V298" i="3"/>
  <c r="U298" i="3"/>
  <c r="G298" i="3"/>
  <c r="H298" i="3" s="1"/>
  <c r="BN298" i="3" s="1"/>
  <c r="F298" i="3"/>
  <c r="S298" i="3"/>
  <c r="T298" i="3"/>
  <c r="BB294" i="3"/>
  <c r="BF294" i="3"/>
  <c r="BJ293" i="3" s="1"/>
  <c r="BK293" i="3" s="1"/>
  <c r="BQ294" i="3"/>
  <c r="AX296" i="3"/>
  <c r="BN297" i="3"/>
  <c r="AT296" i="3"/>
  <c r="X297" i="3"/>
  <c r="AH297" i="3"/>
  <c r="AN297" i="3"/>
  <c r="BA295" i="3"/>
  <c r="BG294" i="3" l="1"/>
  <c r="BH294" i="3" s="1"/>
  <c r="BI294" i="3" s="1"/>
  <c r="AV296" i="3"/>
  <c r="BC295" i="3"/>
  <c r="BD295" i="3" s="1"/>
  <c r="BM298" i="3"/>
  <c r="AO298" i="3"/>
  <c r="AT297" i="3"/>
  <c r="BA296" i="3"/>
  <c r="BF296" i="3" s="1"/>
  <c r="AU297" i="3"/>
  <c r="Y298" i="3"/>
  <c r="Z298" i="3" s="1"/>
  <c r="BF295" i="3"/>
  <c r="BJ294" i="3" s="1"/>
  <c r="BK294" i="3" s="1"/>
  <c r="BQ295" i="3"/>
  <c r="BB295" i="3"/>
  <c r="AX297" i="3"/>
  <c r="AW297" i="3"/>
  <c r="AY296" i="3"/>
  <c r="X298" i="3"/>
  <c r="AG298" i="3"/>
  <c r="AH298" i="3"/>
  <c r="AN298" i="3"/>
  <c r="AQ299" i="3"/>
  <c r="B299" i="3"/>
  <c r="A300" i="3"/>
  <c r="AR299" i="3"/>
  <c r="AM299" i="3"/>
  <c r="S299" i="3"/>
  <c r="R299" i="3"/>
  <c r="AK299" i="3"/>
  <c r="AD299" i="3"/>
  <c r="Q299" i="3"/>
  <c r="O299" i="3"/>
  <c r="M299" i="3"/>
  <c r="AE299" i="3"/>
  <c r="U299" i="3"/>
  <c r="AF299" i="3"/>
  <c r="V299" i="3"/>
  <c r="C299" i="3"/>
  <c r="D299" i="3"/>
  <c r="G299" i="3"/>
  <c r="H299" i="3" s="1"/>
  <c r="F299" i="3"/>
  <c r="T299" i="3"/>
  <c r="P299" i="3"/>
  <c r="BC296" i="3" l="1"/>
  <c r="BD296" i="3" s="1"/>
  <c r="AV297" i="3"/>
  <c r="BG295" i="3"/>
  <c r="BH295" i="3" s="1"/>
  <c r="BI295" i="3" s="1"/>
  <c r="BM299" i="3"/>
  <c r="AT298" i="3"/>
  <c r="BB296" i="3"/>
  <c r="BQ296" i="3"/>
  <c r="AO299" i="3"/>
  <c r="AX298" i="3"/>
  <c r="AY297" i="3"/>
  <c r="Y299" i="3"/>
  <c r="Z299" i="3" s="1"/>
  <c r="A301" i="3"/>
  <c r="B300" i="3"/>
  <c r="AR300" i="3"/>
  <c r="AQ300" i="3"/>
  <c r="C300" i="3"/>
  <c r="AK300" i="3"/>
  <c r="AM300" i="3"/>
  <c r="S300" i="3"/>
  <c r="R300" i="3"/>
  <c r="Q300" i="3"/>
  <c r="AD300" i="3"/>
  <c r="M300" i="3"/>
  <c r="AE300" i="3"/>
  <c r="AF300" i="3"/>
  <c r="P300" i="3"/>
  <c r="O300" i="3"/>
  <c r="V300" i="3"/>
  <c r="U300" i="3"/>
  <c r="F300" i="3"/>
  <c r="G300" i="3"/>
  <c r="H300" i="3" s="1"/>
  <c r="D300" i="3"/>
  <c r="T300" i="3"/>
  <c r="BN299" i="3"/>
  <c r="X299" i="3"/>
  <c r="AG299" i="3"/>
  <c r="AH299" i="3"/>
  <c r="AN299" i="3"/>
  <c r="AU298" i="3"/>
  <c r="AW298" i="3"/>
  <c r="BA297" i="3"/>
  <c r="BJ295" i="3"/>
  <c r="BK295" i="3" s="1"/>
  <c r="AV298" i="3" l="1"/>
  <c r="BM300" i="3"/>
  <c r="BG296" i="3"/>
  <c r="BH296" i="3" s="1"/>
  <c r="BI296" i="3" s="1"/>
  <c r="BC297" i="3"/>
  <c r="BG297" i="3" s="1"/>
  <c r="BH297" i="3" s="1"/>
  <c r="BI297" i="3" s="1"/>
  <c r="BN300" i="3"/>
  <c r="AX299" i="3"/>
  <c r="BB297" i="3"/>
  <c r="BQ297" i="3"/>
  <c r="BF297" i="3"/>
  <c r="BJ296" i="3" s="1"/>
  <c r="BK296" i="3" s="1"/>
  <c r="AT299" i="3"/>
  <c r="AW299" i="3"/>
  <c r="AR301" i="3"/>
  <c r="B301" i="3"/>
  <c r="AQ301" i="3"/>
  <c r="A302" i="3"/>
  <c r="C301" i="3"/>
  <c r="T301" i="3"/>
  <c r="AK301" i="3"/>
  <c r="AM301" i="3"/>
  <c r="S301" i="3"/>
  <c r="Q301" i="3"/>
  <c r="AD301" i="3"/>
  <c r="P301" i="3"/>
  <c r="R301" i="3"/>
  <c r="M301" i="3"/>
  <c r="O301" i="3"/>
  <c r="AF301" i="3"/>
  <c r="AE301" i="3"/>
  <c r="V301" i="3"/>
  <c r="U301" i="3"/>
  <c r="F301" i="3"/>
  <c r="D301" i="3"/>
  <c r="G301" i="3"/>
  <c r="H301" i="3" s="1"/>
  <c r="AG300" i="3"/>
  <c r="AH300" i="3"/>
  <c r="X300" i="3"/>
  <c r="BA298" i="3"/>
  <c r="AY298" i="3"/>
  <c r="AN300" i="3"/>
  <c r="AO300" i="3"/>
  <c r="AU299" i="3"/>
  <c r="Y300" i="3"/>
  <c r="Z300" i="3" s="1"/>
  <c r="BC298" i="3" l="1"/>
  <c r="BD298" i="3" s="1"/>
  <c r="BD297" i="3"/>
  <c r="BM301" i="3"/>
  <c r="AT300" i="3"/>
  <c r="AG301" i="3"/>
  <c r="AY299" i="3"/>
  <c r="AO301" i="3"/>
  <c r="AU300" i="3"/>
  <c r="AX300" i="3"/>
  <c r="AR302" i="3"/>
  <c r="B302" i="3"/>
  <c r="AQ302" i="3"/>
  <c r="A303" i="3"/>
  <c r="D302" i="3"/>
  <c r="AK302" i="3"/>
  <c r="T302" i="3"/>
  <c r="S302" i="3"/>
  <c r="Q302" i="3"/>
  <c r="AM302" i="3"/>
  <c r="R302" i="3"/>
  <c r="AD302" i="3"/>
  <c r="P302" i="3"/>
  <c r="O302" i="3"/>
  <c r="AE302" i="3"/>
  <c r="V302" i="3"/>
  <c r="U302" i="3"/>
  <c r="M302" i="3"/>
  <c r="AF302" i="3"/>
  <c r="G302" i="3"/>
  <c r="H302" i="3" s="1"/>
  <c r="F302" i="3"/>
  <c r="C302" i="3"/>
  <c r="BN301" i="3"/>
  <c r="AN301" i="3"/>
  <c r="BB298" i="3"/>
  <c r="BQ298" i="3"/>
  <c r="BF298" i="3"/>
  <c r="Y301" i="3"/>
  <c r="Z301" i="3" s="1"/>
  <c r="AV299" i="3"/>
  <c r="BA299" i="3"/>
  <c r="AW300" i="3"/>
  <c r="AH301" i="3"/>
  <c r="X301" i="3"/>
  <c r="BG298" i="3" l="1"/>
  <c r="BH298" i="3" s="1"/>
  <c r="BI298" i="3" s="1"/>
  <c r="AV300" i="3"/>
  <c r="AN302" i="3"/>
  <c r="AX301" i="3"/>
  <c r="BC299" i="3"/>
  <c r="BG299" i="3" s="1"/>
  <c r="BH299" i="3" s="1"/>
  <c r="BI299" i="3" s="1"/>
  <c r="BN302" i="3"/>
  <c r="AT301" i="3"/>
  <c r="AY300" i="3"/>
  <c r="BA300" i="3"/>
  <c r="BF300" i="3" s="1"/>
  <c r="X302" i="3"/>
  <c r="Y302" i="3"/>
  <c r="Z302" i="3" s="1"/>
  <c r="AU301" i="3"/>
  <c r="BM302" i="3"/>
  <c r="AG302" i="3"/>
  <c r="BF299" i="3"/>
  <c r="BJ298" i="3" s="1"/>
  <c r="BK298" i="3" s="1"/>
  <c r="BB299" i="3"/>
  <c r="BQ299" i="3"/>
  <c r="BJ297" i="3"/>
  <c r="BK297" i="3" s="1"/>
  <c r="AQ303" i="3"/>
  <c r="B303" i="3"/>
  <c r="A304" i="3"/>
  <c r="AR303" i="3"/>
  <c r="D303" i="3"/>
  <c r="AM303" i="3"/>
  <c r="S303" i="3"/>
  <c r="R303" i="3"/>
  <c r="AK303" i="3"/>
  <c r="T303" i="3"/>
  <c r="Q303" i="3"/>
  <c r="AD303" i="3"/>
  <c r="P303" i="3"/>
  <c r="O303" i="3"/>
  <c r="AF303" i="3"/>
  <c r="AE303" i="3"/>
  <c r="M303" i="3"/>
  <c r="U303" i="3"/>
  <c r="V303" i="3"/>
  <c r="C303" i="3"/>
  <c r="G303" i="3"/>
  <c r="H303" i="3" s="1"/>
  <c r="F303" i="3"/>
  <c r="AW301" i="3"/>
  <c r="AH302" i="3"/>
  <c r="AO302" i="3"/>
  <c r="BN303" i="3" l="1"/>
  <c r="BM303" i="3"/>
  <c r="AY301" i="3"/>
  <c r="BC300" i="3"/>
  <c r="BD300" i="3" s="1"/>
  <c r="BD299" i="3"/>
  <c r="AV301" i="3"/>
  <c r="BB300" i="3"/>
  <c r="AO303" i="3"/>
  <c r="BQ300" i="3"/>
  <c r="BJ299" i="3"/>
  <c r="BK299" i="3" s="1"/>
  <c r="Y303" i="3"/>
  <c r="Z303" i="3" s="1"/>
  <c r="A305" i="3"/>
  <c r="B304" i="3"/>
  <c r="AR304" i="3"/>
  <c r="AQ304" i="3"/>
  <c r="AK304" i="3"/>
  <c r="S304" i="3"/>
  <c r="AM304" i="3"/>
  <c r="T304" i="3"/>
  <c r="AD304" i="3"/>
  <c r="P304" i="3"/>
  <c r="R304" i="3"/>
  <c r="Q304" i="3"/>
  <c r="M304" i="3"/>
  <c r="O304" i="3"/>
  <c r="AF304" i="3"/>
  <c r="AE304" i="3"/>
  <c r="U304" i="3"/>
  <c r="V304" i="3"/>
  <c r="C304" i="3"/>
  <c r="F304" i="3"/>
  <c r="G304" i="3"/>
  <c r="H304" i="3" s="1"/>
  <c r="D304" i="3"/>
  <c r="AX302" i="3"/>
  <c r="X303" i="3"/>
  <c r="AG303" i="3"/>
  <c r="AH303" i="3"/>
  <c r="AN303" i="3"/>
  <c r="AU302" i="3"/>
  <c r="BA301" i="3"/>
  <c r="AT302" i="3"/>
  <c r="AW302" i="3"/>
  <c r="BG300" i="3" l="1"/>
  <c r="BH300" i="3" s="1"/>
  <c r="BI300" i="3" s="1"/>
  <c r="BC301" i="3"/>
  <c r="BD301" i="3" s="1"/>
  <c r="AN304" i="3"/>
  <c r="BM304" i="3"/>
  <c r="AX303" i="3"/>
  <c r="AG304" i="3"/>
  <c r="AU303" i="3"/>
  <c r="AT303" i="3"/>
  <c r="AV302" i="3"/>
  <c r="BA302" i="3"/>
  <c r="BF301" i="3"/>
  <c r="BJ300" i="3" s="1"/>
  <c r="BK300" i="3" s="1"/>
  <c r="BQ301" i="3"/>
  <c r="BB301" i="3"/>
  <c r="AR305" i="3"/>
  <c r="B305" i="3"/>
  <c r="AQ305" i="3"/>
  <c r="A306" i="3"/>
  <c r="AK305" i="3"/>
  <c r="R305" i="3"/>
  <c r="AM305" i="3"/>
  <c r="Q305" i="3"/>
  <c r="AD305" i="3"/>
  <c r="O305" i="3"/>
  <c r="M305" i="3"/>
  <c r="AF305" i="3"/>
  <c r="U305" i="3"/>
  <c r="P305" i="3"/>
  <c r="AE305" i="3"/>
  <c r="V305" i="3"/>
  <c r="D305" i="3"/>
  <c r="G305" i="3"/>
  <c r="H305" i="3" s="1"/>
  <c r="F305" i="3"/>
  <c r="C305" i="3"/>
  <c r="S305" i="3"/>
  <c r="T305" i="3"/>
  <c r="AW303" i="3"/>
  <c r="AY302" i="3"/>
  <c r="BN304" i="3"/>
  <c r="X304" i="3"/>
  <c r="AH304" i="3"/>
  <c r="AO304" i="3"/>
  <c r="Y304" i="3"/>
  <c r="Z304" i="3" s="1"/>
  <c r="BG301" i="3" l="1"/>
  <c r="BH301" i="3" s="1"/>
  <c r="BI301" i="3" s="1"/>
  <c r="AU304" i="3"/>
  <c r="AN305" i="3"/>
  <c r="BM305" i="3"/>
  <c r="AG305" i="3"/>
  <c r="AV303" i="3"/>
  <c r="AY303" i="3"/>
  <c r="AW304" i="3"/>
  <c r="AR306" i="3"/>
  <c r="B306" i="3"/>
  <c r="AQ306" i="3"/>
  <c r="A307" i="3"/>
  <c r="D306" i="3"/>
  <c r="AM306" i="3"/>
  <c r="S306" i="3"/>
  <c r="T306" i="3"/>
  <c r="AK306" i="3"/>
  <c r="Q306" i="3"/>
  <c r="P306" i="3"/>
  <c r="AD306" i="3"/>
  <c r="O306" i="3"/>
  <c r="AE306" i="3"/>
  <c r="M306" i="3"/>
  <c r="AF306" i="3"/>
  <c r="V306" i="3"/>
  <c r="U306" i="3"/>
  <c r="C306" i="3"/>
  <c r="G306" i="3"/>
  <c r="H306" i="3" s="1"/>
  <c r="R306" i="3"/>
  <c r="F306" i="3"/>
  <c r="X305" i="3"/>
  <c r="Y305" i="3"/>
  <c r="Z305" i="3" s="1"/>
  <c r="BN305" i="3"/>
  <c r="AH305" i="3"/>
  <c r="BC302" i="3"/>
  <c r="AT304" i="3"/>
  <c r="AX304" i="3"/>
  <c r="BQ302" i="3"/>
  <c r="BF302" i="3"/>
  <c r="BJ301" i="3" s="1"/>
  <c r="BK301" i="3" s="1"/>
  <c r="BB302" i="3"/>
  <c r="AO305" i="3"/>
  <c r="BA303" i="3"/>
  <c r="BM306" i="3" l="1"/>
  <c r="BN306" i="3"/>
  <c r="AT305" i="3"/>
  <c r="AN306" i="3"/>
  <c r="AU305" i="3"/>
  <c r="AW305" i="3"/>
  <c r="AY304" i="3"/>
  <c r="BC303" i="3"/>
  <c r="BG303" i="3" s="1"/>
  <c r="BH303" i="3" s="1"/>
  <c r="BI303" i="3" s="1"/>
  <c r="AO306" i="3"/>
  <c r="BD302" i="3"/>
  <c r="BG302" i="3"/>
  <c r="BH302" i="3" s="1"/>
  <c r="BI302" i="3" s="1"/>
  <c r="BB303" i="3"/>
  <c r="BF303" i="3"/>
  <c r="BJ302" i="3" s="1"/>
  <c r="BK302" i="3" s="1"/>
  <c r="BQ303" i="3"/>
  <c r="BA304" i="3"/>
  <c r="AV304" i="3"/>
  <c r="Y306" i="3"/>
  <c r="Z306" i="3" s="1"/>
  <c r="AX305" i="3"/>
  <c r="X306" i="3"/>
  <c r="AQ307" i="3"/>
  <c r="B307" i="3"/>
  <c r="A308" i="3"/>
  <c r="AR307" i="3"/>
  <c r="C307" i="3"/>
  <c r="AM307" i="3"/>
  <c r="Q307" i="3"/>
  <c r="AK307" i="3"/>
  <c r="S307" i="3"/>
  <c r="R307" i="3"/>
  <c r="AD307" i="3"/>
  <c r="P307" i="3"/>
  <c r="O307" i="3"/>
  <c r="M307" i="3"/>
  <c r="AF307" i="3"/>
  <c r="AE307" i="3"/>
  <c r="U307" i="3"/>
  <c r="V307" i="3"/>
  <c r="D307" i="3"/>
  <c r="G307" i="3"/>
  <c r="H307" i="3" s="1"/>
  <c r="F307" i="3"/>
  <c r="T307" i="3"/>
  <c r="AG306" i="3"/>
  <c r="AH306" i="3"/>
  <c r="BM307" i="3" l="1"/>
  <c r="AO307" i="3"/>
  <c r="AV305" i="3"/>
  <c r="AY305" i="3"/>
  <c r="BN307" i="3"/>
  <c r="BC304" i="3"/>
  <c r="BG304" i="3" s="1"/>
  <c r="BH304" i="3" s="1"/>
  <c r="BI304" i="3" s="1"/>
  <c r="BA305" i="3"/>
  <c r="BB305" i="3" s="1"/>
  <c r="BD303" i="3"/>
  <c r="AX306" i="3"/>
  <c r="AG307" i="3"/>
  <c r="Y307" i="3"/>
  <c r="Z307" i="3" s="1"/>
  <c r="A309" i="3"/>
  <c r="B308" i="3"/>
  <c r="AR308" i="3"/>
  <c r="AQ308" i="3"/>
  <c r="AK308" i="3"/>
  <c r="S308" i="3"/>
  <c r="Q308" i="3"/>
  <c r="D308" i="3"/>
  <c r="AM308" i="3"/>
  <c r="R308" i="3"/>
  <c r="AD308" i="3"/>
  <c r="P308" i="3"/>
  <c r="O308" i="3"/>
  <c r="M308" i="3"/>
  <c r="AE308" i="3"/>
  <c r="AF308" i="3"/>
  <c r="U308" i="3"/>
  <c r="V308" i="3"/>
  <c r="C308" i="3"/>
  <c r="G308" i="3"/>
  <c r="H308" i="3" s="1"/>
  <c r="BN308" i="3" s="1"/>
  <c r="F308" i="3"/>
  <c r="T308" i="3"/>
  <c r="BQ304" i="3"/>
  <c r="BB304" i="3"/>
  <c r="BF304" i="3"/>
  <c r="BJ303" i="3" s="1"/>
  <c r="BK303" i="3" s="1"/>
  <c r="AW306" i="3"/>
  <c r="AH307" i="3"/>
  <c r="X307" i="3"/>
  <c r="AU306" i="3"/>
  <c r="AN307" i="3"/>
  <c r="AT306" i="3"/>
  <c r="BM308" i="3" l="1"/>
  <c r="AN308" i="3"/>
  <c r="BC305" i="3"/>
  <c r="BD305" i="3" s="1"/>
  <c r="BD304" i="3"/>
  <c r="AG308" i="3"/>
  <c r="BQ305" i="3"/>
  <c r="Y308" i="3"/>
  <c r="Z308" i="3" s="1"/>
  <c r="BF305" i="3"/>
  <c r="BJ304" i="3" s="1"/>
  <c r="BK304" i="3" s="1"/>
  <c r="AY306" i="3"/>
  <c r="AU307" i="3"/>
  <c r="AT307" i="3"/>
  <c r="AW307" i="3"/>
  <c r="BA306" i="3"/>
  <c r="AV306" i="3"/>
  <c r="AR309" i="3"/>
  <c r="B309" i="3"/>
  <c r="AQ309" i="3"/>
  <c r="A310" i="3"/>
  <c r="AM309" i="3"/>
  <c r="D309" i="3"/>
  <c r="AK309" i="3"/>
  <c r="Q309" i="3"/>
  <c r="P309" i="3"/>
  <c r="T309" i="3"/>
  <c r="R309" i="3"/>
  <c r="AD309" i="3"/>
  <c r="O309" i="3"/>
  <c r="AE309" i="3"/>
  <c r="M309" i="3"/>
  <c r="AF309" i="3"/>
  <c r="U309" i="3"/>
  <c r="V309" i="3"/>
  <c r="G309" i="3"/>
  <c r="H309" i="3" s="1"/>
  <c r="C309" i="3"/>
  <c r="F309" i="3"/>
  <c r="S309" i="3"/>
  <c r="X308" i="3"/>
  <c r="AH308" i="3"/>
  <c r="AO308" i="3"/>
  <c r="AX307" i="3"/>
  <c r="BG305" i="3" l="1"/>
  <c r="BH305" i="3" s="1"/>
  <c r="BI305" i="3" s="1"/>
  <c r="BM309" i="3"/>
  <c r="BN309" i="3"/>
  <c r="BC306" i="3"/>
  <c r="BD306" i="3" s="1"/>
  <c r="AV307" i="3"/>
  <c r="AY307" i="3"/>
  <c r="AX308" i="3"/>
  <c r="AU308" i="3"/>
  <c r="AO309" i="3"/>
  <c r="AN309" i="3"/>
  <c r="Y309" i="3"/>
  <c r="Z309" i="3" s="1"/>
  <c r="AR310" i="3"/>
  <c r="B310" i="3"/>
  <c r="AQ310" i="3"/>
  <c r="A311" i="3"/>
  <c r="D310" i="3"/>
  <c r="AK310" i="3"/>
  <c r="AM310" i="3"/>
  <c r="S310" i="3"/>
  <c r="Q310" i="3"/>
  <c r="R310" i="3"/>
  <c r="AD310" i="3"/>
  <c r="AE310" i="3"/>
  <c r="U310" i="3"/>
  <c r="P310" i="3"/>
  <c r="O310" i="3"/>
  <c r="M310" i="3"/>
  <c r="AF310" i="3"/>
  <c r="V310" i="3"/>
  <c r="G310" i="3"/>
  <c r="H310" i="3" s="1"/>
  <c r="C310" i="3"/>
  <c r="F310" i="3"/>
  <c r="T310" i="3"/>
  <c r="AT308" i="3"/>
  <c r="AW308" i="3"/>
  <c r="X309" i="3"/>
  <c r="AG309" i="3"/>
  <c r="AH309" i="3"/>
  <c r="BA307" i="3"/>
  <c r="BQ306" i="3"/>
  <c r="BB306" i="3"/>
  <c r="BF306" i="3"/>
  <c r="BN310" i="3" l="1"/>
  <c r="BG306" i="3"/>
  <c r="BH306" i="3" s="1"/>
  <c r="BI306" i="3" s="1"/>
  <c r="AY308" i="3"/>
  <c r="BC307" i="3"/>
  <c r="BD307" i="3" s="1"/>
  <c r="AO310" i="3"/>
  <c r="AX309" i="3"/>
  <c r="AG310" i="3"/>
  <c r="Y310" i="3"/>
  <c r="Z310" i="3" s="1"/>
  <c r="X310" i="3"/>
  <c r="BB307" i="3"/>
  <c r="BQ307" i="3"/>
  <c r="BF307" i="3"/>
  <c r="BJ306" i="3" s="1"/>
  <c r="BK306" i="3" s="1"/>
  <c r="AV308" i="3"/>
  <c r="BA308" i="3"/>
  <c r="AU309" i="3"/>
  <c r="AT309" i="3"/>
  <c r="AW309" i="3"/>
  <c r="BM310" i="3"/>
  <c r="AH310" i="3"/>
  <c r="AN310" i="3"/>
  <c r="BJ305" i="3"/>
  <c r="BK305" i="3" s="1"/>
  <c r="AQ311" i="3"/>
  <c r="B311" i="3"/>
  <c r="A312" i="3"/>
  <c r="AR311" i="3"/>
  <c r="D311" i="3"/>
  <c r="AM311" i="3"/>
  <c r="T311" i="3"/>
  <c r="AK311" i="3"/>
  <c r="R311" i="3"/>
  <c r="Q311" i="3"/>
  <c r="AD311" i="3"/>
  <c r="P311" i="3"/>
  <c r="M311" i="3"/>
  <c r="V311" i="3"/>
  <c r="O311" i="3"/>
  <c r="AE311" i="3"/>
  <c r="AF311" i="3"/>
  <c r="U311" i="3"/>
  <c r="F311" i="3"/>
  <c r="C311" i="3"/>
  <c r="G311" i="3"/>
  <c r="H311" i="3" s="1"/>
  <c r="BN311" i="3" s="1"/>
  <c r="S311" i="3"/>
  <c r="AT310" i="3" l="1"/>
  <c r="AO311" i="3"/>
  <c r="BC308" i="3"/>
  <c r="BD308" i="3" s="1"/>
  <c r="BG307" i="3"/>
  <c r="BH307" i="3" s="1"/>
  <c r="BI307" i="3" s="1"/>
  <c r="AY309" i="3"/>
  <c r="AW310" i="3"/>
  <c r="AU310" i="3"/>
  <c r="AG311" i="3"/>
  <c r="X311" i="3"/>
  <c r="Y311" i="3"/>
  <c r="Z311" i="3" s="1"/>
  <c r="A313" i="3"/>
  <c r="B312" i="3"/>
  <c r="AR312" i="3"/>
  <c r="AQ312" i="3"/>
  <c r="T312" i="3"/>
  <c r="S312" i="3"/>
  <c r="AK312" i="3"/>
  <c r="AM312" i="3"/>
  <c r="R312" i="3"/>
  <c r="Q312" i="3"/>
  <c r="AD312" i="3"/>
  <c r="P312" i="3"/>
  <c r="AE312" i="3"/>
  <c r="M312" i="3"/>
  <c r="V312" i="3"/>
  <c r="U312" i="3"/>
  <c r="O312" i="3"/>
  <c r="AF312" i="3"/>
  <c r="D312" i="3"/>
  <c r="C312" i="3"/>
  <c r="G312" i="3"/>
  <c r="H312" i="3" s="1"/>
  <c r="F312" i="3"/>
  <c r="AV309" i="3"/>
  <c r="BA309" i="3"/>
  <c r="BF308" i="3"/>
  <c r="BJ307" i="3" s="1"/>
  <c r="BK307" i="3" s="1"/>
  <c r="BB308" i="3"/>
  <c r="BQ308" i="3"/>
  <c r="BM311" i="3"/>
  <c r="AH311" i="3"/>
  <c r="AX310" i="3"/>
  <c r="AN311" i="3"/>
  <c r="BN312" i="3" l="1"/>
  <c r="BM312" i="3"/>
  <c r="AV310" i="3"/>
  <c r="BC309" i="3"/>
  <c r="BG309" i="3" s="1"/>
  <c r="BH309" i="3" s="1"/>
  <c r="BI309" i="3" s="1"/>
  <c r="BG308" i="3"/>
  <c r="BH308" i="3" s="1"/>
  <c r="BI308" i="3" s="1"/>
  <c r="AY310" i="3"/>
  <c r="AN312" i="3"/>
  <c r="AU311" i="3"/>
  <c r="AT311" i="3"/>
  <c r="AW311" i="3"/>
  <c r="AH312" i="3"/>
  <c r="BA310" i="3"/>
  <c r="BQ310" i="3" s="1"/>
  <c r="Y312" i="3"/>
  <c r="Z312" i="3" s="1"/>
  <c r="AR313" i="3"/>
  <c r="B313" i="3"/>
  <c r="AQ313" i="3"/>
  <c r="A314" i="3"/>
  <c r="C313" i="3"/>
  <c r="AM313" i="3"/>
  <c r="S313" i="3"/>
  <c r="AK313" i="3"/>
  <c r="T313" i="3"/>
  <c r="Q313" i="3"/>
  <c r="AD313" i="3"/>
  <c r="P313" i="3"/>
  <c r="AF313" i="3"/>
  <c r="U313" i="3"/>
  <c r="O313" i="3"/>
  <c r="M313" i="3"/>
  <c r="AE313" i="3"/>
  <c r="V313" i="3"/>
  <c r="D313" i="3"/>
  <c r="R313" i="3"/>
  <c r="F313" i="3"/>
  <c r="G313" i="3"/>
  <c r="H313" i="3" s="1"/>
  <c r="X312" i="3"/>
  <c r="AX311" i="3"/>
  <c r="AG312" i="3"/>
  <c r="AO312" i="3"/>
  <c r="BF309" i="3"/>
  <c r="BJ308" i="3" s="1"/>
  <c r="BK308" i="3" s="1"/>
  <c r="BQ309" i="3"/>
  <c r="BB309" i="3"/>
  <c r="BM313" i="3" l="1"/>
  <c r="BC310" i="3"/>
  <c r="BG310" i="3" s="1"/>
  <c r="BH310" i="3" s="1"/>
  <c r="BI310" i="3" s="1"/>
  <c r="AG313" i="3"/>
  <c r="BD309" i="3"/>
  <c r="AO313" i="3"/>
  <c r="AU312" i="3"/>
  <c r="AV311" i="3"/>
  <c r="AW312" i="3"/>
  <c r="BA311" i="3"/>
  <c r="BQ311" i="3" s="1"/>
  <c r="AY311" i="3"/>
  <c r="BB310" i="3"/>
  <c r="BF310" i="3"/>
  <c r="BJ309" i="3" s="1"/>
  <c r="BK309" i="3" s="1"/>
  <c r="Y313" i="3"/>
  <c r="Z313" i="3" s="1"/>
  <c r="AR314" i="3"/>
  <c r="B314" i="3"/>
  <c r="AQ314" i="3"/>
  <c r="A315" i="3"/>
  <c r="D314" i="3"/>
  <c r="AK314" i="3"/>
  <c r="AM314" i="3"/>
  <c r="T314" i="3"/>
  <c r="S314" i="3"/>
  <c r="Q314" i="3"/>
  <c r="R314" i="3"/>
  <c r="AD314" i="3"/>
  <c r="P314" i="3"/>
  <c r="AF314" i="3"/>
  <c r="O314" i="3"/>
  <c r="M314" i="3"/>
  <c r="AE314" i="3"/>
  <c r="U314" i="3"/>
  <c r="V314" i="3"/>
  <c r="F314" i="3"/>
  <c r="C314" i="3"/>
  <c r="G314" i="3"/>
  <c r="H314" i="3" s="1"/>
  <c r="AT312" i="3"/>
  <c r="AH313" i="3"/>
  <c r="AX312" i="3"/>
  <c r="BN313" i="3"/>
  <c r="AN313" i="3"/>
  <c r="X313" i="3"/>
  <c r="BD310" i="3" l="1"/>
  <c r="AY312" i="3"/>
  <c r="BC311" i="3"/>
  <c r="BD311" i="3" s="1"/>
  <c r="BF311" i="3"/>
  <c r="BJ310" i="3" s="1"/>
  <c r="BK310" i="3" s="1"/>
  <c r="BB311" i="3"/>
  <c r="AX313" i="3"/>
  <c r="AN314" i="3"/>
  <c r="AT313" i="3"/>
  <c r="AG314" i="3"/>
  <c r="X314" i="3"/>
  <c r="Y314" i="3"/>
  <c r="Z314" i="3" s="1"/>
  <c r="AV312" i="3"/>
  <c r="BA312" i="3"/>
  <c r="AQ315" i="3"/>
  <c r="B315" i="3"/>
  <c r="A316" i="3"/>
  <c r="AR315" i="3"/>
  <c r="AK315" i="3"/>
  <c r="AM315" i="3"/>
  <c r="R315" i="3"/>
  <c r="Q315" i="3"/>
  <c r="AD315" i="3"/>
  <c r="P315" i="3"/>
  <c r="O315" i="3"/>
  <c r="M315" i="3"/>
  <c r="AF315" i="3"/>
  <c r="V315" i="3"/>
  <c r="AE315" i="3"/>
  <c r="U315" i="3"/>
  <c r="C315" i="3"/>
  <c r="D315" i="3"/>
  <c r="G315" i="3"/>
  <c r="H315" i="3" s="1"/>
  <c r="F315" i="3"/>
  <c r="T315" i="3"/>
  <c r="S315" i="3"/>
  <c r="AU313" i="3"/>
  <c r="AW313" i="3"/>
  <c r="BN314" i="3"/>
  <c r="BM314" i="3"/>
  <c r="AH314" i="3"/>
  <c r="AO314" i="3"/>
  <c r="BC312" i="3" l="1"/>
  <c r="BG312" i="3" s="1"/>
  <c r="BH312" i="3" s="1"/>
  <c r="BI312" i="3" s="1"/>
  <c r="BG311" i="3"/>
  <c r="BH311" i="3" s="1"/>
  <c r="BI311" i="3" s="1"/>
  <c r="AY313" i="3"/>
  <c r="AG315" i="3"/>
  <c r="BM315" i="3"/>
  <c r="AN315" i="3"/>
  <c r="AV313" i="3"/>
  <c r="AX314" i="3"/>
  <c r="A317" i="3"/>
  <c r="B316" i="3"/>
  <c r="AR316" i="3"/>
  <c r="AQ316" i="3"/>
  <c r="D316" i="3"/>
  <c r="C316" i="3"/>
  <c r="AK316" i="3"/>
  <c r="T316" i="3"/>
  <c r="AM316" i="3"/>
  <c r="S316" i="3"/>
  <c r="Q316" i="3"/>
  <c r="AD316" i="3"/>
  <c r="P316" i="3"/>
  <c r="M316" i="3"/>
  <c r="AF316" i="3"/>
  <c r="V316" i="3"/>
  <c r="U316" i="3"/>
  <c r="O316" i="3"/>
  <c r="AE316" i="3"/>
  <c r="F316" i="3"/>
  <c r="R316" i="3"/>
  <c r="G316" i="3"/>
  <c r="H316" i="3" s="1"/>
  <c r="AT314" i="3"/>
  <c r="AW314" i="3"/>
  <c r="AU314" i="3"/>
  <c r="BN315" i="3"/>
  <c r="AH315" i="3"/>
  <c r="AO315" i="3"/>
  <c r="BA313" i="3"/>
  <c r="Y315" i="3"/>
  <c r="Z315" i="3" s="1"/>
  <c r="BB312" i="3"/>
  <c r="BQ312" i="3"/>
  <c r="BF312" i="3"/>
  <c r="BJ311" i="3" s="1"/>
  <c r="BK311" i="3" s="1"/>
  <c r="X315" i="3"/>
  <c r="BD312" i="3" l="1"/>
  <c r="BM316" i="3"/>
  <c r="AN316" i="3"/>
  <c r="BC313" i="3"/>
  <c r="BD313" i="3" s="1"/>
  <c r="AU315" i="3"/>
  <c r="BN316" i="3"/>
  <c r="AY314" i="3"/>
  <c r="AX315" i="3"/>
  <c r="AT315" i="3"/>
  <c r="AH316" i="3"/>
  <c r="BQ313" i="3"/>
  <c r="BB313" i="3"/>
  <c r="BF313" i="3"/>
  <c r="BJ312" i="3" s="1"/>
  <c r="BK312" i="3" s="1"/>
  <c r="AV314" i="3"/>
  <c r="BA314" i="3"/>
  <c r="AR317" i="3"/>
  <c r="B317" i="3"/>
  <c r="AQ317" i="3"/>
  <c r="A318" i="3"/>
  <c r="AK317" i="3"/>
  <c r="S317" i="3"/>
  <c r="AM317" i="3"/>
  <c r="R317" i="3"/>
  <c r="AD317" i="3"/>
  <c r="P317" i="3"/>
  <c r="AE317" i="3"/>
  <c r="M317" i="3"/>
  <c r="O317" i="3"/>
  <c r="V317" i="3"/>
  <c r="AF317" i="3"/>
  <c r="U317" i="3"/>
  <c r="Q317" i="3"/>
  <c r="C317" i="3"/>
  <c r="D317" i="3"/>
  <c r="G317" i="3"/>
  <c r="H317" i="3" s="1"/>
  <c r="F317" i="3"/>
  <c r="T317" i="3"/>
  <c r="AW315" i="3"/>
  <c r="AG316" i="3"/>
  <c r="AO316" i="3"/>
  <c r="Y316" i="3"/>
  <c r="Z316" i="3" s="1"/>
  <c r="X316" i="3"/>
  <c r="AV315" i="3" l="1"/>
  <c r="AN317" i="3"/>
  <c r="BC314" i="3"/>
  <c r="BD314" i="3" s="1"/>
  <c r="BG313" i="3"/>
  <c r="BH313" i="3" s="1"/>
  <c r="BI313" i="3" s="1"/>
  <c r="AY315" i="3"/>
  <c r="BM317" i="3"/>
  <c r="BA315" i="3"/>
  <c r="BQ315" i="3" s="1"/>
  <c r="AW316" i="3"/>
  <c r="AU316" i="3"/>
  <c r="AX316" i="3"/>
  <c r="AR318" i="3"/>
  <c r="B318" i="3"/>
  <c r="AQ318" i="3"/>
  <c r="A319" i="3"/>
  <c r="C318" i="3"/>
  <c r="R318" i="3"/>
  <c r="Q318" i="3"/>
  <c r="AK318" i="3"/>
  <c r="AM318" i="3"/>
  <c r="P318" i="3"/>
  <c r="S318" i="3"/>
  <c r="AD318" i="3"/>
  <c r="O318" i="3"/>
  <c r="AE318" i="3"/>
  <c r="M318" i="3"/>
  <c r="U318" i="3"/>
  <c r="AF318" i="3"/>
  <c r="V318" i="3"/>
  <c r="G318" i="3"/>
  <c r="H318" i="3" s="1"/>
  <c r="D318" i="3"/>
  <c r="F318" i="3"/>
  <c r="BM318" i="3" s="1"/>
  <c r="T318" i="3"/>
  <c r="BF314" i="3"/>
  <c r="BJ313" i="3" s="1"/>
  <c r="BK313" i="3" s="1"/>
  <c r="BQ314" i="3"/>
  <c r="BB314" i="3"/>
  <c r="AT316" i="3"/>
  <c r="Y317" i="3"/>
  <c r="Z317" i="3" s="1"/>
  <c r="BN317" i="3"/>
  <c r="X317" i="3"/>
  <c r="AG317" i="3"/>
  <c r="AH317" i="3"/>
  <c r="AO317" i="3"/>
  <c r="BC315" i="3" l="1"/>
  <c r="BD315" i="3" s="1"/>
  <c r="BF315" i="3"/>
  <c r="BJ314" i="3" s="1"/>
  <c r="BK314" i="3" s="1"/>
  <c r="BG314" i="3"/>
  <c r="BH314" i="3" s="1"/>
  <c r="BI314" i="3" s="1"/>
  <c r="BN318" i="3"/>
  <c r="BB315" i="3"/>
  <c r="AY316" i="3"/>
  <c r="AN318" i="3"/>
  <c r="AX317" i="3"/>
  <c r="BA316" i="3"/>
  <c r="BB316" i="3" s="1"/>
  <c r="Y318" i="3"/>
  <c r="Z318" i="3" s="1"/>
  <c r="AU317" i="3"/>
  <c r="X318" i="3"/>
  <c r="AQ319" i="3"/>
  <c r="B319" i="3"/>
  <c r="A320" i="3"/>
  <c r="AR319" i="3"/>
  <c r="AM319" i="3"/>
  <c r="D319" i="3"/>
  <c r="AK319" i="3"/>
  <c r="Q319" i="3"/>
  <c r="S319" i="3"/>
  <c r="AD319" i="3"/>
  <c r="P319" i="3"/>
  <c r="O319" i="3"/>
  <c r="AE319" i="3"/>
  <c r="AF319" i="3"/>
  <c r="M319" i="3"/>
  <c r="U319" i="3"/>
  <c r="V319" i="3"/>
  <c r="C319" i="3"/>
  <c r="F319" i="3"/>
  <c r="R319" i="3"/>
  <c r="G319" i="3"/>
  <c r="H319" i="3" s="1"/>
  <c r="T319" i="3"/>
  <c r="AT317" i="3"/>
  <c r="AW317" i="3"/>
  <c r="AV316" i="3"/>
  <c r="AG318" i="3"/>
  <c r="AH318" i="3"/>
  <c r="AO318" i="3"/>
  <c r="BG315" i="3" l="1"/>
  <c r="BH315" i="3" s="1"/>
  <c r="BI315" i="3" s="1"/>
  <c r="AO319" i="3"/>
  <c r="BN319" i="3"/>
  <c r="BM319" i="3"/>
  <c r="BC316" i="3"/>
  <c r="BD316" i="3" s="1"/>
  <c r="BF316" i="3"/>
  <c r="BJ315" i="3" s="1"/>
  <c r="BK315" i="3" s="1"/>
  <c r="AY317" i="3"/>
  <c r="BQ316" i="3"/>
  <c r="AX318" i="3"/>
  <c r="AG319" i="3"/>
  <c r="AV317" i="3"/>
  <c r="BA317" i="3"/>
  <c r="AW318" i="3"/>
  <c r="Y319" i="3"/>
  <c r="Z319" i="3" s="1"/>
  <c r="X319" i="3"/>
  <c r="AH319" i="3"/>
  <c r="AT318" i="3"/>
  <c r="A321" i="3"/>
  <c r="B320" i="3"/>
  <c r="AR320" i="3"/>
  <c r="AQ320" i="3"/>
  <c r="D320" i="3"/>
  <c r="AM320" i="3"/>
  <c r="AK320" i="3"/>
  <c r="S320" i="3"/>
  <c r="R320" i="3"/>
  <c r="AD320" i="3"/>
  <c r="Q320" i="3"/>
  <c r="P320" i="3"/>
  <c r="M320" i="3"/>
  <c r="U320" i="3"/>
  <c r="V320" i="3"/>
  <c r="O320" i="3"/>
  <c r="AE320" i="3"/>
  <c r="AF320" i="3"/>
  <c r="G320" i="3"/>
  <c r="H320" i="3" s="1"/>
  <c r="F320" i="3"/>
  <c r="C320" i="3"/>
  <c r="T320" i="3"/>
  <c r="AN319" i="3"/>
  <c r="AU318" i="3"/>
  <c r="BN320" i="3" l="1"/>
  <c r="BG316" i="3"/>
  <c r="BH316" i="3" s="1"/>
  <c r="BI316" i="3" s="1"/>
  <c r="AT319" i="3"/>
  <c r="AY318" i="3"/>
  <c r="BC317" i="3"/>
  <c r="BG317" i="3" s="1"/>
  <c r="BH317" i="3" s="1"/>
  <c r="BI317" i="3" s="1"/>
  <c r="AO320" i="3"/>
  <c r="AW319" i="3"/>
  <c r="AU319" i="3"/>
  <c r="AG320" i="3"/>
  <c r="X320" i="3"/>
  <c r="AV318" i="3"/>
  <c r="BA318" i="3"/>
  <c r="Y320" i="3"/>
  <c r="Z320" i="3" s="1"/>
  <c r="BM320" i="3"/>
  <c r="AH320" i="3"/>
  <c r="AN320" i="3"/>
  <c r="AR321" i="3"/>
  <c r="B321" i="3"/>
  <c r="AQ321" i="3"/>
  <c r="A322" i="3"/>
  <c r="T321" i="3"/>
  <c r="AK321" i="3"/>
  <c r="AM321" i="3"/>
  <c r="S321" i="3"/>
  <c r="Q321" i="3"/>
  <c r="R321" i="3"/>
  <c r="AD321" i="3"/>
  <c r="P321" i="3"/>
  <c r="O321" i="3"/>
  <c r="M321" i="3"/>
  <c r="AF321" i="3"/>
  <c r="V321" i="3"/>
  <c r="U321" i="3"/>
  <c r="AE321" i="3"/>
  <c r="D321" i="3"/>
  <c r="F321" i="3"/>
  <c r="C321" i="3"/>
  <c r="G321" i="3"/>
  <c r="H321" i="3" s="1"/>
  <c r="BQ317" i="3"/>
  <c r="BB317" i="3"/>
  <c r="BF317" i="3"/>
  <c r="BJ316" i="3" s="1"/>
  <c r="BK316" i="3" s="1"/>
  <c r="AX319" i="3"/>
  <c r="BD317" i="3" l="1"/>
  <c r="AV319" i="3"/>
  <c r="BC318" i="3"/>
  <c r="BG318" i="3" s="1"/>
  <c r="BH318" i="3" s="1"/>
  <c r="BI318" i="3" s="1"/>
  <c r="BA319" i="3"/>
  <c r="BB319" i="3" s="1"/>
  <c r="AX320" i="3"/>
  <c r="X321" i="3"/>
  <c r="Y321" i="3"/>
  <c r="Z321" i="3" s="1"/>
  <c r="AO321" i="3"/>
  <c r="AN321" i="3"/>
  <c r="AR322" i="3"/>
  <c r="B322" i="3"/>
  <c r="AQ322" i="3"/>
  <c r="A323" i="3"/>
  <c r="D322" i="3"/>
  <c r="AK322" i="3"/>
  <c r="S322" i="3"/>
  <c r="Q322" i="3"/>
  <c r="C322" i="3"/>
  <c r="AM322" i="3"/>
  <c r="R322" i="3"/>
  <c r="AD322" i="3"/>
  <c r="P322" i="3"/>
  <c r="AE322" i="3"/>
  <c r="O322" i="3"/>
  <c r="M322" i="3"/>
  <c r="AF322" i="3"/>
  <c r="V322" i="3"/>
  <c r="U322" i="3"/>
  <c r="G322" i="3"/>
  <c r="H322" i="3" s="1"/>
  <c r="F322" i="3"/>
  <c r="BM322" i="3" s="1"/>
  <c r="T322" i="3"/>
  <c r="AH321" i="3"/>
  <c r="AU320" i="3"/>
  <c r="AT320" i="3"/>
  <c r="AY319" i="3"/>
  <c r="BN321" i="3"/>
  <c r="BM321" i="3"/>
  <c r="AG321" i="3"/>
  <c r="AW320" i="3"/>
  <c r="BB318" i="3"/>
  <c r="BF318" i="3"/>
  <c r="BJ317" i="3" s="1"/>
  <c r="BK317" i="3" s="1"/>
  <c r="BQ318" i="3"/>
  <c r="BD318" i="3" l="1"/>
  <c r="BQ319" i="3"/>
  <c r="AN322" i="3"/>
  <c r="BC319" i="3"/>
  <c r="BD319" i="3" s="1"/>
  <c r="BF319" i="3"/>
  <c r="BJ318" i="3" s="1"/>
  <c r="BK318" i="3" s="1"/>
  <c r="AY320" i="3"/>
  <c r="AW321" i="3"/>
  <c r="AV320" i="3"/>
  <c r="AQ323" i="3"/>
  <c r="B323" i="3"/>
  <c r="A324" i="3"/>
  <c r="AR323" i="3"/>
  <c r="AM323" i="3"/>
  <c r="S323" i="3"/>
  <c r="AK323" i="3"/>
  <c r="R323" i="3"/>
  <c r="P323" i="3"/>
  <c r="T323" i="3"/>
  <c r="Q323" i="3"/>
  <c r="AD323" i="3"/>
  <c r="O323" i="3"/>
  <c r="AF323" i="3"/>
  <c r="U323" i="3"/>
  <c r="V323" i="3"/>
  <c r="M323" i="3"/>
  <c r="AE323" i="3"/>
  <c r="D323" i="3"/>
  <c r="C323" i="3"/>
  <c r="F323" i="3"/>
  <c r="G323" i="3"/>
  <c r="H323" i="3" s="1"/>
  <c r="AX321" i="3"/>
  <c r="AU321" i="3"/>
  <c r="BA320" i="3"/>
  <c r="AT321" i="3"/>
  <c r="Y322" i="3"/>
  <c r="Z322" i="3" s="1"/>
  <c r="BN322" i="3"/>
  <c r="AG322" i="3"/>
  <c r="AH322" i="3"/>
  <c r="AO322" i="3"/>
  <c r="X322" i="3"/>
  <c r="BC320" i="3" l="1"/>
  <c r="BD320" i="3" s="1"/>
  <c r="AG323" i="3"/>
  <c r="AO323" i="3"/>
  <c r="BG319" i="3"/>
  <c r="BH319" i="3" s="1"/>
  <c r="BI319" i="3" s="1"/>
  <c r="AY321" i="3"/>
  <c r="BN323" i="3"/>
  <c r="AT322" i="3"/>
  <c r="AU322" i="3"/>
  <c r="X323" i="3"/>
  <c r="AV321" i="3"/>
  <c r="BA321" i="3"/>
  <c r="Y323" i="3"/>
  <c r="Z323" i="3" s="1"/>
  <c r="A325" i="3"/>
  <c r="B324" i="3"/>
  <c r="AR324" i="3"/>
  <c r="AQ324" i="3"/>
  <c r="D324" i="3"/>
  <c r="AM324" i="3"/>
  <c r="AK324" i="3"/>
  <c r="R324" i="3"/>
  <c r="Q324" i="3"/>
  <c r="AD324" i="3"/>
  <c r="T324" i="3"/>
  <c r="P324" i="3"/>
  <c r="O324" i="3"/>
  <c r="V324" i="3"/>
  <c r="AE324" i="3"/>
  <c r="AF324" i="3"/>
  <c r="M324" i="3"/>
  <c r="U324" i="3"/>
  <c r="F324" i="3"/>
  <c r="C324" i="3"/>
  <c r="G324" i="3"/>
  <c r="H324" i="3" s="1"/>
  <c r="BN324" i="3" s="1"/>
  <c r="S324" i="3"/>
  <c r="AX322" i="3"/>
  <c r="BM323" i="3"/>
  <c r="AN323" i="3"/>
  <c r="BF320" i="3"/>
  <c r="BJ319" i="3" s="1"/>
  <c r="BK319" i="3" s="1"/>
  <c r="BQ320" i="3"/>
  <c r="BB320" i="3"/>
  <c r="AW322" i="3"/>
  <c r="AH323" i="3"/>
  <c r="BG320" i="3" l="1"/>
  <c r="BH320" i="3" s="1"/>
  <c r="BI320" i="3" s="1"/>
  <c r="BC321" i="3"/>
  <c r="BG321" i="3" s="1"/>
  <c r="BH321" i="3" s="1"/>
  <c r="BI321" i="3" s="1"/>
  <c r="BM324" i="3"/>
  <c r="AV322" i="3"/>
  <c r="BA322" i="3"/>
  <c r="BB322" i="3" s="1"/>
  <c r="AW323" i="3"/>
  <c r="AO324" i="3"/>
  <c r="AG324" i="3"/>
  <c r="AT323" i="3"/>
  <c r="Y324" i="3"/>
  <c r="Z324" i="3" s="1"/>
  <c r="AR325" i="3"/>
  <c r="B325" i="3"/>
  <c r="AQ325" i="3"/>
  <c r="A326" i="3"/>
  <c r="C325" i="3"/>
  <c r="AM325" i="3"/>
  <c r="AK325" i="3"/>
  <c r="S325" i="3"/>
  <c r="R325" i="3"/>
  <c r="D325" i="3"/>
  <c r="AD325" i="3"/>
  <c r="P325" i="3"/>
  <c r="O325" i="3"/>
  <c r="M325" i="3"/>
  <c r="V325" i="3"/>
  <c r="AF325" i="3"/>
  <c r="AE325" i="3"/>
  <c r="U325" i="3"/>
  <c r="Q325" i="3"/>
  <c r="G325" i="3"/>
  <c r="H325" i="3" s="1"/>
  <c r="F325" i="3"/>
  <c r="BM325" i="3" s="1"/>
  <c r="T325" i="3"/>
  <c r="BB321" i="3"/>
  <c r="BF321" i="3"/>
  <c r="BJ320" i="3" s="1"/>
  <c r="BK320" i="3" s="1"/>
  <c r="BQ321" i="3"/>
  <c r="AX323" i="3"/>
  <c r="AY322" i="3"/>
  <c r="AU323" i="3"/>
  <c r="X324" i="3"/>
  <c r="AH324" i="3"/>
  <c r="AN324" i="3"/>
  <c r="BN325" i="3" l="1"/>
  <c r="BD321" i="3"/>
  <c r="BC322" i="3"/>
  <c r="BD322" i="3" s="1"/>
  <c r="AO325" i="3"/>
  <c r="BQ322" i="3"/>
  <c r="BF322" i="3"/>
  <c r="BJ321" i="3" s="1"/>
  <c r="BK321" i="3" s="1"/>
  <c r="AG325" i="3"/>
  <c r="BA323" i="3"/>
  <c r="BB323" i="3" s="1"/>
  <c r="AY323" i="3"/>
  <c r="AX324" i="3"/>
  <c r="Y325" i="3"/>
  <c r="Z325" i="3" s="1"/>
  <c r="AR326" i="3"/>
  <c r="B326" i="3"/>
  <c r="AQ326" i="3"/>
  <c r="A327" i="3"/>
  <c r="AK326" i="3"/>
  <c r="T326" i="3"/>
  <c r="S326" i="3"/>
  <c r="AM326" i="3"/>
  <c r="R326" i="3"/>
  <c r="AD326" i="3"/>
  <c r="P326" i="3"/>
  <c r="O326" i="3"/>
  <c r="M326" i="3"/>
  <c r="AE326" i="3"/>
  <c r="AF326" i="3"/>
  <c r="V326" i="3"/>
  <c r="U326" i="3"/>
  <c r="C326" i="3"/>
  <c r="G326" i="3"/>
  <c r="H326" i="3" s="1"/>
  <c r="F326" i="3"/>
  <c r="Q326" i="3"/>
  <c r="D326" i="3"/>
  <c r="AU324" i="3"/>
  <c r="AW324" i="3"/>
  <c r="AN325" i="3"/>
  <c r="AV323" i="3"/>
  <c r="AT324" i="3"/>
  <c r="AH325" i="3"/>
  <c r="X325" i="3"/>
  <c r="BM326" i="3" l="1"/>
  <c r="BG322" i="3"/>
  <c r="BH322" i="3" s="1"/>
  <c r="BI322" i="3" s="1"/>
  <c r="AO326" i="3"/>
  <c r="BN326" i="3"/>
  <c r="BQ323" i="3"/>
  <c r="AY324" i="3"/>
  <c r="BF323" i="3"/>
  <c r="BJ322" i="3" s="1"/>
  <c r="BK322" i="3" s="1"/>
  <c r="BC323" i="3"/>
  <c r="BG323" i="3" s="1"/>
  <c r="BH323" i="3" s="1"/>
  <c r="BI323" i="3" s="1"/>
  <c r="AX325" i="3"/>
  <c r="AT325" i="3"/>
  <c r="AU325" i="3"/>
  <c r="Y326" i="3"/>
  <c r="Z326" i="3" s="1"/>
  <c r="AQ327" i="3"/>
  <c r="B327" i="3"/>
  <c r="A328" i="3"/>
  <c r="AR327" i="3"/>
  <c r="D327" i="3"/>
  <c r="AM327" i="3"/>
  <c r="S327" i="3"/>
  <c r="AK327" i="3"/>
  <c r="R327" i="3"/>
  <c r="Q327" i="3"/>
  <c r="P327" i="3"/>
  <c r="AD327" i="3"/>
  <c r="O327" i="3"/>
  <c r="AE327" i="3"/>
  <c r="U327" i="3"/>
  <c r="M327" i="3"/>
  <c r="AF327" i="3"/>
  <c r="V327" i="3"/>
  <c r="C327" i="3"/>
  <c r="G327" i="3"/>
  <c r="H327" i="3" s="1"/>
  <c r="F327" i="3"/>
  <c r="T327" i="3"/>
  <c r="AW325" i="3"/>
  <c r="X326" i="3"/>
  <c r="AG326" i="3"/>
  <c r="AH326" i="3"/>
  <c r="AN326" i="3"/>
  <c r="AV324" i="3"/>
  <c r="BA324" i="3"/>
  <c r="BM327" i="3" l="1"/>
  <c r="BD323" i="3"/>
  <c r="BC324" i="3"/>
  <c r="BG324" i="3" s="1"/>
  <c r="BH324" i="3" s="1"/>
  <c r="BI324" i="3" s="1"/>
  <c r="AY325" i="3"/>
  <c r="BN327" i="3"/>
  <c r="AT326" i="3"/>
  <c r="AV325" i="3"/>
  <c r="AG327" i="3"/>
  <c r="AU326" i="3"/>
  <c r="AN327" i="3"/>
  <c r="AO327" i="3"/>
  <c r="A329" i="3"/>
  <c r="B328" i="3"/>
  <c r="AR328" i="3"/>
  <c r="AQ328" i="3"/>
  <c r="C328" i="3"/>
  <c r="D328" i="3"/>
  <c r="AM328" i="3"/>
  <c r="AK328" i="3"/>
  <c r="R328" i="3"/>
  <c r="Q328" i="3"/>
  <c r="S328" i="3"/>
  <c r="AD328" i="3"/>
  <c r="P328" i="3"/>
  <c r="O328" i="3"/>
  <c r="M328" i="3"/>
  <c r="AE328" i="3"/>
  <c r="AF328" i="3"/>
  <c r="U328" i="3"/>
  <c r="V328" i="3"/>
  <c r="G328" i="3"/>
  <c r="H328" i="3" s="1"/>
  <c r="F328" i="3"/>
  <c r="BM328" i="3" s="1"/>
  <c r="T328" i="3"/>
  <c r="AX326" i="3"/>
  <c r="X327" i="3"/>
  <c r="BQ324" i="3"/>
  <c r="BF324" i="3"/>
  <c r="BJ323" i="3" s="1"/>
  <c r="BK323" i="3" s="1"/>
  <c r="BB324" i="3"/>
  <c r="BD324" i="3"/>
  <c r="AW326" i="3"/>
  <c r="Y327" i="3"/>
  <c r="Z327" i="3" s="1"/>
  <c r="AH327" i="3"/>
  <c r="BA325" i="3"/>
  <c r="BN328" i="3" l="1"/>
  <c r="BC325" i="3"/>
  <c r="BD325" i="3" s="1"/>
  <c r="AO328" i="3"/>
  <c r="AV326" i="3"/>
  <c r="AY326" i="3"/>
  <c r="AG328" i="3"/>
  <c r="AW327" i="3"/>
  <c r="AT327" i="3"/>
  <c r="Y328" i="3"/>
  <c r="Z328" i="3" s="1"/>
  <c r="BA326" i="3"/>
  <c r="BQ326" i="3" s="1"/>
  <c r="BB325" i="3"/>
  <c r="BQ325" i="3"/>
  <c r="BF325" i="3"/>
  <c r="BJ324" i="3" s="1"/>
  <c r="BK324" i="3" s="1"/>
  <c r="AR329" i="3"/>
  <c r="B329" i="3"/>
  <c r="AQ329" i="3"/>
  <c r="A330" i="3"/>
  <c r="AK329" i="3"/>
  <c r="AM329" i="3"/>
  <c r="S329" i="3"/>
  <c r="R329" i="3"/>
  <c r="AD329" i="3"/>
  <c r="P329" i="3"/>
  <c r="O329" i="3"/>
  <c r="M329" i="3"/>
  <c r="AF329" i="3"/>
  <c r="V329" i="3"/>
  <c r="U329" i="3"/>
  <c r="AE329" i="3"/>
  <c r="Q329" i="3"/>
  <c r="D329" i="3"/>
  <c r="G329" i="3"/>
  <c r="H329" i="3" s="1"/>
  <c r="F329" i="3"/>
  <c r="C329" i="3"/>
  <c r="T329" i="3"/>
  <c r="AN328" i="3"/>
  <c r="X328" i="3"/>
  <c r="AU327" i="3"/>
  <c r="AH328" i="3"/>
  <c r="AX327" i="3"/>
  <c r="BG325" i="3" l="1"/>
  <c r="BH325" i="3" s="1"/>
  <c r="BI325" i="3" s="1"/>
  <c r="BN329" i="3"/>
  <c r="AY327" i="3"/>
  <c r="BC326" i="3"/>
  <c r="BD326" i="3" s="1"/>
  <c r="AX328" i="3"/>
  <c r="AO329" i="3"/>
  <c r="AV327" i="3"/>
  <c r="BF326" i="3"/>
  <c r="BJ325" i="3" s="1"/>
  <c r="BK325" i="3" s="1"/>
  <c r="AW328" i="3"/>
  <c r="AU328" i="3"/>
  <c r="BB326" i="3"/>
  <c r="X329" i="3"/>
  <c r="AR330" i="3"/>
  <c r="B330" i="3"/>
  <c r="AQ330" i="3"/>
  <c r="A331" i="3"/>
  <c r="D330" i="3"/>
  <c r="C330" i="3"/>
  <c r="S330" i="3"/>
  <c r="R330" i="3"/>
  <c r="AM330" i="3"/>
  <c r="AK330" i="3"/>
  <c r="Q330" i="3"/>
  <c r="AD330" i="3"/>
  <c r="P330" i="3"/>
  <c r="O330" i="3"/>
  <c r="M330" i="3"/>
  <c r="V330" i="3"/>
  <c r="AE330" i="3"/>
  <c r="AF330" i="3"/>
  <c r="U330" i="3"/>
  <c r="F330" i="3"/>
  <c r="G330" i="3"/>
  <c r="H330" i="3" s="1"/>
  <c r="BN330" i="3" s="1"/>
  <c r="T330" i="3"/>
  <c r="AH329" i="3"/>
  <c r="AT328" i="3"/>
  <c r="Y329" i="3"/>
  <c r="Z329" i="3" s="1"/>
  <c r="BM329" i="3"/>
  <c r="AG329" i="3"/>
  <c r="AN329" i="3"/>
  <c r="BA327" i="3"/>
  <c r="BM330" i="3" l="1"/>
  <c r="BG326" i="3"/>
  <c r="BH326" i="3" s="1"/>
  <c r="BI326" i="3" s="1"/>
  <c r="BC327" i="3"/>
  <c r="BG327" i="3" s="1"/>
  <c r="BH327" i="3" s="1"/>
  <c r="BI327" i="3" s="1"/>
  <c r="AN330" i="3"/>
  <c r="AY328" i="3"/>
  <c r="AT329" i="3"/>
  <c r="AG330" i="3"/>
  <c r="BB327" i="3"/>
  <c r="BQ327" i="3"/>
  <c r="BF327" i="3"/>
  <c r="BJ326" i="3" s="1"/>
  <c r="BK326" i="3" s="1"/>
  <c r="BA328" i="3"/>
  <c r="AV328" i="3"/>
  <c r="AQ331" i="3"/>
  <c r="B331" i="3"/>
  <c r="A332" i="3"/>
  <c r="AR331" i="3"/>
  <c r="AM331" i="3"/>
  <c r="AK331" i="3"/>
  <c r="T331" i="3"/>
  <c r="R331" i="3"/>
  <c r="Q331" i="3"/>
  <c r="AD331" i="3"/>
  <c r="M331" i="3"/>
  <c r="AF331" i="3"/>
  <c r="O331" i="3"/>
  <c r="AE331" i="3"/>
  <c r="V331" i="3"/>
  <c r="U331" i="3"/>
  <c r="D331" i="3"/>
  <c r="C331" i="3"/>
  <c r="F331" i="3"/>
  <c r="G331" i="3"/>
  <c r="H331" i="3" s="1"/>
  <c r="P331" i="3"/>
  <c r="S331" i="3"/>
  <c r="AX329" i="3"/>
  <c r="AU329" i="3"/>
  <c r="AW329" i="3"/>
  <c r="Y330" i="3"/>
  <c r="Z330" i="3" s="1"/>
  <c r="AH330" i="3"/>
  <c r="AO330" i="3"/>
  <c r="X330" i="3"/>
  <c r="BD327" i="3" l="1"/>
  <c r="AG331" i="3"/>
  <c r="AY329" i="3"/>
  <c r="AT330" i="3"/>
  <c r="BM331" i="3"/>
  <c r="BC328" i="3"/>
  <c r="BD328" i="3" s="1"/>
  <c r="AX330" i="3"/>
  <c r="AN331" i="3"/>
  <c r="Y331" i="3"/>
  <c r="Z331" i="3" s="1"/>
  <c r="BA329" i="3"/>
  <c r="BB329" i="3" s="1"/>
  <c r="AU330" i="3"/>
  <c r="AW330" i="3"/>
  <c r="X331" i="3"/>
  <c r="BN331" i="3"/>
  <c r="AH331" i="3"/>
  <c r="AO331" i="3"/>
  <c r="AV329" i="3"/>
  <c r="A333" i="3"/>
  <c r="B332" i="3"/>
  <c r="AR332" i="3"/>
  <c r="AQ332" i="3"/>
  <c r="C332" i="3"/>
  <c r="AK332" i="3"/>
  <c r="Q332" i="3"/>
  <c r="AM332" i="3"/>
  <c r="D332" i="3"/>
  <c r="AD332" i="3"/>
  <c r="S332" i="3"/>
  <c r="R332" i="3"/>
  <c r="P332" i="3"/>
  <c r="M332" i="3"/>
  <c r="AE332" i="3"/>
  <c r="O332" i="3"/>
  <c r="AF332" i="3"/>
  <c r="V332" i="3"/>
  <c r="U332" i="3"/>
  <c r="G332" i="3"/>
  <c r="H332" i="3" s="1"/>
  <c r="F332" i="3"/>
  <c r="T332" i="3"/>
  <c r="BF328" i="3"/>
  <c r="BJ327" i="3" s="1"/>
  <c r="BK327" i="3" s="1"/>
  <c r="BB328" i="3"/>
  <c r="BQ328" i="3"/>
  <c r="BM332" i="3" l="1"/>
  <c r="BC329" i="3"/>
  <c r="BD329" i="3" s="1"/>
  <c r="AN332" i="3"/>
  <c r="AV330" i="3"/>
  <c r="BG328" i="3"/>
  <c r="BH328" i="3" s="1"/>
  <c r="BI328" i="3" s="1"/>
  <c r="AY330" i="3"/>
  <c r="AX331" i="3"/>
  <c r="AU331" i="3"/>
  <c r="AG332" i="3"/>
  <c r="BF329" i="3"/>
  <c r="BJ328" i="3" s="1"/>
  <c r="BK328" i="3" s="1"/>
  <c r="BA330" i="3"/>
  <c r="BB330" i="3" s="1"/>
  <c r="BQ329" i="3"/>
  <c r="X332" i="3"/>
  <c r="Y332" i="3"/>
  <c r="Z332" i="3" s="1"/>
  <c r="BN332" i="3"/>
  <c r="AH332" i="3"/>
  <c r="AO332" i="3"/>
  <c r="AW331" i="3"/>
  <c r="AR333" i="3"/>
  <c r="B333" i="3"/>
  <c r="AQ333" i="3"/>
  <c r="A334" i="3"/>
  <c r="AK333" i="3"/>
  <c r="AM333" i="3"/>
  <c r="T333" i="3"/>
  <c r="Q333" i="3"/>
  <c r="S333" i="3"/>
  <c r="R333" i="3"/>
  <c r="AD333" i="3"/>
  <c r="P333" i="3"/>
  <c r="AE333" i="3"/>
  <c r="O333" i="3"/>
  <c r="M333" i="3"/>
  <c r="AF333" i="3"/>
  <c r="V333" i="3"/>
  <c r="U333" i="3"/>
  <c r="D333" i="3"/>
  <c r="C333" i="3"/>
  <c r="G333" i="3"/>
  <c r="H333" i="3" s="1"/>
  <c r="F333" i="3"/>
  <c r="AT331" i="3"/>
  <c r="BM333" i="3" l="1"/>
  <c r="BG329" i="3"/>
  <c r="BH329" i="3" s="1"/>
  <c r="BI329" i="3" s="1"/>
  <c r="BN333" i="3"/>
  <c r="AY331" i="3"/>
  <c r="BC330" i="3"/>
  <c r="BD330" i="3" s="1"/>
  <c r="AN333" i="3"/>
  <c r="BQ330" i="3"/>
  <c r="AW332" i="3"/>
  <c r="AU332" i="3"/>
  <c r="AT332" i="3"/>
  <c r="BF330" i="3"/>
  <c r="BJ329" i="3" s="1"/>
  <c r="BK329" i="3" s="1"/>
  <c r="AV331" i="3"/>
  <c r="BA331" i="3"/>
  <c r="Y333" i="3"/>
  <c r="Z333" i="3" s="1"/>
  <c r="X333" i="3"/>
  <c r="AG333" i="3"/>
  <c r="AH333" i="3"/>
  <c r="AO333" i="3"/>
  <c r="AX332" i="3"/>
  <c r="AR334" i="3"/>
  <c r="B334" i="3"/>
  <c r="AQ334" i="3"/>
  <c r="A335" i="3"/>
  <c r="D334" i="3"/>
  <c r="AM334" i="3"/>
  <c r="AK334" i="3"/>
  <c r="S334" i="3"/>
  <c r="Q334" i="3"/>
  <c r="R334" i="3"/>
  <c r="T334" i="3"/>
  <c r="AD334" i="3"/>
  <c r="P334" i="3"/>
  <c r="O334" i="3"/>
  <c r="M334" i="3"/>
  <c r="AF334" i="3"/>
  <c r="AE334" i="3"/>
  <c r="V334" i="3"/>
  <c r="U334" i="3"/>
  <c r="G334" i="3"/>
  <c r="H334" i="3" s="1"/>
  <c r="C334" i="3"/>
  <c r="F334" i="3"/>
  <c r="BC331" i="3" l="1"/>
  <c r="BD331" i="3" s="1"/>
  <c r="AV332" i="3"/>
  <c r="BG330" i="3"/>
  <c r="BH330" i="3" s="1"/>
  <c r="BI330" i="3" s="1"/>
  <c r="BA332" i="3"/>
  <c r="BB332" i="3" s="1"/>
  <c r="AT333" i="3"/>
  <c r="AO334" i="3"/>
  <c r="AG334" i="3"/>
  <c r="AY332" i="3"/>
  <c r="X334" i="3"/>
  <c r="BB331" i="3"/>
  <c r="BQ331" i="3"/>
  <c r="BF331" i="3"/>
  <c r="BJ330" i="3" s="1"/>
  <c r="BK330" i="3" s="1"/>
  <c r="AW333" i="3"/>
  <c r="Y334" i="3"/>
  <c r="Z334" i="3" s="1"/>
  <c r="AQ335" i="3"/>
  <c r="B335" i="3"/>
  <c r="A336" i="3"/>
  <c r="AR335" i="3"/>
  <c r="D335" i="3"/>
  <c r="AM335" i="3"/>
  <c r="T335" i="3"/>
  <c r="Q335" i="3"/>
  <c r="AK335" i="3"/>
  <c r="S335" i="3"/>
  <c r="R335" i="3"/>
  <c r="AD335" i="3"/>
  <c r="P335" i="3"/>
  <c r="O335" i="3"/>
  <c r="AE335" i="3"/>
  <c r="M335" i="3"/>
  <c r="AF335" i="3"/>
  <c r="U335" i="3"/>
  <c r="V335" i="3"/>
  <c r="C335" i="3"/>
  <c r="G335" i="3"/>
  <c r="H335" i="3" s="1"/>
  <c r="BN335" i="3" s="1"/>
  <c r="F335" i="3"/>
  <c r="BM334" i="3"/>
  <c r="BN334" i="3"/>
  <c r="AH334" i="3"/>
  <c r="AN334" i="3"/>
  <c r="AU333" i="3"/>
  <c r="AX333" i="3"/>
  <c r="BC332" i="3" l="1"/>
  <c r="BG332" i="3" s="1"/>
  <c r="BH332" i="3" s="1"/>
  <c r="BI332" i="3" s="1"/>
  <c r="BM335" i="3"/>
  <c r="BG331" i="3"/>
  <c r="BH331" i="3" s="1"/>
  <c r="BI331" i="3" s="1"/>
  <c r="AO335" i="3"/>
  <c r="BF332" i="3"/>
  <c r="BJ331" i="3" s="1"/>
  <c r="BK331" i="3" s="1"/>
  <c r="AY333" i="3"/>
  <c r="BQ332" i="3"/>
  <c r="AU334" i="3"/>
  <c r="BA333" i="3"/>
  <c r="BF333" i="3" s="1"/>
  <c r="AG335" i="3"/>
  <c r="AX334" i="3"/>
  <c r="X335" i="3"/>
  <c r="AH335" i="3"/>
  <c r="AN335" i="3"/>
  <c r="AV333" i="3"/>
  <c r="AW334" i="3"/>
  <c r="Y335" i="3"/>
  <c r="Z335" i="3" s="1"/>
  <c r="A337" i="3"/>
  <c r="B336" i="3"/>
  <c r="AR336" i="3"/>
  <c r="AQ336" i="3"/>
  <c r="C336" i="3"/>
  <c r="AM336" i="3"/>
  <c r="T336" i="3"/>
  <c r="S336" i="3"/>
  <c r="AK336" i="3"/>
  <c r="Q336" i="3"/>
  <c r="R336" i="3"/>
  <c r="P336" i="3"/>
  <c r="AD336" i="3"/>
  <c r="AE336" i="3"/>
  <c r="O336" i="3"/>
  <c r="M336" i="3"/>
  <c r="AF336" i="3"/>
  <c r="V336" i="3"/>
  <c r="U336" i="3"/>
  <c r="D336" i="3"/>
  <c r="G336" i="3"/>
  <c r="H336" i="3" s="1"/>
  <c r="F336" i="3"/>
  <c r="AT334" i="3"/>
  <c r="BC333" i="3" l="1"/>
  <c r="BD333" i="3" s="1"/>
  <c r="BD332" i="3"/>
  <c r="BM336" i="3"/>
  <c r="BJ332" i="3"/>
  <c r="BK332" i="3" s="1"/>
  <c r="BN336" i="3"/>
  <c r="AT335" i="3"/>
  <c r="AO336" i="3"/>
  <c r="BQ333" i="3"/>
  <c r="AY334" i="3"/>
  <c r="AX335" i="3"/>
  <c r="BB333" i="3"/>
  <c r="AU335" i="3"/>
  <c r="AH336" i="3"/>
  <c r="AR337" i="3"/>
  <c r="B337" i="3"/>
  <c r="AQ337" i="3"/>
  <c r="A338" i="3"/>
  <c r="AK337" i="3"/>
  <c r="AM337" i="3"/>
  <c r="R337" i="3"/>
  <c r="Q337" i="3"/>
  <c r="AD337" i="3"/>
  <c r="P337" i="3"/>
  <c r="O337" i="3"/>
  <c r="AE337" i="3"/>
  <c r="AF337" i="3"/>
  <c r="M337" i="3"/>
  <c r="V337" i="3"/>
  <c r="U337" i="3"/>
  <c r="C337" i="3"/>
  <c r="G337" i="3"/>
  <c r="H337" i="3" s="1"/>
  <c r="F337" i="3"/>
  <c r="D337" i="3"/>
  <c r="T337" i="3"/>
  <c r="S337" i="3"/>
  <c r="X336" i="3"/>
  <c r="AV334" i="3"/>
  <c r="BA334" i="3"/>
  <c r="Y336" i="3"/>
  <c r="Z336" i="3" s="1"/>
  <c r="AG336" i="3"/>
  <c r="AN336" i="3"/>
  <c r="AW335" i="3"/>
  <c r="BG333" i="3" l="1"/>
  <c r="BH333" i="3" s="1"/>
  <c r="BI333" i="3" s="1"/>
  <c r="BM337" i="3"/>
  <c r="AV335" i="3"/>
  <c r="BC334" i="3"/>
  <c r="BD334" i="3" s="1"/>
  <c r="AO337" i="3"/>
  <c r="AY335" i="3"/>
  <c r="AW336" i="3"/>
  <c r="AU336" i="3"/>
  <c r="AX336" i="3"/>
  <c r="Y337" i="3"/>
  <c r="Z337" i="3" s="1"/>
  <c r="AT336" i="3"/>
  <c r="BA335" i="3"/>
  <c r="AH337" i="3"/>
  <c r="BF334" i="3"/>
  <c r="BJ333" i="3" s="1"/>
  <c r="BK333" i="3" s="1"/>
  <c r="BQ334" i="3"/>
  <c r="BB334" i="3"/>
  <c r="AR338" i="3"/>
  <c r="B338" i="3"/>
  <c r="AQ338" i="3"/>
  <c r="A339" i="3"/>
  <c r="D338" i="3"/>
  <c r="AM338" i="3"/>
  <c r="AK338" i="3"/>
  <c r="S338" i="3"/>
  <c r="Q338" i="3"/>
  <c r="AD338" i="3"/>
  <c r="P338" i="3"/>
  <c r="T338" i="3"/>
  <c r="O338" i="3"/>
  <c r="AE338" i="3"/>
  <c r="AF338" i="3"/>
  <c r="M338" i="3"/>
  <c r="U338" i="3"/>
  <c r="V338" i="3"/>
  <c r="R338" i="3"/>
  <c r="C338" i="3"/>
  <c r="F338" i="3"/>
  <c r="G338" i="3"/>
  <c r="H338" i="3" s="1"/>
  <c r="X337" i="3"/>
  <c r="BN337" i="3"/>
  <c r="AG337" i="3"/>
  <c r="AN337" i="3"/>
  <c r="BC335" i="3" l="1"/>
  <c r="BG335" i="3" s="1"/>
  <c r="BH335" i="3" s="1"/>
  <c r="BI335" i="3" s="1"/>
  <c r="AN338" i="3"/>
  <c r="BN338" i="3"/>
  <c r="BG334" i="3"/>
  <c r="BH334" i="3" s="1"/>
  <c r="BI334" i="3" s="1"/>
  <c r="AY336" i="3"/>
  <c r="AG338" i="3"/>
  <c r="AT337" i="3"/>
  <c r="X338" i="3"/>
  <c r="AQ339" i="3"/>
  <c r="B339" i="3"/>
  <c r="A340" i="3"/>
  <c r="AR339" i="3"/>
  <c r="D339" i="3"/>
  <c r="AM339" i="3"/>
  <c r="C339" i="3"/>
  <c r="AK339" i="3"/>
  <c r="S339" i="3"/>
  <c r="Q339" i="3"/>
  <c r="R339" i="3"/>
  <c r="AD339" i="3"/>
  <c r="P339" i="3"/>
  <c r="O339" i="3"/>
  <c r="M339" i="3"/>
  <c r="AF339" i="3"/>
  <c r="AE339" i="3"/>
  <c r="U339" i="3"/>
  <c r="V339" i="3"/>
  <c r="F339" i="3"/>
  <c r="G339" i="3"/>
  <c r="H339" i="3" s="1"/>
  <c r="T339" i="3"/>
  <c r="AU337" i="3"/>
  <c r="AW337" i="3"/>
  <c r="Y338" i="3"/>
  <c r="Z338" i="3" s="1"/>
  <c r="BQ335" i="3"/>
  <c r="BB335" i="3"/>
  <c r="BF335" i="3"/>
  <c r="BJ334" i="3" s="1"/>
  <c r="BK334" i="3" s="1"/>
  <c r="BM338" i="3"/>
  <c r="AO338" i="3"/>
  <c r="BA336" i="3"/>
  <c r="AV336" i="3"/>
  <c r="AH338" i="3"/>
  <c r="AX337" i="3"/>
  <c r="AV337" i="3" l="1"/>
  <c r="BN339" i="3"/>
  <c r="BD335" i="3"/>
  <c r="AO339" i="3"/>
  <c r="BM339" i="3"/>
  <c r="BC336" i="3"/>
  <c r="BG336" i="3" s="1"/>
  <c r="BH336" i="3" s="1"/>
  <c r="BI336" i="3" s="1"/>
  <c r="AX338" i="3"/>
  <c r="AU338" i="3"/>
  <c r="AW338" i="3"/>
  <c r="Y339" i="3"/>
  <c r="Z339" i="3" s="1"/>
  <c r="BQ336" i="3"/>
  <c r="BB336" i="3"/>
  <c r="BF336" i="3"/>
  <c r="BJ335" i="3" s="1"/>
  <c r="BK335" i="3" s="1"/>
  <c r="A341" i="3"/>
  <c r="B340" i="3"/>
  <c r="AR340" i="3"/>
  <c r="AQ340" i="3"/>
  <c r="AK340" i="3"/>
  <c r="AM340" i="3"/>
  <c r="S340" i="3"/>
  <c r="Q340" i="3"/>
  <c r="C340" i="3"/>
  <c r="AD340" i="3"/>
  <c r="P340" i="3"/>
  <c r="R340" i="3"/>
  <c r="O340" i="3"/>
  <c r="M340" i="3"/>
  <c r="AF340" i="3"/>
  <c r="AE340" i="3"/>
  <c r="U340" i="3"/>
  <c r="V340" i="3"/>
  <c r="G340" i="3"/>
  <c r="H340" i="3" s="1"/>
  <c r="D340" i="3"/>
  <c r="F340" i="3"/>
  <c r="BM340" i="3" s="1"/>
  <c r="T340" i="3"/>
  <c r="AT338" i="3"/>
  <c r="AG339" i="3"/>
  <c r="X339" i="3"/>
  <c r="BA337" i="3"/>
  <c r="AY337" i="3"/>
  <c r="BC337" i="3" s="1"/>
  <c r="AH339" i="3"/>
  <c r="AN339" i="3"/>
  <c r="BD336" i="3" l="1"/>
  <c r="AY338" i="3"/>
  <c r="AG340" i="3"/>
  <c r="AN340" i="3"/>
  <c r="Y340" i="3"/>
  <c r="Z340" i="3" s="1"/>
  <c r="BD337" i="3"/>
  <c r="BG337" i="3"/>
  <c r="BH337" i="3" s="1"/>
  <c r="BI337" i="3" s="1"/>
  <c r="BQ337" i="3"/>
  <c r="BB337" i="3"/>
  <c r="BF337" i="3"/>
  <c r="BJ336" i="3" s="1"/>
  <c r="BK336" i="3" s="1"/>
  <c r="AT339" i="3"/>
  <c r="AX339" i="3"/>
  <c r="AV338" i="3"/>
  <c r="BA338" i="3"/>
  <c r="AR341" i="3"/>
  <c r="B341" i="3"/>
  <c r="A342" i="3"/>
  <c r="AQ341" i="3"/>
  <c r="AK341" i="3"/>
  <c r="T341" i="3"/>
  <c r="S341" i="3"/>
  <c r="AM341" i="3"/>
  <c r="R341" i="3"/>
  <c r="AD341" i="3"/>
  <c r="P341" i="3"/>
  <c r="Q341" i="3"/>
  <c r="O341" i="3"/>
  <c r="AE341" i="3"/>
  <c r="M341" i="3"/>
  <c r="AF341" i="3"/>
  <c r="U341" i="3"/>
  <c r="V341" i="3"/>
  <c r="C341" i="3"/>
  <c r="G341" i="3"/>
  <c r="H341" i="3" s="1"/>
  <c r="D341" i="3"/>
  <c r="F341" i="3"/>
  <c r="AU339" i="3"/>
  <c r="BN340" i="3"/>
  <c r="X340" i="3"/>
  <c r="AO340" i="3"/>
  <c r="AW339" i="3"/>
  <c r="AH340" i="3"/>
  <c r="BC338" i="3" l="1"/>
  <c r="BD338" i="3" s="1"/>
  <c r="AX340" i="3"/>
  <c r="BM341" i="3"/>
  <c r="AO341" i="3"/>
  <c r="AU340" i="3"/>
  <c r="AW340" i="3"/>
  <c r="AY339" i="3"/>
  <c r="BB338" i="3"/>
  <c r="BF338" i="3"/>
  <c r="BJ337" i="3" s="1"/>
  <c r="BK337" i="3" s="1"/>
  <c r="BQ338" i="3"/>
  <c r="BN341" i="3"/>
  <c r="AG341" i="3"/>
  <c r="AH341" i="3"/>
  <c r="AN341" i="3"/>
  <c r="Y341" i="3"/>
  <c r="Z341" i="3" s="1"/>
  <c r="AR342" i="3"/>
  <c r="B342" i="3"/>
  <c r="A343" i="3"/>
  <c r="AQ342" i="3"/>
  <c r="AM342" i="3"/>
  <c r="AK342" i="3"/>
  <c r="Q342" i="3"/>
  <c r="R342" i="3"/>
  <c r="AD342" i="3"/>
  <c r="O342" i="3"/>
  <c r="P342" i="3"/>
  <c r="AF342" i="3"/>
  <c r="AE342" i="3"/>
  <c r="M342" i="3"/>
  <c r="V342" i="3"/>
  <c r="U342" i="3"/>
  <c r="D342" i="3"/>
  <c r="F342" i="3"/>
  <c r="C342" i="3"/>
  <c r="G342" i="3"/>
  <c r="H342" i="3" s="1"/>
  <c r="T342" i="3"/>
  <c r="S342" i="3"/>
  <c r="BA339" i="3"/>
  <c r="AV339" i="3"/>
  <c r="AT340" i="3"/>
  <c r="X341" i="3"/>
  <c r="AY340" i="3" l="1"/>
  <c r="BC339" i="3"/>
  <c r="BD339" i="3" s="1"/>
  <c r="BG338" i="3"/>
  <c r="BH338" i="3" s="1"/>
  <c r="BI338" i="3" s="1"/>
  <c r="AG342" i="3"/>
  <c r="BA340" i="3"/>
  <c r="BQ340" i="3" s="1"/>
  <c r="AV340" i="3"/>
  <c r="AU341" i="3"/>
  <c r="AN342" i="3"/>
  <c r="AT341" i="3"/>
  <c r="Y342" i="3"/>
  <c r="Z342" i="3" s="1"/>
  <c r="X342" i="3"/>
  <c r="BN342" i="3"/>
  <c r="BM342" i="3"/>
  <c r="AO342" i="3"/>
  <c r="AX341" i="3"/>
  <c r="BF339" i="3"/>
  <c r="BJ338" i="3" s="1"/>
  <c r="BK338" i="3" s="1"/>
  <c r="BB339" i="3"/>
  <c r="BQ339" i="3"/>
  <c r="AQ343" i="3"/>
  <c r="AR343" i="3"/>
  <c r="B343" i="3"/>
  <c r="A344" i="3"/>
  <c r="D343" i="3"/>
  <c r="AK343" i="3"/>
  <c r="S343" i="3"/>
  <c r="Q343" i="3"/>
  <c r="AM343" i="3"/>
  <c r="T343" i="3"/>
  <c r="R343" i="3"/>
  <c r="AD343" i="3"/>
  <c r="P343" i="3"/>
  <c r="O343" i="3"/>
  <c r="AE343" i="3"/>
  <c r="V343" i="3"/>
  <c r="U343" i="3"/>
  <c r="AF343" i="3"/>
  <c r="M343" i="3"/>
  <c r="G343" i="3"/>
  <c r="H343" i="3" s="1"/>
  <c r="C343" i="3"/>
  <c r="F343" i="3"/>
  <c r="AH342" i="3"/>
  <c r="AW341" i="3"/>
  <c r="BC340" i="3" l="1"/>
  <c r="BD340" i="3" s="1"/>
  <c r="BG339" i="3"/>
  <c r="BH339" i="3" s="1"/>
  <c r="BI339" i="3" s="1"/>
  <c r="AV341" i="3"/>
  <c r="BF340" i="3"/>
  <c r="BJ339" i="3" s="1"/>
  <c r="BK339" i="3" s="1"/>
  <c r="BM343" i="3"/>
  <c r="BN343" i="3"/>
  <c r="BB340" i="3"/>
  <c r="AX342" i="3"/>
  <c r="AO343" i="3"/>
  <c r="AY341" i="3"/>
  <c r="Y343" i="3"/>
  <c r="Z343" i="3" s="1"/>
  <c r="AH343" i="3"/>
  <c r="AT342" i="3"/>
  <c r="AW342" i="3"/>
  <c r="X343" i="3"/>
  <c r="AG343" i="3"/>
  <c r="AN343" i="3"/>
  <c r="BA341" i="3"/>
  <c r="A345" i="3"/>
  <c r="B344" i="3"/>
  <c r="AR344" i="3"/>
  <c r="AQ344" i="3"/>
  <c r="C344" i="3"/>
  <c r="AM344" i="3"/>
  <c r="AK344" i="3"/>
  <c r="S344" i="3"/>
  <c r="T344" i="3"/>
  <c r="R344" i="3"/>
  <c r="Q344" i="3"/>
  <c r="AD344" i="3"/>
  <c r="P344" i="3"/>
  <c r="O344" i="3"/>
  <c r="M344" i="3"/>
  <c r="AF344" i="3"/>
  <c r="AE344" i="3"/>
  <c r="V344" i="3"/>
  <c r="U344" i="3"/>
  <c r="D344" i="3"/>
  <c r="G344" i="3"/>
  <c r="H344" i="3" s="1"/>
  <c r="F344" i="3"/>
  <c r="AU342" i="3"/>
  <c r="BC341" i="3" l="1"/>
  <c r="BD341" i="3" s="1"/>
  <c r="BG340" i="3"/>
  <c r="BH340" i="3" s="1"/>
  <c r="BI340" i="3" s="1"/>
  <c r="AY342" i="3"/>
  <c r="BM344" i="3"/>
  <c r="AN344" i="3"/>
  <c r="AW343" i="3"/>
  <c r="AU343" i="3"/>
  <c r="Y344" i="3"/>
  <c r="Z344" i="3" s="1"/>
  <c r="AR345" i="3"/>
  <c r="B345" i="3"/>
  <c r="AQ345" i="3"/>
  <c r="A346" i="3"/>
  <c r="D345" i="3"/>
  <c r="C345" i="3"/>
  <c r="AK345" i="3"/>
  <c r="AM345" i="3"/>
  <c r="T345" i="3"/>
  <c r="S345" i="3"/>
  <c r="Q345" i="3"/>
  <c r="AD345" i="3"/>
  <c r="P345" i="3"/>
  <c r="O345" i="3"/>
  <c r="M345" i="3"/>
  <c r="AE345" i="3"/>
  <c r="U345" i="3"/>
  <c r="AF345" i="3"/>
  <c r="V345" i="3"/>
  <c r="R345" i="3"/>
  <c r="F345" i="3"/>
  <c r="G345" i="3"/>
  <c r="H345" i="3" s="1"/>
  <c r="BF341" i="3"/>
  <c r="BJ340" i="3" s="1"/>
  <c r="BK340" i="3" s="1"/>
  <c r="BB341" i="3"/>
  <c r="BQ341" i="3"/>
  <c r="AV342" i="3"/>
  <c r="BA342" i="3"/>
  <c r="BN344" i="3"/>
  <c r="AG344" i="3"/>
  <c r="AO344" i="3"/>
  <c r="X344" i="3"/>
  <c r="AX343" i="3"/>
  <c r="AH344" i="3"/>
  <c r="AT343" i="3"/>
  <c r="BC342" i="3" l="1"/>
  <c r="BD342" i="3" s="1"/>
  <c r="BG341" i="3"/>
  <c r="BH341" i="3" s="1"/>
  <c r="BI341" i="3" s="1"/>
  <c r="AY343" i="3"/>
  <c r="BN345" i="3"/>
  <c r="AN345" i="3"/>
  <c r="AG345" i="3"/>
  <c r="AX344" i="3"/>
  <c r="AV343" i="3"/>
  <c r="BA343" i="3"/>
  <c r="BF342" i="3"/>
  <c r="BJ341" i="3" s="1"/>
  <c r="BK341" i="3" s="1"/>
  <c r="BB342" i="3"/>
  <c r="BQ342" i="3"/>
  <c r="Y345" i="3"/>
  <c r="Z345" i="3" s="1"/>
  <c r="AU344" i="3"/>
  <c r="AW344" i="3"/>
  <c r="BM345" i="3"/>
  <c r="AO345" i="3"/>
  <c r="AR346" i="3"/>
  <c r="B346" i="3"/>
  <c r="AQ346" i="3"/>
  <c r="A347" i="3"/>
  <c r="D346" i="3"/>
  <c r="T346" i="3"/>
  <c r="AM346" i="3"/>
  <c r="AK346" i="3"/>
  <c r="R346" i="3"/>
  <c r="Q346" i="3"/>
  <c r="AD346" i="3"/>
  <c r="P346" i="3"/>
  <c r="S346" i="3"/>
  <c r="O346" i="3"/>
  <c r="M346" i="3"/>
  <c r="AE346" i="3"/>
  <c r="AF346" i="3"/>
  <c r="U346" i="3"/>
  <c r="V346" i="3"/>
  <c r="C346" i="3"/>
  <c r="G346" i="3"/>
  <c r="H346" i="3" s="1"/>
  <c r="F346" i="3"/>
  <c r="AT344" i="3"/>
  <c r="AH345" i="3"/>
  <c r="X345" i="3"/>
  <c r="BN346" i="3" l="1"/>
  <c r="BG342" i="3"/>
  <c r="BH342" i="3" s="1"/>
  <c r="BI342" i="3" s="1"/>
  <c r="BM346" i="3"/>
  <c r="BC343" i="3"/>
  <c r="BG343" i="3" s="1"/>
  <c r="BH343" i="3" s="1"/>
  <c r="BI343" i="3" s="1"/>
  <c r="AY344" i="3"/>
  <c r="AX345" i="3"/>
  <c r="AG346" i="3"/>
  <c r="AO346" i="3"/>
  <c r="AV344" i="3"/>
  <c r="BA344" i="3"/>
  <c r="Y346" i="3"/>
  <c r="Z346" i="3" s="1"/>
  <c r="AH346" i="3"/>
  <c r="AN346" i="3"/>
  <c r="AU345" i="3"/>
  <c r="AQ347" i="3"/>
  <c r="B347" i="3"/>
  <c r="A348" i="3"/>
  <c r="AR347" i="3"/>
  <c r="AM347" i="3"/>
  <c r="AK347" i="3"/>
  <c r="S347" i="3"/>
  <c r="R347" i="3"/>
  <c r="Q347" i="3"/>
  <c r="P347" i="3"/>
  <c r="AD347" i="3"/>
  <c r="O347" i="3"/>
  <c r="M347" i="3"/>
  <c r="AE347" i="3"/>
  <c r="V347" i="3"/>
  <c r="U347" i="3"/>
  <c r="AF347" i="3"/>
  <c r="D347" i="3"/>
  <c r="C347" i="3"/>
  <c r="G347" i="3"/>
  <c r="H347" i="3" s="1"/>
  <c r="F347" i="3"/>
  <c r="T347" i="3"/>
  <c r="BQ343" i="3"/>
  <c r="BB343" i="3"/>
  <c r="BF343" i="3"/>
  <c r="BJ342" i="3" s="1"/>
  <c r="BK342" i="3" s="1"/>
  <c r="X346" i="3"/>
  <c r="AT345" i="3"/>
  <c r="AW345" i="3"/>
  <c r="BD343" i="3" l="1"/>
  <c r="BN347" i="3"/>
  <c r="BM347" i="3"/>
  <c r="BC344" i="3"/>
  <c r="BG344" i="3" s="1"/>
  <c r="BH344" i="3" s="1"/>
  <c r="BI344" i="3" s="1"/>
  <c r="AY345" i="3"/>
  <c r="AO347" i="3"/>
  <c r="AU346" i="3"/>
  <c r="AX346" i="3"/>
  <c r="AG347" i="3"/>
  <c r="BA345" i="3"/>
  <c r="AV345" i="3"/>
  <c r="A349" i="3"/>
  <c r="B348" i="3"/>
  <c r="AR348" i="3"/>
  <c r="AQ348" i="3"/>
  <c r="AM348" i="3"/>
  <c r="S348" i="3"/>
  <c r="D348" i="3"/>
  <c r="AK348" i="3"/>
  <c r="T348" i="3"/>
  <c r="Q348" i="3"/>
  <c r="AD348" i="3"/>
  <c r="P348" i="3"/>
  <c r="AE348" i="3"/>
  <c r="O348" i="3"/>
  <c r="AF348" i="3"/>
  <c r="V348" i="3"/>
  <c r="M348" i="3"/>
  <c r="U348" i="3"/>
  <c r="R348" i="3"/>
  <c r="F348" i="3"/>
  <c r="C348" i="3"/>
  <c r="G348" i="3"/>
  <c r="H348" i="3" s="1"/>
  <c r="X347" i="3"/>
  <c r="AH347" i="3"/>
  <c r="AN347" i="3"/>
  <c r="AT346" i="3"/>
  <c r="AW346" i="3"/>
  <c r="BQ344" i="3"/>
  <c r="BB344" i="3"/>
  <c r="BF344" i="3"/>
  <c r="BJ343" i="3" s="1"/>
  <c r="BK343" i="3" s="1"/>
  <c r="Y347" i="3"/>
  <c r="Z347" i="3" s="1"/>
  <c r="AU347" i="3" l="1"/>
  <c r="BC345" i="3"/>
  <c r="BD345" i="3" s="1"/>
  <c r="BD344" i="3"/>
  <c r="BN348" i="3"/>
  <c r="BM348" i="3"/>
  <c r="AY346" i="3"/>
  <c r="AW347" i="3"/>
  <c r="AO348" i="3"/>
  <c r="BA346" i="3"/>
  <c r="BQ346" i="3" s="1"/>
  <c r="AT347" i="3"/>
  <c r="AX347" i="3"/>
  <c r="Y348" i="3"/>
  <c r="Z348" i="3" s="1"/>
  <c r="AR349" i="3"/>
  <c r="B349" i="3"/>
  <c r="AQ349" i="3"/>
  <c r="A350" i="3"/>
  <c r="C349" i="3"/>
  <c r="AK349" i="3"/>
  <c r="S349" i="3"/>
  <c r="AM349" i="3"/>
  <c r="R349" i="3"/>
  <c r="AD349" i="3"/>
  <c r="Q349" i="3"/>
  <c r="P349" i="3"/>
  <c r="O349" i="3"/>
  <c r="AE349" i="3"/>
  <c r="M349" i="3"/>
  <c r="AF349" i="3"/>
  <c r="V349" i="3"/>
  <c r="U349" i="3"/>
  <c r="F349" i="3"/>
  <c r="D349" i="3"/>
  <c r="G349" i="3"/>
  <c r="H349" i="3" s="1"/>
  <c r="T349" i="3"/>
  <c r="BF345" i="3"/>
  <c r="BJ344" i="3" s="1"/>
  <c r="BK344" i="3" s="1"/>
  <c r="BQ345" i="3"/>
  <c r="BB345" i="3"/>
  <c r="AV346" i="3"/>
  <c r="X348" i="3"/>
  <c r="AG348" i="3"/>
  <c r="AH348" i="3"/>
  <c r="AN348" i="3"/>
  <c r="BC346" i="3" l="1"/>
  <c r="BM349" i="3"/>
  <c r="BG345" i="3"/>
  <c r="BH345" i="3" s="1"/>
  <c r="BI345" i="3" s="1"/>
  <c r="AN349" i="3"/>
  <c r="AY347" i="3"/>
  <c r="BN349" i="3"/>
  <c r="AU348" i="3"/>
  <c r="AX348" i="3"/>
  <c r="BB346" i="3"/>
  <c r="BF346" i="3"/>
  <c r="BJ345" i="3" s="1"/>
  <c r="BK345" i="3" s="1"/>
  <c r="BD346" i="3"/>
  <c r="BG346" i="3"/>
  <c r="BH346" i="3" s="1"/>
  <c r="BI346" i="3" s="1"/>
  <c r="AR350" i="3"/>
  <c r="B350" i="3"/>
  <c r="AQ350" i="3"/>
  <c r="A351" i="3"/>
  <c r="D350" i="3"/>
  <c r="AM350" i="3"/>
  <c r="R350" i="3"/>
  <c r="AK350" i="3"/>
  <c r="Q350" i="3"/>
  <c r="P350" i="3"/>
  <c r="AD350" i="3"/>
  <c r="M350" i="3"/>
  <c r="AF350" i="3"/>
  <c r="AE350" i="3"/>
  <c r="U350" i="3"/>
  <c r="O350" i="3"/>
  <c r="V350" i="3"/>
  <c r="G350" i="3"/>
  <c r="H350" i="3" s="1"/>
  <c r="C350" i="3"/>
  <c r="F350" i="3"/>
  <c r="T350" i="3"/>
  <c r="S350" i="3"/>
  <c r="AW348" i="3"/>
  <c r="Y349" i="3"/>
  <c r="Z349" i="3" s="1"/>
  <c r="AG349" i="3"/>
  <c r="AH349" i="3"/>
  <c r="AO349" i="3"/>
  <c r="AV347" i="3"/>
  <c r="BA347" i="3"/>
  <c r="AT348" i="3"/>
  <c r="X349" i="3"/>
  <c r="AO350" i="3" l="1"/>
  <c r="BC347" i="3"/>
  <c r="BG347" i="3" s="1"/>
  <c r="BH347" i="3" s="1"/>
  <c r="BI347" i="3" s="1"/>
  <c r="BM350" i="3"/>
  <c r="BN350" i="3"/>
  <c r="AY348" i="3"/>
  <c r="AX349" i="3"/>
  <c r="AG350" i="3"/>
  <c r="AV348" i="3"/>
  <c r="BA348" i="3"/>
  <c r="AU349" i="3"/>
  <c r="AW349" i="3"/>
  <c r="AT349" i="3"/>
  <c r="Y350" i="3"/>
  <c r="Z350" i="3" s="1"/>
  <c r="AH350" i="3"/>
  <c r="BB347" i="3"/>
  <c r="BQ347" i="3"/>
  <c r="BF347" i="3"/>
  <c r="BJ346" i="3" s="1"/>
  <c r="BK346" i="3" s="1"/>
  <c r="AQ351" i="3"/>
  <c r="B351" i="3"/>
  <c r="A352" i="3"/>
  <c r="AR351" i="3"/>
  <c r="D351" i="3"/>
  <c r="AM351" i="3"/>
  <c r="AK351" i="3"/>
  <c r="Q351" i="3"/>
  <c r="S351" i="3"/>
  <c r="AD351" i="3"/>
  <c r="AE351" i="3"/>
  <c r="M351" i="3"/>
  <c r="U351" i="3"/>
  <c r="V351" i="3"/>
  <c r="P351" i="3"/>
  <c r="O351" i="3"/>
  <c r="AF351" i="3"/>
  <c r="R351" i="3"/>
  <c r="C351" i="3"/>
  <c r="F351" i="3"/>
  <c r="G351" i="3"/>
  <c r="H351" i="3" s="1"/>
  <c r="T351" i="3"/>
  <c r="X350" i="3"/>
  <c r="AN350" i="3"/>
  <c r="BN351" i="3" l="1"/>
  <c r="BD347" i="3"/>
  <c r="AU350" i="3"/>
  <c r="BM351" i="3"/>
  <c r="BC348" i="3"/>
  <c r="BD348" i="3" s="1"/>
  <c r="AW350" i="3"/>
  <c r="AY349" i="3"/>
  <c r="AT350" i="3"/>
  <c r="AN351" i="3"/>
  <c r="Y351" i="3"/>
  <c r="Z351" i="3" s="1"/>
  <c r="AH351" i="3"/>
  <c r="A353" i="3"/>
  <c r="B352" i="3"/>
  <c r="AR352" i="3"/>
  <c r="AQ352" i="3"/>
  <c r="AM352" i="3"/>
  <c r="S352" i="3"/>
  <c r="AK352" i="3"/>
  <c r="C352" i="3"/>
  <c r="R352" i="3"/>
  <c r="Q352" i="3"/>
  <c r="AD352" i="3"/>
  <c r="P352" i="3"/>
  <c r="M352" i="3"/>
  <c r="AF352" i="3"/>
  <c r="V352" i="3"/>
  <c r="O352" i="3"/>
  <c r="AE352" i="3"/>
  <c r="U352" i="3"/>
  <c r="G352" i="3"/>
  <c r="H352" i="3" s="1"/>
  <c r="F352" i="3"/>
  <c r="BM352" i="3" s="1"/>
  <c r="D352" i="3"/>
  <c r="T352" i="3"/>
  <c r="AV349" i="3"/>
  <c r="BA349" i="3"/>
  <c r="X351" i="3"/>
  <c r="AG351" i="3"/>
  <c r="AO351" i="3"/>
  <c r="AX350" i="3"/>
  <c r="BB348" i="3"/>
  <c r="BQ348" i="3"/>
  <c r="BF348" i="3"/>
  <c r="BJ347" i="3" s="1"/>
  <c r="BK347" i="3" s="1"/>
  <c r="AO352" i="3" l="1"/>
  <c r="AV350" i="3"/>
  <c r="BC349" i="3"/>
  <c r="BD349" i="3" s="1"/>
  <c r="BG348" i="3"/>
  <c r="BH348" i="3" s="1"/>
  <c r="BI348" i="3" s="1"/>
  <c r="AY350" i="3"/>
  <c r="AG352" i="3"/>
  <c r="AU351" i="3"/>
  <c r="AX351" i="3"/>
  <c r="BA350" i="3"/>
  <c r="BQ350" i="3" s="1"/>
  <c r="BF349" i="3"/>
  <c r="BJ348" i="3" s="1"/>
  <c r="BK348" i="3" s="1"/>
  <c r="BB349" i="3"/>
  <c r="BQ349" i="3"/>
  <c r="BN352" i="3"/>
  <c r="AH352" i="3"/>
  <c r="AW351" i="3"/>
  <c r="AT351" i="3"/>
  <c r="Y352" i="3"/>
  <c r="Z352" i="3" s="1"/>
  <c r="X352" i="3"/>
  <c r="AR353" i="3"/>
  <c r="B353" i="3"/>
  <c r="AQ353" i="3"/>
  <c r="A354" i="3"/>
  <c r="AM353" i="3"/>
  <c r="AK353" i="3"/>
  <c r="R353" i="3"/>
  <c r="T353" i="3"/>
  <c r="AD353" i="3"/>
  <c r="S353" i="3"/>
  <c r="Q353" i="3"/>
  <c r="P353" i="3"/>
  <c r="O353" i="3"/>
  <c r="M353" i="3"/>
  <c r="V353" i="3"/>
  <c r="U353" i="3"/>
  <c r="AF353" i="3"/>
  <c r="AE353" i="3"/>
  <c r="D353" i="3"/>
  <c r="G353" i="3"/>
  <c r="H353" i="3" s="1"/>
  <c r="F353" i="3"/>
  <c r="C353" i="3"/>
  <c r="AN352" i="3"/>
  <c r="BC350" i="3" l="1"/>
  <c r="BD350" i="3" s="1"/>
  <c r="BG349" i="3"/>
  <c r="BH349" i="3" s="1"/>
  <c r="BI349" i="3" s="1"/>
  <c r="AU352" i="3"/>
  <c r="BM353" i="3"/>
  <c r="AN353" i="3"/>
  <c r="AY351" i="3"/>
  <c r="AW352" i="3"/>
  <c r="AT352" i="3"/>
  <c r="BF350" i="3"/>
  <c r="BJ349" i="3" s="1"/>
  <c r="BK349" i="3" s="1"/>
  <c r="BB350" i="3"/>
  <c r="Y353" i="3"/>
  <c r="Z353" i="3" s="1"/>
  <c r="AR354" i="3"/>
  <c r="B354" i="3"/>
  <c r="AQ354" i="3"/>
  <c r="A355" i="3"/>
  <c r="D354" i="3"/>
  <c r="C354" i="3"/>
  <c r="R354" i="3"/>
  <c r="AM354" i="3"/>
  <c r="AK354" i="3"/>
  <c r="S354" i="3"/>
  <c r="Q354" i="3"/>
  <c r="AD354" i="3"/>
  <c r="P354" i="3"/>
  <c r="M354" i="3"/>
  <c r="AE354" i="3"/>
  <c r="V354" i="3"/>
  <c r="O354" i="3"/>
  <c r="AF354" i="3"/>
  <c r="U354" i="3"/>
  <c r="F354" i="3"/>
  <c r="G354" i="3"/>
  <c r="H354" i="3" s="1"/>
  <c r="BN354" i="3" s="1"/>
  <c r="T354" i="3"/>
  <c r="AV351" i="3"/>
  <c r="BA351" i="3"/>
  <c r="X353" i="3"/>
  <c r="BN353" i="3"/>
  <c r="AG353" i="3"/>
  <c r="AO353" i="3"/>
  <c r="AX352" i="3"/>
  <c r="AH353" i="3"/>
  <c r="BG350" i="3" l="1"/>
  <c r="BH350" i="3" s="1"/>
  <c r="BI350" i="3" s="1"/>
  <c r="BM354" i="3"/>
  <c r="AV352" i="3"/>
  <c r="BA352" i="3"/>
  <c r="BF352" i="3" s="1"/>
  <c r="BC351" i="3"/>
  <c r="BD351" i="3" s="1"/>
  <c r="AG354" i="3"/>
  <c r="AX353" i="3"/>
  <c r="AO354" i="3"/>
  <c r="BB351" i="3"/>
  <c r="BQ351" i="3"/>
  <c r="BF351" i="3"/>
  <c r="BJ350" i="3" s="1"/>
  <c r="BK350" i="3" s="1"/>
  <c r="AQ355" i="3"/>
  <c r="B355" i="3"/>
  <c r="A356" i="3"/>
  <c r="AR355" i="3"/>
  <c r="D355" i="3"/>
  <c r="AM355" i="3"/>
  <c r="T355" i="3"/>
  <c r="AK355" i="3"/>
  <c r="S355" i="3"/>
  <c r="Q355" i="3"/>
  <c r="R355" i="3"/>
  <c r="AD355" i="3"/>
  <c r="P355" i="3"/>
  <c r="M355" i="3"/>
  <c r="AF355" i="3"/>
  <c r="V355" i="3"/>
  <c r="O355" i="3"/>
  <c r="AE355" i="3"/>
  <c r="U355" i="3"/>
  <c r="F355" i="3"/>
  <c r="G355" i="3"/>
  <c r="H355" i="3" s="1"/>
  <c r="C355" i="3"/>
  <c r="AW353" i="3"/>
  <c r="AY352" i="3"/>
  <c r="AT353" i="3"/>
  <c r="AU353" i="3"/>
  <c r="Y354" i="3"/>
  <c r="Z354" i="3" s="1"/>
  <c r="AH354" i="3"/>
  <c r="AN354" i="3"/>
  <c r="X354" i="3"/>
  <c r="BC352" i="3" l="1"/>
  <c r="BG352" i="3" s="1"/>
  <c r="BH352" i="3" s="1"/>
  <c r="BI352" i="3" s="1"/>
  <c r="BN355" i="3"/>
  <c r="AO355" i="3"/>
  <c r="AT354" i="3"/>
  <c r="AG355" i="3"/>
  <c r="BB352" i="3"/>
  <c r="BQ352" i="3"/>
  <c r="AY353" i="3"/>
  <c r="BG351" i="3"/>
  <c r="BH351" i="3" s="1"/>
  <c r="BI351" i="3" s="1"/>
  <c r="X355" i="3"/>
  <c r="Y355" i="3"/>
  <c r="Z355" i="3" s="1"/>
  <c r="A357" i="3"/>
  <c r="B356" i="3"/>
  <c r="AR356" i="3"/>
  <c r="AQ356" i="3"/>
  <c r="AK356" i="3"/>
  <c r="T356" i="3"/>
  <c r="AM356" i="3"/>
  <c r="S356" i="3"/>
  <c r="R356" i="3"/>
  <c r="AD356" i="3"/>
  <c r="P356" i="3"/>
  <c r="O356" i="3"/>
  <c r="AE356" i="3"/>
  <c r="V356" i="3"/>
  <c r="AF356" i="3"/>
  <c r="M356" i="3"/>
  <c r="U356" i="3"/>
  <c r="D356" i="3"/>
  <c r="C356" i="3"/>
  <c r="Q356" i="3"/>
  <c r="F356" i="3"/>
  <c r="G356" i="3"/>
  <c r="H356" i="3" s="1"/>
  <c r="BN356" i="3" s="1"/>
  <c r="AH355" i="3"/>
  <c r="AN355" i="3"/>
  <c r="AX354" i="3"/>
  <c r="AW354" i="3"/>
  <c r="BJ351" i="3"/>
  <c r="BK351" i="3" s="1"/>
  <c r="AV353" i="3"/>
  <c r="BA353" i="3"/>
  <c r="BM355" i="3"/>
  <c r="AU354" i="3"/>
  <c r="BD352" i="3" l="1"/>
  <c r="BM356" i="3"/>
  <c r="AN356" i="3"/>
  <c r="BC353" i="3"/>
  <c r="BG353" i="3" s="1"/>
  <c r="BH353" i="3" s="1"/>
  <c r="BI353" i="3" s="1"/>
  <c r="AX355" i="3"/>
  <c r="AT355" i="3"/>
  <c r="AU355" i="3"/>
  <c r="AH356" i="3"/>
  <c r="BA354" i="3"/>
  <c r="BB354" i="3" s="1"/>
  <c r="BB353" i="3"/>
  <c r="BQ353" i="3"/>
  <c r="BF353" i="3"/>
  <c r="BJ352" i="3" s="1"/>
  <c r="BK352" i="3" s="1"/>
  <c r="AR357" i="3"/>
  <c r="B357" i="3"/>
  <c r="AQ357" i="3"/>
  <c r="A358" i="3"/>
  <c r="AM357" i="3"/>
  <c r="S357" i="3"/>
  <c r="R357" i="3"/>
  <c r="Q357" i="3"/>
  <c r="C357" i="3"/>
  <c r="AK357" i="3"/>
  <c r="AD357" i="3"/>
  <c r="P357" i="3"/>
  <c r="O357" i="3"/>
  <c r="AE357" i="3"/>
  <c r="AF357" i="3"/>
  <c r="U357" i="3"/>
  <c r="V357" i="3"/>
  <c r="M357" i="3"/>
  <c r="G357" i="3"/>
  <c r="H357" i="3" s="1"/>
  <c r="F357" i="3"/>
  <c r="D357" i="3"/>
  <c r="T357" i="3"/>
  <c r="AY354" i="3"/>
  <c r="AW355" i="3"/>
  <c r="X356" i="3"/>
  <c r="AG356" i="3"/>
  <c r="AO356" i="3"/>
  <c r="AV354" i="3"/>
  <c r="Y356" i="3"/>
  <c r="Z356" i="3" s="1"/>
  <c r="BD353" i="3" l="1"/>
  <c r="BM357" i="3"/>
  <c r="AY355" i="3"/>
  <c r="AG357" i="3"/>
  <c r="AV355" i="3"/>
  <c r="AW356" i="3"/>
  <c r="AO357" i="3"/>
  <c r="AX356" i="3"/>
  <c r="BF354" i="3"/>
  <c r="BJ353" i="3" s="1"/>
  <c r="BK353" i="3" s="1"/>
  <c r="AT356" i="3"/>
  <c r="BQ354" i="3"/>
  <c r="Y357" i="3"/>
  <c r="Z357" i="3" s="1"/>
  <c r="AU356" i="3"/>
  <c r="BA355" i="3"/>
  <c r="BC354" i="3"/>
  <c r="BN357" i="3"/>
  <c r="AH357" i="3"/>
  <c r="X357" i="3"/>
  <c r="AN357" i="3"/>
  <c r="AR358" i="3"/>
  <c r="B358" i="3"/>
  <c r="AQ358" i="3"/>
  <c r="A359" i="3"/>
  <c r="C358" i="3"/>
  <c r="AK358" i="3"/>
  <c r="S358" i="3"/>
  <c r="AM358" i="3"/>
  <c r="T358" i="3"/>
  <c r="AD358" i="3"/>
  <c r="R358" i="3"/>
  <c r="P358" i="3"/>
  <c r="O358" i="3"/>
  <c r="AE358" i="3"/>
  <c r="M358" i="3"/>
  <c r="V358" i="3"/>
  <c r="AF358" i="3"/>
  <c r="U358" i="3"/>
  <c r="Q358" i="3"/>
  <c r="D358" i="3"/>
  <c r="F358" i="3"/>
  <c r="G358" i="3"/>
  <c r="H358" i="3" s="1"/>
  <c r="BM358" i="3" l="1"/>
  <c r="BN358" i="3"/>
  <c r="AY356" i="3"/>
  <c r="BC355" i="3"/>
  <c r="BD355" i="3" s="1"/>
  <c r="AN358" i="3"/>
  <c r="AG358" i="3"/>
  <c r="AV356" i="3"/>
  <c r="AW357" i="3"/>
  <c r="AX357" i="3"/>
  <c r="AU357" i="3"/>
  <c r="BA356" i="3"/>
  <c r="BQ356" i="3" s="1"/>
  <c r="AT357" i="3"/>
  <c r="Y358" i="3"/>
  <c r="Z358" i="3" s="1"/>
  <c r="BB355" i="3"/>
  <c r="BQ355" i="3"/>
  <c r="BF355" i="3"/>
  <c r="BJ354" i="3" s="1"/>
  <c r="BK354" i="3" s="1"/>
  <c r="X358" i="3"/>
  <c r="AQ359" i="3"/>
  <c r="B359" i="3"/>
  <c r="A360" i="3"/>
  <c r="AR359" i="3"/>
  <c r="C359" i="3"/>
  <c r="AK359" i="3"/>
  <c r="S359" i="3"/>
  <c r="AM359" i="3"/>
  <c r="R359" i="3"/>
  <c r="Q359" i="3"/>
  <c r="P359" i="3"/>
  <c r="AD359" i="3"/>
  <c r="M359" i="3"/>
  <c r="AF359" i="3"/>
  <c r="AE359" i="3"/>
  <c r="O359" i="3"/>
  <c r="V359" i="3"/>
  <c r="U359" i="3"/>
  <c r="G359" i="3"/>
  <c r="H359" i="3" s="1"/>
  <c r="D359" i="3"/>
  <c r="F359" i="3"/>
  <c r="T359" i="3"/>
  <c r="BD354" i="3"/>
  <c r="BG354" i="3"/>
  <c r="BH354" i="3" s="1"/>
  <c r="BI354" i="3" s="1"/>
  <c r="AH358" i="3"/>
  <c r="AO358" i="3"/>
  <c r="BM359" i="3" l="1"/>
  <c r="BC356" i="3"/>
  <c r="BG356" i="3" s="1"/>
  <c r="BH356" i="3" s="1"/>
  <c r="BI356" i="3" s="1"/>
  <c r="AN359" i="3"/>
  <c r="BG355" i="3"/>
  <c r="BH355" i="3" s="1"/>
  <c r="BI355" i="3" s="1"/>
  <c r="AV357" i="3"/>
  <c r="BN359" i="3"/>
  <c r="BB356" i="3"/>
  <c r="AY357" i="3"/>
  <c r="BF356" i="3"/>
  <c r="BJ355" i="3" s="1"/>
  <c r="BK355" i="3" s="1"/>
  <c r="BA357" i="3"/>
  <c r="BF357" i="3" s="1"/>
  <c r="AG359" i="3"/>
  <c r="AW358" i="3"/>
  <c r="AX358" i="3"/>
  <c r="Y359" i="3"/>
  <c r="Z359" i="3" s="1"/>
  <c r="AH359" i="3"/>
  <c r="AO359" i="3"/>
  <c r="AT358" i="3"/>
  <c r="A361" i="3"/>
  <c r="B360" i="3"/>
  <c r="AR360" i="3"/>
  <c r="AQ360" i="3"/>
  <c r="C360" i="3"/>
  <c r="AK360" i="3"/>
  <c r="R360" i="3"/>
  <c r="AM360" i="3"/>
  <c r="Q360" i="3"/>
  <c r="P360" i="3"/>
  <c r="S360" i="3"/>
  <c r="AD360" i="3"/>
  <c r="O360" i="3"/>
  <c r="M360" i="3"/>
  <c r="AE360" i="3"/>
  <c r="AF360" i="3"/>
  <c r="U360" i="3"/>
  <c r="V360" i="3"/>
  <c r="D360" i="3"/>
  <c r="G360" i="3"/>
  <c r="H360" i="3" s="1"/>
  <c r="F360" i="3"/>
  <c r="T360" i="3"/>
  <c r="X359" i="3"/>
  <c r="AU358" i="3"/>
  <c r="BM360" i="3" l="1"/>
  <c r="BD356" i="3"/>
  <c r="AU359" i="3"/>
  <c r="BC357" i="3"/>
  <c r="BD357" i="3" s="1"/>
  <c r="AN360" i="3"/>
  <c r="BN360" i="3"/>
  <c r="BB357" i="3"/>
  <c r="Y360" i="3"/>
  <c r="Z360" i="3" s="1"/>
  <c r="BJ356" i="3"/>
  <c r="BK356" i="3" s="1"/>
  <c r="AT359" i="3"/>
  <c r="BQ357" i="3"/>
  <c r="AW359" i="3"/>
  <c r="AY358" i="3"/>
  <c r="AG360" i="3"/>
  <c r="AR361" i="3"/>
  <c r="B361" i="3"/>
  <c r="AQ361" i="3"/>
  <c r="A362" i="3"/>
  <c r="AK361" i="3"/>
  <c r="S361" i="3"/>
  <c r="R361" i="3"/>
  <c r="Q361" i="3"/>
  <c r="AM361" i="3"/>
  <c r="AD361" i="3"/>
  <c r="P361" i="3"/>
  <c r="AF361" i="3"/>
  <c r="V361" i="3"/>
  <c r="O361" i="3"/>
  <c r="M361" i="3"/>
  <c r="AE361" i="3"/>
  <c r="U361" i="3"/>
  <c r="C361" i="3"/>
  <c r="G361" i="3"/>
  <c r="H361" i="3" s="1"/>
  <c r="F361" i="3"/>
  <c r="D361" i="3"/>
  <c r="T361" i="3"/>
  <c r="BA358" i="3"/>
  <c r="AV358" i="3"/>
  <c r="X360" i="3"/>
  <c r="AH360" i="3"/>
  <c r="AO360" i="3"/>
  <c r="AX359" i="3"/>
  <c r="BM361" i="3" l="1"/>
  <c r="BC358" i="3"/>
  <c r="BD358" i="3" s="1"/>
  <c r="BG357" i="3"/>
  <c r="BH357" i="3" s="1"/>
  <c r="BI357" i="3" s="1"/>
  <c r="AV359" i="3"/>
  <c r="AN361" i="3"/>
  <c r="AG361" i="3"/>
  <c r="AY359" i="3"/>
  <c r="Y361" i="3"/>
  <c r="Z361" i="3" s="1"/>
  <c r="AX360" i="3"/>
  <c r="BA359" i="3"/>
  <c r="BF359" i="3" s="1"/>
  <c r="BQ358" i="3"/>
  <c r="BB358" i="3"/>
  <c r="BF358" i="3"/>
  <c r="BJ357" i="3" s="1"/>
  <c r="BK357" i="3" s="1"/>
  <c r="X361" i="3"/>
  <c r="AT360" i="3"/>
  <c r="AW360" i="3"/>
  <c r="BN361" i="3"/>
  <c r="AO361" i="3"/>
  <c r="AR362" i="3"/>
  <c r="B362" i="3"/>
  <c r="AQ362" i="3"/>
  <c r="A363" i="3"/>
  <c r="AK362" i="3"/>
  <c r="AM362" i="3"/>
  <c r="R362" i="3"/>
  <c r="D362" i="3"/>
  <c r="S362" i="3"/>
  <c r="Q362" i="3"/>
  <c r="AD362" i="3"/>
  <c r="P362" i="3"/>
  <c r="M362" i="3"/>
  <c r="O362" i="3"/>
  <c r="AE362" i="3"/>
  <c r="V362" i="3"/>
  <c r="AF362" i="3"/>
  <c r="U362" i="3"/>
  <c r="C362" i="3"/>
  <c r="F362" i="3"/>
  <c r="G362" i="3"/>
  <c r="H362" i="3" s="1"/>
  <c r="T362" i="3"/>
  <c r="AU360" i="3"/>
  <c r="AH361" i="3"/>
  <c r="BG358" i="3" l="1"/>
  <c r="BH358" i="3" s="1"/>
  <c r="BI358" i="3" s="1"/>
  <c r="AY360" i="3"/>
  <c r="BC359" i="3"/>
  <c r="BD359" i="3" s="1"/>
  <c r="BQ359" i="3"/>
  <c r="AX361" i="3"/>
  <c r="BN362" i="3"/>
  <c r="BJ358" i="3"/>
  <c r="BK358" i="3" s="1"/>
  <c r="AO362" i="3"/>
  <c r="BB359" i="3"/>
  <c r="AV360" i="3"/>
  <c r="X362" i="3"/>
  <c r="AQ363" i="3"/>
  <c r="B363" i="3"/>
  <c r="A364" i="3"/>
  <c r="AR363" i="3"/>
  <c r="D363" i="3"/>
  <c r="AK363" i="3"/>
  <c r="R363" i="3"/>
  <c r="AM363" i="3"/>
  <c r="T363" i="3"/>
  <c r="AD363" i="3"/>
  <c r="Q363" i="3"/>
  <c r="O363" i="3"/>
  <c r="AE363" i="3"/>
  <c r="V363" i="3"/>
  <c r="U363" i="3"/>
  <c r="M363" i="3"/>
  <c r="AF363" i="3"/>
  <c r="G363" i="3"/>
  <c r="H363" i="3" s="1"/>
  <c r="F363" i="3"/>
  <c r="C363" i="3"/>
  <c r="S363" i="3"/>
  <c r="P363" i="3"/>
  <c r="AG362" i="3"/>
  <c r="AH362" i="3"/>
  <c r="AW361" i="3"/>
  <c r="Y362" i="3"/>
  <c r="Z362" i="3" s="1"/>
  <c r="BM362" i="3"/>
  <c r="AN362" i="3"/>
  <c r="AU361" i="3"/>
  <c r="AT361" i="3"/>
  <c r="BA360" i="3"/>
  <c r="BC360" i="3" l="1"/>
  <c r="BG360" i="3" s="1"/>
  <c r="BH360" i="3" s="1"/>
  <c r="BI360" i="3" s="1"/>
  <c r="BG359" i="3"/>
  <c r="BH359" i="3" s="1"/>
  <c r="BI359" i="3" s="1"/>
  <c r="AN363" i="3"/>
  <c r="AY361" i="3"/>
  <c r="BN363" i="3"/>
  <c r="AU362" i="3"/>
  <c r="Y363" i="3"/>
  <c r="Z363" i="3" s="1"/>
  <c r="AV361" i="3"/>
  <c r="BA361" i="3"/>
  <c r="BB360" i="3"/>
  <c r="BQ360" i="3"/>
  <c r="BF360" i="3"/>
  <c r="BJ359" i="3" s="1"/>
  <c r="BK359" i="3" s="1"/>
  <c r="A365" i="3"/>
  <c r="B364" i="3"/>
  <c r="AR364" i="3"/>
  <c r="AQ364" i="3"/>
  <c r="D364" i="3"/>
  <c r="C364" i="3"/>
  <c r="R364" i="3"/>
  <c r="Q364" i="3"/>
  <c r="AM364" i="3"/>
  <c r="AK364" i="3"/>
  <c r="S364" i="3"/>
  <c r="AD364" i="3"/>
  <c r="M364" i="3"/>
  <c r="V364" i="3"/>
  <c r="U364" i="3"/>
  <c r="P364" i="3"/>
  <c r="O364" i="3"/>
  <c r="AE364" i="3"/>
  <c r="AF364" i="3"/>
  <c r="G364" i="3"/>
  <c r="H364" i="3" s="1"/>
  <c r="F364" i="3"/>
  <c r="T364" i="3"/>
  <c r="AT362" i="3"/>
  <c r="AW362" i="3"/>
  <c r="X363" i="3"/>
  <c r="BM363" i="3"/>
  <c r="AG363" i="3"/>
  <c r="AX362" i="3"/>
  <c r="AH363" i="3"/>
  <c r="AO363" i="3"/>
  <c r="BD360" i="3" l="1"/>
  <c r="BC361" i="3"/>
  <c r="BG361" i="3" s="1"/>
  <c r="BH361" i="3" s="1"/>
  <c r="BI361" i="3" s="1"/>
  <c r="BN364" i="3"/>
  <c r="Y364" i="3"/>
  <c r="Z364" i="3" s="1"/>
  <c r="AV362" i="3"/>
  <c r="BM364" i="3"/>
  <c r="AN364" i="3"/>
  <c r="AR365" i="3"/>
  <c r="B365" i="3"/>
  <c r="AQ365" i="3"/>
  <c r="A366" i="3"/>
  <c r="AM365" i="3"/>
  <c r="T365" i="3"/>
  <c r="AK365" i="3"/>
  <c r="Q365" i="3"/>
  <c r="P365" i="3"/>
  <c r="S365" i="3"/>
  <c r="R365" i="3"/>
  <c r="AD365" i="3"/>
  <c r="O365" i="3"/>
  <c r="M365" i="3"/>
  <c r="AF365" i="3"/>
  <c r="AE365" i="3"/>
  <c r="U365" i="3"/>
  <c r="V365" i="3"/>
  <c r="D365" i="3"/>
  <c r="G365" i="3"/>
  <c r="H365" i="3" s="1"/>
  <c r="F365" i="3"/>
  <c r="C365" i="3"/>
  <c r="BQ361" i="3"/>
  <c r="BF361" i="3"/>
  <c r="BJ360" i="3" s="1"/>
  <c r="BK360" i="3" s="1"/>
  <c r="BB361" i="3"/>
  <c r="AY362" i="3"/>
  <c r="AT363" i="3"/>
  <c r="AW363" i="3"/>
  <c r="AX363" i="3"/>
  <c r="AU363" i="3"/>
  <c r="BA362" i="3"/>
  <c r="AG364" i="3"/>
  <c r="AH364" i="3"/>
  <c r="AO364" i="3"/>
  <c r="X364" i="3"/>
  <c r="BD361" i="3" l="1"/>
  <c r="BC362" i="3"/>
  <c r="BD362" i="3" s="1"/>
  <c r="AO365" i="3"/>
  <c r="BN365" i="3"/>
  <c r="AG365" i="3"/>
  <c r="AU364" i="3"/>
  <c r="X365" i="3"/>
  <c r="AY363" i="3"/>
  <c r="BB362" i="3"/>
  <c r="BF362" i="3"/>
  <c r="BJ361" i="3" s="1"/>
  <c r="BK361" i="3" s="1"/>
  <c r="BQ362" i="3"/>
  <c r="Y365" i="3"/>
  <c r="Z365" i="3" s="1"/>
  <c r="AX364" i="3"/>
  <c r="AV363" i="3"/>
  <c r="BM365" i="3"/>
  <c r="AN365" i="3"/>
  <c r="AR366" i="3"/>
  <c r="B366" i="3"/>
  <c r="AQ366" i="3"/>
  <c r="A367" i="3"/>
  <c r="T366" i="3"/>
  <c r="S366" i="3"/>
  <c r="AK366" i="3"/>
  <c r="AM366" i="3"/>
  <c r="Q366" i="3"/>
  <c r="R366" i="3"/>
  <c r="AD366" i="3"/>
  <c r="P366" i="3"/>
  <c r="O366" i="3"/>
  <c r="AF366" i="3"/>
  <c r="V366" i="3"/>
  <c r="M366" i="3"/>
  <c r="AE366" i="3"/>
  <c r="U366" i="3"/>
  <c r="F366" i="3"/>
  <c r="C366" i="3"/>
  <c r="D366" i="3"/>
  <c r="G366" i="3"/>
  <c r="H366" i="3" s="1"/>
  <c r="AW364" i="3"/>
  <c r="BA363" i="3"/>
  <c r="AT364" i="3"/>
  <c r="AH365" i="3"/>
  <c r="BC363" i="3" l="1"/>
  <c r="BD363" i="3" s="1"/>
  <c r="BG362" i="3"/>
  <c r="BH362" i="3" s="1"/>
  <c r="BI362" i="3" s="1"/>
  <c r="AY364" i="3"/>
  <c r="AX365" i="3"/>
  <c r="AG366" i="3"/>
  <c r="AO366" i="3"/>
  <c r="AV364" i="3"/>
  <c r="BA364" i="3"/>
  <c r="X366" i="3"/>
  <c r="BM366" i="3"/>
  <c r="BF363" i="3"/>
  <c r="BJ362" i="3" s="1"/>
  <c r="BK362" i="3" s="1"/>
  <c r="BB363" i="3"/>
  <c r="BQ363" i="3"/>
  <c r="AQ367" i="3"/>
  <c r="B367" i="3"/>
  <c r="A368" i="3"/>
  <c r="AR367" i="3"/>
  <c r="D367" i="3"/>
  <c r="AM367" i="3"/>
  <c r="AK367" i="3"/>
  <c r="S367" i="3"/>
  <c r="R367" i="3"/>
  <c r="Q367" i="3"/>
  <c r="T367" i="3"/>
  <c r="AD367" i="3"/>
  <c r="P367" i="3"/>
  <c r="AE367" i="3"/>
  <c r="O367" i="3"/>
  <c r="AF367" i="3"/>
  <c r="U367" i="3"/>
  <c r="V367" i="3"/>
  <c r="M367" i="3"/>
  <c r="G367" i="3"/>
  <c r="H367" i="3" s="1"/>
  <c r="C367" i="3"/>
  <c r="F367" i="3"/>
  <c r="AW365" i="3"/>
  <c r="BN366" i="3"/>
  <c r="AN366" i="3"/>
  <c r="AT365" i="3"/>
  <c r="Y366" i="3"/>
  <c r="Z366" i="3" s="1"/>
  <c r="AH366" i="3"/>
  <c r="AU365" i="3"/>
  <c r="BG363" i="3" l="1"/>
  <c r="BH363" i="3" s="1"/>
  <c r="BI363" i="3" s="1"/>
  <c r="AY365" i="3"/>
  <c r="BC364" i="3"/>
  <c r="BG364" i="3" s="1"/>
  <c r="BH364" i="3" s="1"/>
  <c r="BI364" i="3" s="1"/>
  <c r="AX366" i="3"/>
  <c r="BM367" i="3"/>
  <c r="BN367" i="3"/>
  <c r="AN367" i="3"/>
  <c r="AO367" i="3"/>
  <c r="BA365" i="3"/>
  <c r="AV365" i="3"/>
  <c r="AT366" i="3"/>
  <c r="AG367" i="3"/>
  <c r="AH367" i="3"/>
  <c r="Y367" i="3"/>
  <c r="Z367" i="3" s="1"/>
  <c r="A369" i="3"/>
  <c r="B368" i="3"/>
  <c r="AR368" i="3"/>
  <c r="AQ368" i="3"/>
  <c r="D368" i="3"/>
  <c r="S368" i="3"/>
  <c r="Q368" i="3"/>
  <c r="C368" i="3"/>
  <c r="AM368" i="3"/>
  <c r="AK368" i="3"/>
  <c r="P368" i="3"/>
  <c r="T368" i="3"/>
  <c r="R368" i="3"/>
  <c r="AD368" i="3"/>
  <c r="O368" i="3"/>
  <c r="M368" i="3"/>
  <c r="AE368" i="3"/>
  <c r="AF368" i="3"/>
  <c r="V368" i="3"/>
  <c r="U368" i="3"/>
  <c r="G368" i="3"/>
  <c r="H368" i="3" s="1"/>
  <c r="BN368" i="3" s="1"/>
  <c r="F368" i="3"/>
  <c r="BB364" i="3"/>
  <c r="BQ364" i="3"/>
  <c r="BF364" i="3"/>
  <c r="BJ363" i="3" s="1"/>
  <c r="BK363" i="3" s="1"/>
  <c r="AU366" i="3"/>
  <c r="AW366" i="3"/>
  <c r="X367" i="3"/>
  <c r="BC365" i="3" l="1"/>
  <c r="BG365" i="3" s="1"/>
  <c r="BH365" i="3" s="1"/>
  <c r="BI365" i="3" s="1"/>
  <c r="BD364" i="3"/>
  <c r="BM368" i="3"/>
  <c r="AY366" i="3"/>
  <c r="AO368" i="3"/>
  <c r="AT367" i="3"/>
  <c r="AU367" i="3"/>
  <c r="AW367" i="3"/>
  <c r="AH368" i="3"/>
  <c r="Y368" i="3"/>
  <c r="Z368" i="3" s="1"/>
  <c r="AR369" i="3"/>
  <c r="B369" i="3"/>
  <c r="AQ369" i="3"/>
  <c r="A370" i="3"/>
  <c r="D369" i="3"/>
  <c r="AM369" i="3"/>
  <c r="R369" i="3"/>
  <c r="AK369" i="3"/>
  <c r="Q369" i="3"/>
  <c r="S369" i="3"/>
  <c r="AD369" i="3"/>
  <c r="O369" i="3"/>
  <c r="AE369" i="3"/>
  <c r="V369" i="3"/>
  <c r="P369" i="3"/>
  <c r="M369" i="3"/>
  <c r="AF369" i="3"/>
  <c r="U369" i="3"/>
  <c r="C369" i="3"/>
  <c r="G369" i="3"/>
  <c r="H369" i="3" s="1"/>
  <c r="F369" i="3"/>
  <c r="T369" i="3"/>
  <c r="BA366" i="3"/>
  <c r="AV366" i="3"/>
  <c r="BQ365" i="3"/>
  <c r="BF365" i="3"/>
  <c r="BJ364" i="3" s="1"/>
  <c r="BK364" i="3" s="1"/>
  <c r="BB365" i="3"/>
  <c r="AG368" i="3"/>
  <c r="AN368" i="3"/>
  <c r="AX367" i="3"/>
  <c r="X368" i="3"/>
  <c r="BD365" i="3" l="1"/>
  <c r="BM369" i="3"/>
  <c r="AO369" i="3"/>
  <c r="BC366" i="3"/>
  <c r="BD366" i="3" s="1"/>
  <c r="AH369" i="3"/>
  <c r="BN369" i="3"/>
  <c r="AV367" i="3"/>
  <c r="AT368" i="3"/>
  <c r="AU368" i="3"/>
  <c r="Y369" i="3"/>
  <c r="Z369" i="3" s="1"/>
  <c r="AY367" i="3"/>
  <c r="BA367" i="3"/>
  <c r="BB367" i="3" s="1"/>
  <c r="AX368" i="3"/>
  <c r="BQ366" i="3"/>
  <c r="BB366" i="3"/>
  <c r="BF366" i="3"/>
  <c r="BJ365" i="3" s="1"/>
  <c r="BK365" i="3" s="1"/>
  <c r="X369" i="3"/>
  <c r="AG369" i="3"/>
  <c r="AR370" i="3"/>
  <c r="B370" i="3"/>
  <c r="AQ370" i="3"/>
  <c r="A371" i="3"/>
  <c r="AK370" i="3"/>
  <c r="AM370" i="3"/>
  <c r="T370" i="3"/>
  <c r="Q370" i="3"/>
  <c r="C370" i="3"/>
  <c r="S370" i="3"/>
  <c r="AD370" i="3"/>
  <c r="P370" i="3"/>
  <c r="O370" i="3"/>
  <c r="AF370" i="3"/>
  <c r="U370" i="3"/>
  <c r="V370" i="3"/>
  <c r="AE370" i="3"/>
  <c r="M370" i="3"/>
  <c r="D370" i="3"/>
  <c r="R370" i="3"/>
  <c r="F370" i="3"/>
  <c r="G370" i="3"/>
  <c r="H370" i="3" s="1"/>
  <c r="AW368" i="3"/>
  <c r="AN369" i="3"/>
  <c r="BM370" i="3" l="1"/>
  <c r="BG366" i="3"/>
  <c r="BH366" i="3" s="1"/>
  <c r="BI366" i="3" s="1"/>
  <c r="BC367" i="3"/>
  <c r="BD367" i="3" s="1"/>
  <c r="AG370" i="3"/>
  <c r="AO370" i="3"/>
  <c r="BF367" i="3"/>
  <c r="BJ366" i="3" s="1"/>
  <c r="BK366" i="3" s="1"/>
  <c r="AV368" i="3"/>
  <c r="BQ367" i="3"/>
  <c r="AY368" i="3"/>
  <c r="AW369" i="3"/>
  <c r="AX369" i="3"/>
  <c r="AQ371" i="3"/>
  <c r="B371" i="3"/>
  <c r="A372" i="3"/>
  <c r="AR371" i="3"/>
  <c r="C371" i="3"/>
  <c r="AK371" i="3"/>
  <c r="AM371" i="3"/>
  <c r="S371" i="3"/>
  <c r="AD371" i="3"/>
  <c r="Q371" i="3"/>
  <c r="R371" i="3"/>
  <c r="P371" i="3"/>
  <c r="O371" i="3"/>
  <c r="M371" i="3"/>
  <c r="AF371" i="3"/>
  <c r="AE371" i="3"/>
  <c r="V371" i="3"/>
  <c r="U371" i="3"/>
  <c r="D371" i="3"/>
  <c r="F371" i="3"/>
  <c r="G371" i="3"/>
  <c r="H371" i="3" s="1"/>
  <c r="T371" i="3"/>
  <c r="BA368" i="3"/>
  <c r="AU369" i="3"/>
  <c r="BN370" i="3"/>
  <c r="AH370" i="3"/>
  <c r="AN370" i="3"/>
  <c r="AT369" i="3"/>
  <c r="Y370" i="3"/>
  <c r="Z370" i="3" s="1"/>
  <c r="X370" i="3"/>
  <c r="BN371" i="3" l="1"/>
  <c r="BC368" i="3"/>
  <c r="BD368" i="3" s="1"/>
  <c r="BG367" i="3"/>
  <c r="BH367" i="3" s="1"/>
  <c r="BI367" i="3" s="1"/>
  <c r="BM371" i="3"/>
  <c r="AY369" i="3"/>
  <c r="AX370" i="3"/>
  <c r="AO371" i="3"/>
  <c r="AG371" i="3"/>
  <c r="AU370" i="3"/>
  <c r="Y371" i="3"/>
  <c r="Z371" i="3" s="1"/>
  <c r="BA369" i="3"/>
  <c r="AV369" i="3"/>
  <c r="BQ368" i="3"/>
  <c r="BB368" i="3"/>
  <c r="BF368" i="3"/>
  <c r="BJ367" i="3" s="1"/>
  <c r="BK367" i="3" s="1"/>
  <c r="A373" i="3"/>
  <c r="B372" i="3"/>
  <c r="AR372" i="3"/>
  <c r="AQ372" i="3"/>
  <c r="AK372" i="3"/>
  <c r="AM372" i="3"/>
  <c r="S372" i="3"/>
  <c r="R372" i="3"/>
  <c r="P372" i="3"/>
  <c r="Q372" i="3"/>
  <c r="AD372" i="3"/>
  <c r="AE372" i="3"/>
  <c r="O372" i="3"/>
  <c r="U372" i="3"/>
  <c r="M372" i="3"/>
  <c r="AF372" i="3"/>
  <c r="V372" i="3"/>
  <c r="G372" i="3"/>
  <c r="H372" i="3" s="1"/>
  <c r="F372" i="3"/>
  <c r="C372" i="3"/>
  <c r="D372" i="3"/>
  <c r="T372" i="3"/>
  <c r="AW370" i="3"/>
  <c r="AH371" i="3"/>
  <c r="AN371" i="3"/>
  <c r="X371" i="3"/>
  <c r="AT370" i="3"/>
  <c r="AY370" i="3" l="1"/>
  <c r="BG368" i="3"/>
  <c r="BH368" i="3" s="1"/>
  <c r="BI368" i="3" s="1"/>
  <c r="BM372" i="3"/>
  <c r="BC369" i="3"/>
  <c r="BG369" i="3" s="1"/>
  <c r="BH369" i="3" s="1"/>
  <c r="BI369" i="3" s="1"/>
  <c r="AU371" i="3"/>
  <c r="AO372" i="3"/>
  <c r="AT371" i="3"/>
  <c r="AW371" i="3"/>
  <c r="AH372" i="3"/>
  <c r="AV370" i="3"/>
  <c r="BA370" i="3"/>
  <c r="BF369" i="3"/>
  <c r="BJ368" i="3" s="1"/>
  <c r="BK368" i="3" s="1"/>
  <c r="BB369" i="3"/>
  <c r="BQ369" i="3"/>
  <c r="AX371" i="3"/>
  <c r="Y372" i="3"/>
  <c r="Z372" i="3" s="1"/>
  <c r="X372" i="3"/>
  <c r="BN372" i="3"/>
  <c r="AG372" i="3"/>
  <c r="AN372" i="3"/>
  <c r="AR373" i="3"/>
  <c r="B373" i="3"/>
  <c r="AQ373" i="3"/>
  <c r="A374" i="3"/>
  <c r="D373" i="3"/>
  <c r="AM373" i="3"/>
  <c r="AK373" i="3"/>
  <c r="T373" i="3"/>
  <c r="S373" i="3"/>
  <c r="R373" i="3"/>
  <c r="AD373" i="3"/>
  <c r="P373" i="3"/>
  <c r="AE373" i="3"/>
  <c r="AF373" i="3"/>
  <c r="V373" i="3"/>
  <c r="O373" i="3"/>
  <c r="M373" i="3"/>
  <c r="U373" i="3"/>
  <c r="C373" i="3"/>
  <c r="G373" i="3"/>
  <c r="H373" i="3" s="1"/>
  <c r="F373" i="3"/>
  <c r="Q373" i="3"/>
  <c r="BM373" i="3" l="1"/>
  <c r="AV371" i="3"/>
  <c r="BD369" i="3"/>
  <c r="BC370" i="3"/>
  <c r="BD370" i="3" s="1"/>
  <c r="BN373" i="3"/>
  <c r="AU372" i="3"/>
  <c r="AT372" i="3"/>
  <c r="AN373" i="3"/>
  <c r="AW372" i="3"/>
  <c r="BA371" i="3"/>
  <c r="BB371" i="3" s="1"/>
  <c r="AX372" i="3"/>
  <c r="AY371" i="3"/>
  <c r="Y373" i="3"/>
  <c r="Z373" i="3" s="1"/>
  <c r="BB370" i="3"/>
  <c r="BQ370" i="3"/>
  <c r="BF370" i="3"/>
  <c r="BJ369" i="3" s="1"/>
  <c r="BK369" i="3" s="1"/>
  <c r="X373" i="3"/>
  <c r="AG373" i="3"/>
  <c r="AH373" i="3"/>
  <c r="AO373" i="3"/>
  <c r="AR374" i="3"/>
  <c r="B374" i="3"/>
  <c r="AQ374" i="3"/>
  <c r="A375" i="3"/>
  <c r="C374" i="3"/>
  <c r="AM374" i="3"/>
  <c r="AK374" i="3"/>
  <c r="Q374" i="3"/>
  <c r="R374" i="3"/>
  <c r="AD374" i="3"/>
  <c r="M374" i="3"/>
  <c r="AE374" i="3"/>
  <c r="AF374" i="3"/>
  <c r="V374" i="3"/>
  <c r="P374" i="3"/>
  <c r="O374" i="3"/>
  <c r="U374" i="3"/>
  <c r="D374" i="3"/>
  <c r="G374" i="3"/>
  <c r="H374" i="3" s="1"/>
  <c r="F374" i="3"/>
  <c r="T374" i="3"/>
  <c r="S374" i="3"/>
  <c r="BC371" i="3" l="1"/>
  <c r="BD371" i="3" s="1"/>
  <c r="BG370" i="3"/>
  <c r="BH370" i="3" s="1"/>
  <c r="BI370" i="3" s="1"/>
  <c r="BA372" i="3"/>
  <c r="BB372" i="3" s="1"/>
  <c r="BM374" i="3"/>
  <c r="AV372" i="3"/>
  <c r="AT373" i="3"/>
  <c r="AG374" i="3"/>
  <c r="BQ371" i="3"/>
  <c r="BF371" i="3"/>
  <c r="BJ370" i="3" s="1"/>
  <c r="BK370" i="3" s="1"/>
  <c r="AY372" i="3"/>
  <c r="AN374" i="3"/>
  <c r="AU373" i="3"/>
  <c r="Y374" i="3"/>
  <c r="Z374" i="3" s="1"/>
  <c r="BN374" i="3"/>
  <c r="AO374" i="3"/>
  <c r="AX373" i="3"/>
  <c r="AQ375" i="3"/>
  <c r="B375" i="3"/>
  <c r="A376" i="3"/>
  <c r="AR375" i="3"/>
  <c r="AK375" i="3"/>
  <c r="AM375" i="3"/>
  <c r="T375" i="3"/>
  <c r="S375" i="3"/>
  <c r="C375" i="3"/>
  <c r="Q375" i="3"/>
  <c r="R375" i="3"/>
  <c r="AD375" i="3"/>
  <c r="P375" i="3"/>
  <c r="O375" i="3"/>
  <c r="AE375" i="3"/>
  <c r="AF375" i="3"/>
  <c r="M375" i="3"/>
  <c r="V375" i="3"/>
  <c r="U375" i="3"/>
  <c r="D375" i="3"/>
  <c r="F375" i="3"/>
  <c r="BM375" i="3" s="1"/>
  <c r="G375" i="3"/>
  <c r="H375" i="3" s="1"/>
  <c r="X374" i="3"/>
  <c r="AH374" i="3"/>
  <c r="AW373" i="3"/>
  <c r="BN375" i="3" l="1"/>
  <c r="BF372" i="3"/>
  <c r="BJ371" i="3" s="1"/>
  <c r="BK371" i="3" s="1"/>
  <c r="BG371" i="3"/>
  <c r="BH371" i="3" s="1"/>
  <c r="BI371" i="3" s="1"/>
  <c r="AV373" i="3"/>
  <c r="BQ372" i="3"/>
  <c r="BC372" i="3"/>
  <c r="AG375" i="3"/>
  <c r="AX374" i="3"/>
  <c r="BA373" i="3"/>
  <c r="AY373" i="3"/>
  <c r="Y375" i="3"/>
  <c r="Z375" i="3" s="1"/>
  <c r="X375" i="3"/>
  <c r="AH375" i="3"/>
  <c r="AT374" i="3"/>
  <c r="AN375" i="3"/>
  <c r="AO375" i="3"/>
  <c r="A377" i="3"/>
  <c r="B376" i="3"/>
  <c r="AR376" i="3"/>
  <c r="AQ376" i="3"/>
  <c r="D376" i="3"/>
  <c r="T376" i="3"/>
  <c r="AM376" i="3"/>
  <c r="AK376" i="3"/>
  <c r="S376" i="3"/>
  <c r="R376" i="3"/>
  <c r="AD376" i="3"/>
  <c r="P376" i="3"/>
  <c r="M376" i="3"/>
  <c r="AE376" i="3"/>
  <c r="O376" i="3"/>
  <c r="AF376" i="3"/>
  <c r="U376" i="3"/>
  <c r="V376" i="3"/>
  <c r="Q376" i="3"/>
  <c r="C376" i="3"/>
  <c r="F376" i="3"/>
  <c r="G376" i="3"/>
  <c r="H376" i="3" s="1"/>
  <c r="AU374" i="3"/>
  <c r="AW374" i="3"/>
  <c r="AU375" i="3" l="1"/>
  <c r="BC373" i="3"/>
  <c r="BG373" i="3" s="1"/>
  <c r="BH373" i="3" s="1"/>
  <c r="BI373" i="3" s="1"/>
  <c r="BG372" i="3"/>
  <c r="BH372" i="3" s="1"/>
  <c r="BI372" i="3" s="1"/>
  <c r="BD372" i="3"/>
  <c r="BN376" i="3"/>
  <c r="BM376" i="3"/>
  <c r="AY374" i="3"/>
  <c r="AW375" i="3"/>
  <c r="AN376" i="3"/>
  <c r="AV374" i="3"/>
  <c r="BA374" i="3"/>
  <c r="BF373" i="3"/>
  <c r="BJ372" i="3" s="1"/>
  <c r="BK372" i="3" s="1"/>
  <c r="BB373" i="3"/>
  <c r="BQ373" i="3"/>
  <c r="X376" i="3"/>
  <c r="AG376" i="3"/>
  <c r="AO376" i="3"/>
  <c r="AX375" i="3"/>
  <c r="Y376" i="3"/>
  <c r="Z376" i="3" s="1"/>
  <c r="AR377" i="3"/>
  <c r="B377" i="3"/>
  <c r="AQ377" i="3"/>
  <c r="A378" i="3"/>
  <c r="S377" i="3"/>
  <c r="C377" i="3"/>
  <c r="AK377" i="3"/>
  <c r="AM377" i="3"/>
  <c r="T377" i="3"/>
  <c r="Q377" i="3"/>
  <c r="AD377" i="3"/>
  <c r="P377" i="3"/>
  <c r="O377" i="3"/>
  <c r="AE377" i="3"/>
  <c r="M377" i="3"/>
  <c r="U377" i="3"/>
  <c r="V377" i="3"/>
  <c r="AF377" i="3"/>
  <c r="G377" i="3"/>
  <c r="H377" i="3" s="1"/>
  <c r="R377" i="3"/>
  <c r="D377" i="3"/>
  <c r="F377" i="3"/>
  <c r="BM377" i="3" s="1"/>
  <c r="BD373" i="3"/>
  <c r="AH376" i="3"/>
  <c r="AT375" i="3"/>
  <c r="BC374" i="3" l="1"/>
  <c r="BD374" i="3" s="1"/>
  <c r="AY375" i="3"/>
  <c r="AO377" i="3"/>
  <c r="AH377" i="3"/>
  <c r="AU376" i="3"/>
  <c r="AX376" i="3"/>
  <c r="Y377" i="3"/>
  <c r="Z377" i="3" s="1"/>
  <c r="AT376" i="3"/>
  <c r="BN377" i="3"/>
  <c r="AV375" i="3"/>
  <c r="BA375" i="3"/>
  <c r="AR378" i="3"/>
  <c r="B378" i="3"/>
  <c r="AQ378" i="3"/>
  <c r="A379" i="3"/>
  <c r="AM378" i="3"/>
  <c r="AK378" i="3"/>
  <c r="Q378" i="3"/>
  <c r="T378" i="3"/>
  <c r="S378" i="3"/>
  <c r="P378" i="3"/>
  <c r="R378" i="3"/>
  <c r="AD378" i="3"/>
  <c r="M378" i="3"/>
  <c r="O378" i="3"/>
  <c r="AE378" i="3"/>
  <c r="AF378" i="3"/>
  <c r="V378" i="3"/>
  <c r="U378" i="3"/>
  <c r="C378" i="3"/>
  <c r="D378" i="3"/>
  <c r="G378" i="3"/>
  <c r="H378" i="3" s="1"/>
  <c r="F378" i="3"/>
  <c r="BB374" i="3"/>
  <c r="BF374" i="3"/>
  <c r="BJ373" i="3" s="1"/>
  <c r="BK373" i="3" s="1"/>
  <c r="BQ374" i="3"/>
  <c r="AG377" i="3"/>
  <c r="AN377" i="3"/>
  <c r="X377" i="3"/>
  <c r="AW376" i="3"/>
  <c r="BC375" i="3" l="1"/>
  <c r="BG375" i="3" s="1"/>
  <c r="BH375" i="3" s="1"/>
  <c r="BI375" i="3" s="1"/>
  <c r="AY376" i="3"/>
  <c r="BG374" i="3"/>
  <c r="BH374" i="3" s="1"/>
  <c r="BI374" i="3" s="1"/>
  <c r="AN378" i="3"/>
  <c r="BN378" i="3"/>
  <c r="AW377" i="3"/>
  <c r="AX377" i="3"/>
  <c r="AG378" i="3"/>
  <c r="X378" i="3"/>
  <c r="Y378" i="3"/>
  <c r="Z378" i="3" s="1"/>
  <c r="AQ379" i="3"/>
  <c r="B379" i="3"/>
  <c r="A380" i="3"/>
  <c r="AR379" i="3"/>
  <c r="C379" i="3"/>
  <c r="AK379" i="3"/>
  <c r="S379" i="3"/>
  <c r="AM379" i="3"/>
  <c r="R379" i="3"/>
  <c r="Q379" i="3"/>
  <c r="AD379" i="3"/>
  <c r="P379" i="3"/>
  <c r="M379" i="3"/>
  <c r="AE379" i="3"/>
  <c r="O379" i="3"/>
  <c r="AF379" i="3"/>
  <c r="U379" i="3"/>
  <c r="V379" i="3"/>
  <c r="D379" i="3"/>
  <c r="G379" i="3"/>
  <c r="H379" i="3" s="1"/>
  <c r="F379" i="3"/>
  <c r="T379" i="3"/>
  <c r="BQ375" i="3"/>
  <c r="BB375" i="3"/>
  <c r="BF375" i="3"/>
  <c r="BJ374" i="3" s="1"/>
  <c r="BK374" i="3" s="1"/>
  <c r="BA376" i="3"/>
  <c r="AV376" i="3"/>
  <c r="BM378" i="3"/>
  <c r="AH378" i="3"/>
  <c r="AO378" i="3"/>
  <c r="AT377" i="3"/>
  <c r="AU377" i="3"/>
  <c r="BD375" i="3" l="1"/>
  <c r="BM379" i="3"/>
  <c r="BC376" i="3"/>
  <c r="BG376" i="3" s="1"/>
  <c r="BH376" i="3" s="1"/>
  <c r="BI376" i="3" s="1"/>
  <c r="AN379" i="3"/>
  <c r="AY377" i="3"/>
  <c r="AW378" i="3"/>
  <c r="AX378" i="3"/>
  <c r="AT378" i="3"/>
  <c r="AV377" i="3"/>
  <c r="BA377" i="3"/>
  <c r="A381" i="3"/>
  <c r="B380" i="3"/>
  <c r="AR380" i="3"/>
  <c r="AQ380" i="3"/>
  <c r="D380" i="3"/>
  <c r="AM380" i="3"/>
  <c r="T380" i="3"/>
  <c r="AK380" i="3"/>
  <c r="Q380" i="3"/>
  <c r="S380" i="3"/>
  <c r="AD380" i="3"/>
  <c r="P380" i="3"/>
  <c r="AE380" i="3"/>
  <c r="M380" i="3"/>
  <c r="AF380" i="3"/>
  <c r="V380" i="3"/>
  <c r="O380" i="3"/>
  <c r="U380" i="3"/>
  <c r="C380" i="3"/>
  <c r="F380" i="3"/>
  <c r="R380" i="3"/>
  <c r="G380" i="3"/>
  <c r="H380" i="3" s="1"/>
  <c r="X379" i="3"/>
  <c r="BB376" i="3"/>
  <c r="BQ376" i="3"/>
  <c r="BF376" i="3"/>
  <c r="BJ375" i="3" s="1"/>
  <c r="BK375" i="3" s="1"/>
  <c r="AU378" i="3"/>
  <c r="Y379" i="3"/>
  <c r="Z379" i="3" s="1"/>
  <c r="BN379" i="3"/>
  <c r="AH379" i="3"/>
  <c r="AG379" i="3"/>
  <c r="AO379" i="3"/>
  <c r="BD376" i="3" l="1"/>
  <c r="AO380" i="3"/>
  <c r="BC377" i="3"/>
  <c r="BG377" i="3" s="1"/>
  <c r="BH377" i="3" s="1"/>
  <c r="BI377" i="3" s="1"/>
  <c r="AH380" i="3"/>
  <c r="BN380" i="3"/>
  <c r="BM380" i="3"/>
  <c r="AV378" i="3"/>
  <c r="AY378" i="3"/>
  <c r="Y380" i="3"/>
  <c r="Z380" i="3" s="1"/>
  <c r="AR381" i="3"/>
  <c r="B381" i="3"/>
  <c r="AQ381" i="3"/>
  <c r="A382" i="3"/>
  <c r="AM381" i="3"/>
  <c r="Q381" i="3"/>
  <c r="C381" i="3"/>
  <c r="AK381" i="3"/>
  <c r="R381" i="3"/>
  <c r="S381" i="3"/>
  <c r="AD381" i="3"/>
  <c r="P381" i="3"/>
  <c r="O381" i="3"/>
  <c r="M381" i="3"/>
  <c r="AF381" i="3"/>
  <c r="U381" i="3"/>
  <c r="AE381" i="3"/>
  <c r="V381" i="3"/>
  <c r="D381" i="3"/>
  <c r="F381" i="3"/>
  <c r="G381" i="3"/>
  <c r="H381" i="3" s="1"/>
  <c r="T381" i="3"/>
  <c r="AX379" i="3"/>
  <c r="BA378" i="3"/>
  <c r="AU379" i="3"/>
  <c r="AT379" i="3"/>
  <c r="AW379" i="3"/>
  <c r="X380" i="3"/>
  <c r="AG380" i="3"/>
  <c r="BB377" i="3"/>
  <c r="BQ377" i="3"/>
  <c r="BF377" i="3"/>
  <c r="BJ376" i="3" s="1"/>
  <c r="BK376" i="3" s="1"/>
  <c r="AN380" i="3"/>
  <c r="BN381" i="3" l="1"/>
  <c r="BD377" i="3"/>
  <c r="AT380" i="3"/>
  <c r="AG381" i="3"/>
  <c r="AN381" i="3"/>
  <c r="BM381" i="3"/>
  <c r="AY379" i="3"/>
  <c r="BC378" i="3"/>
  <c r="BD378" i="3" s="1"/>
  <c r="AU380" i="3"/>
  <c r="AX380" i="3"/>
  <c r="AH381" i="3"/>
  <c r="X381" i="3"/>
  <c r="AV379" i="3"/>
  <c r="BA379" i="3"/>
  <c r="BB378" i="3"/>
  <c r="BQ378" i="3"/>
  <c r="BF378" i="3"/>
  <c r="BJ377" i="3" s="1"/>
  <c r="BK377" i="3" s="1"/>
  <c r="AR382" i="3"/>
  <c r="B382" i="3"/>
  <c r="AQ382" i="3"/>
  <c r="A383" i="3"/>
  <c r="C382" i="3"/>
  <c r="D382" i="3"/>
  <c r="AK382" i="3"/>
  <c r="S382" i="3"/>
  <c r="R382" i="3"/>
  <c r="AM382" i="3"/>
  <c r="AD382" i="3"/>
  <c r="P382" i="3"/>
  <c r="O382" i="3"/>
  <c r="AE382" i="3"/>
  <c r="U382" i="3"/>
  <c r="AF382" i="3"/>
  <c r="M382" i="3"/>
  <c r="V382" i="3"/>
  <c r="Q382" i="3"/>
  <c r="G382" i="3"/>
  <c r="H382" i="3" s="1"/>
  <c r="F382" i="3"/>
  <c r="T382" i="3"/>
  <c r="AW380" i="3"/>
  <c r="Y381" i="3"/>
  <c r="Z381" i="3" s="1"/>
  <c r="AO381" i="3"/>
  <c r="BN382" i="3" l="1"/>
  <c r="AY380" i="3"/>
  <c r="AV380" i="3"/>
  <c r="BC379" i="3"/>
  <c r="BG379" i="3" s="1"/>
  <c r="BH379" i="3" s="1"/>
  <c r="BI379" i="3" s="1"/>
  <c r="AU381" i="3"/>
  <c r="AO382" i="3"/>
  <c r="BG378" i="3"/>
  <c r="BH378" i="3" s="1"/>
  <c r="BI378" i="3" s="1"/>
  <c r="AN382" i="3"/>
  <c r="Y382" i="3"/>
  <c r="Z382" i="3" s="1"/>
  <c r="AQ383" i="3"/>
  <c r="B383" i="3"/>
  <c r="A384" i="3"/>
  <c r="AR383" i="3"/>
  <c r="Q383" i="3"/>
  <c r="AK383" i="3"/>
  <c r="AM383" i="3"/>
  <c r="S383" i="3"/>
  <c r="AD383" i="3"/>
  <c r="O383" i="3"/>
  <c r="P383" i="3"/>
  <c r="M383" i="3"/>
  <c r="AE383" i="3"/>
  <c r="AF383" i="3"/>
  <c r="V383" i="3"/>
  <c r="U383" i="3"/>
  <c r="D383" i="3"/>
  <c r="F383" i="3"/>
  <c r="R383" i="3"/>
  <c r="C383" i="3"/>
  <c r="G383" i="3"/>
  <c r="H383" i="3" s="1"/>
  <c r="BN383" i="3" s="1"/>
  <c r="T383" i="3"/>
  <c r="AG382" i="3"/>
  <c r="BA380" i="3"/>
  <c r="AX381" i="3"/>
  <c r="X382" i="3"/>
  <c r="BM382" i="3"/>
  <c r="BQ379" i="3"/>
  <c r="BF379" i="3"/>
  <c r="BJ378" i="3" s="1"/>
  <c r="BK378" i="3" s="1"/>
  <c r="BB379" i="3"/>
  <c r="AH382" i="3"/>
  <c r="AT381" i="3"/>
  <c r="AW381" i="3"/>
  <c r="BC380" i="3" l="1"/>
  <c r="BD380" i="3" s="1"/>
  <c r="BD379" i="3"/>
  <c r="AX382" i="3"/>
  <c r="AN383" i="3"/>
  <c r="AG383" i="3"/>
  <c r="X383" i="3"/>
  <c r="AT382" i="3"/>
  <c r="AU382" i="3"/>
  <c r="AY381" i="3"/>
  <c r="BB380" i="3"/>
  <c r="BF380" i="3"/>
  <c r="BJ379" i="3" s="1"/>
  <c r="BK379" i="3" s="1"/>
  <c r="BQ380" i="3"/>
  <c r="A385" i="3"/>
  <c r="B384" i="3"/>
  <c r="AR384" i="3"/>
  <c r="AQ384" i="3"/>
  <c r="D384" i="3"/>
  <c r="AK384" i="3"/>
  <c r="AM384" i="3"/>
  <c r="S384" i="3"/>
  <c r="R384" i="3"/>
  <c r="Q384" i="3"/>
  <c r="AD384" i="3"/>
  <c r="P384" i="3"/>
  <c r="M384" i="3"/>
  <c r="O384" i="3"/>
  <c r="AE384" i="3"/>
  <c r="AF384" i="3"/>
  <c r="V384" i="3"/>
  <c r="U384" i="3"/>
  <c r="F384" i="3"/>
  <c r="C384" i="3"/>
  <c r="G384" i="3"/>
  <c r="H384" i="3" s="1"/>
  <c r="T384" i="3"/>
  <c r="AW382" i="3"/>
  <c r="AH383" i="3"/>
  <c r="AV381" i="3"/>
  <c r="BA381" i="3"/>
  <c r="Y383" i="3"/>
  <c r="Z383" i="3" s="1"/>
  <c r="BM383" i="3"/>
  <c r="AO383" i="3"/>
  <c r="BN384" i="3" l="1"/>
  <c r="BG380" i="3"/>
  <c r="BH380" i="3" s="1"/>
  <c r="BI380" i="3" s="1"/>
  <c r="BC381" i="3"/>
  <c r="BG381" i="3" s="1"/>
  <c r="BH381" i="3" s="1"/>
  <c r="BI381" i="3" s="1"/>
  <c r="AY382" i="3"/>
  <c r="BM384" i="3"/>
  <c r="AN384" i="3"/>
  <c r="AG384" i="3"/>
  <c r="AV382" i="3"/>
  <c r="AW383" i="3"/>
  <c r="BA382" i="3"/>
  <c r="BQ382" i="3" s="1"/>
  <c r="BB381" i="3"/>
  <c r="BQ381" i="3"/>
  <c r="BF381" i="3"/>
  <c r="BJ380" i="3" s="1"/>
  <c r="BK380" i="3" s="1"/>
  <c r="AT383" i="3"/>
  <c r="AU383" i="3"/>
  <c r="Y384" i="3"/>
  <c r="Z384" i="3" s="1"/>
  <c r="X384" i="3"/>
  <c r="AO384" i="3"/>
  <c r="AR385" i="3"/>
  <c r="B385" i="3"/>
  <c r="AQ385" i="3"/>
  <c r="A386" i="3"/>
  <c r="AM385" i="3"/>
  <c r="T385" i="3"/>
  <c r="S385" i="3"/>
  <c r="Q385" i="3"/>
  <c r="AK385" i="3"/>
  <c r="AD385" i="3"/>
  <c r="R385" i="3"/>
  <c r="P385" i="3"/>
  <c r="O385" i="3"/>
  <c r="AE385" i="3"/>
  <c r="M385" i="3"/>
  <c r="U385" i="3"/>
  <c r="AF385" i="3"/>
  <c r="V385" i="3"/>
  <c r="D385" i="3"/>
  <c r="F385" i="3"/>
  <c r="C385" i="3"/>
  <c r="G385" i="3"/>
  <c r="H385" i="3" s="1"/>
  <c r="AX383" i="3"/>
  <c r="AH384" i="3"/>
  <c r="BD381" i="3" l="1"/>
  <c r="AO385" i="3"/>
  <c r="BC382" i="3"/>
  <c r="BG382" i="3" s="1"/>
  <c r="BH382" i="3" s="1"/>
  <c r="BI382" i="3" s="1"/>
  <c r="AY383" i="3"/>
  <c r="AX384" i="3"/>
  <c r="AH385" i="3"/>
  <c r="AV383" i="3"/>
  <c r="X385" i="3"/>
  <c r="BF382" i="3"/>
  <c r="BJ381" i="3" s="1"/>
  <c r="BK381" i="3" s="1"/>
  <c r="BB382" i="3"/>
  <c r="Y385" i="3"/>
  <c r="Z385" i="3" s="1"/>
  <c r="AR386" i="3"/>
  <c r="B386" i="3"/>
  <c r="AQ386" i="3"/>
  <c r="A387" i="3"/>
  <c r="C386" i="3"/>
  <c r="D386" i="3"/>
  <c r="AM386" i="3"/>
  <c r="S386" i="3"/>
  <c r="AK386" i="3"/>
  <c r="R386" i="3"/>
  <c r="AD386" i="3"/>
  <c r="Q386" i="3"/>
  <c r="P386" i="3"/>
  <c r="O386" i="3"/>
  <c r="AE386" i="3"/>
  <c r="M386" i="3"/>
  <c r="U386" i="3"/>
  <c r="AF386" i="3"/>
  <c r="V386" i="3"/>
  <c r="G386" i="3"/>
  <c r="H386" i="3" s="1"/>
  <c r="F386" i="3"/>
  <c r="T386" i="3"/>
  <c r="AT384" i="3"/>
  <c r="AW384" i="3"/>
  <c r="BN385" i="3"/>
  <c r="BM385" i="3"/>
  <c r="AG385" i="3"/>
  <c r="AU384" i="3"/>
  <c r="AN385" i="3"/>
  <c r="BA383" i="3"/>
  <c r="BC383" i="3" l="1"/>
  <c r="BD383" i="3" s="1"/>
  <c r="BD382" i="3"/>
  <c r="BN386" i="3"/>
  <c r="BM386" i="3"/>
  <c r="AO386" i="3"/>
  <c r="AY384" i="3"/>
  <c r="AX385" i="3"/>
  <c r="AG386" i="3"/>
  <c r="AV384" i="3"/>
  <c r="AT385" i="3"/>
  <c r="AH386" i="3"/>
  <c r="AN386" i="3"/>
  <c r="X386" i="3"/>
  <c r="BB383" i="3"/>
  <c r="BF383" i="3"/>
  <c r="BJ382" i="3" s="1"/>
  <c r="BK382" i="3" s="1"/>
  <c r="BQ383" i="3"/>
  <c r="AQ387" i="3"/>
  <c r="B387" i="3"/>
  <c r="A388" i="3"/>
  <c r="AR387" i="3"/>
  <c r="D387" i="3"/>
  <c r="S387" i="3"/>
  <c r="AK387" i="3"/>
  <c r="AM387" i="3"/>
  <c r="T387" i="3"/>
  <c r="R387" i="3"/>
  <c r="Q387" i="3"/>
  <c r="AD387" i="3"/>
  <c r="P387" i="3"/>
  <c r="O387" i="3"/>
  <c r="M387" i="3"/>
  <c r="AF387" i="3"/>
  <c r="V387" i="3"/>
  <c r="U387" i="3"/>
  <c r="AE387" i="3"/>
  <c r="C387" i="3"/>
  <c r="G387" i="3"/>
  <c r="H387" i="3" s="1"/>
  <c r="F387" i="3"/>
  <c r="AW385" i="3"/>
  <c r="AU385" i="3"/>
  <c r="BA384" i="3"/>
  <c r="Y386" i="3"/>
  <c r="Z386" i="3" s="1"/>
  <c r="BG383" i="3" l="1"/>
  <c r="BH383" i="3" s="1"/>
  <c r="BI383" i="3" s="1"/>
  <c r="BM387" i="3"/>
  <c r="AY385" i="3"/>
  <c r="BN387" i="3"/>
  <c r="BC384" i="3"/>
  <c r="BG384" i="3" s="1"/>
  <c r="BH384" i="3" s="1"/>
  <c r="BI384" i="3" s="1"/>
  <c r="AN387" i="3"/>
  <c r="BA385" i="3"/>
  <c r="BF385" i="3" s="1"/>
  <c r="AU386" i="3"/>
  <c r="AX386" i="3"/>
  <c r="BB384" i="3"/>
  <c r="BF384" i="3"/>
  <c r="BJ383" i="3" s="1"/>
  <c r="BK383" i="3" s="1"/>
  <c r="BQ384" i="3"/>
  <c r="Y387" i="3"/>
  <c r="Z387" i="3" s="1"/>
  <c r="A389" i="3"/>
  <c r="B388" i="3"/>
  <c r="AR388" i="3"/>
  <c r="AQ388" i="3"/>
  <c r="AK388" i="3"/>
  <c r="AM388" i="3"/>
  <c r="T388" i="3"/>
  <c r="R388" i="3"/>
  <c r="Q388" i="3"/>
  <c r="AD388" i="3"/>
  <c r="P388" i="3"/>
  <c r="O388" i="3"/>
  <c r="M388" i="3"/>
  <c r="AF388" i="3"/>
  <c r="V388" i="3"/>
  <c r="AE388" i="3"/>
  <c r="U388" i="3"/>
  <c r="D388" i="3"/>
  <c r="F388" i="3"/>
  <c r="G388" i="3"/>
  <c r="H388" i="3" s="1"/>
  <c r="C388" i="3"/>
  <c r="S388" i="3"/>
  <c r="X387" i="3"/>
  <c r="AH387" i="3"/>
  <c r="AV385" i="3"/>
  <c r="AG387" i="3"/>
  <c r="AO387" i="3"/>
  <c r="AT386" i="3"/>
  <c r="AW386" i="3"/>
  <c r="BN388" i="3" l="1"/>
  <c r="BC385" i="3"/>
  <c r="BG385" i="3" s="1"/>
  <c r="BH385" i="3" s="1"/>
  <c r="BI385" i="3" s="1"/>
  <c r="BD384" i="3"/>
  <c r="AN388" i="3"/>
  <c r="AG388" i="3"/>
  <c r="BQ385" i="3"/>
  <c r="X388" i="3"/>
  <c r="BB385" i="3"/>
  <c r="AY386" i="3"/>
  <c r="AV386" i="3"/>
  <c r="BA386" i="3"/>
  <c r="AR389" i="3"/>
  <c r="B389" i="3"/>
  <c r="AQ389" i="3"/>
  <c r="A390" i="3"/>
  <c r="D389" i="3"/>
  <c r="C389" i="3"/>
  <c r="AK389" i="3"/>
  <c r="S389" i="3"/>
  <c r="Q389" i="3"/>
  <c r="R389" i="3"/>
  <c r="AM389" i="3"/>
  <c r="AD389" i="3"/>
  <c r="P389" i="3"/>
  <c r="O389" i="3"/>
  <c r="AE389" i="3"/>
  <c r="U389" i="3"/>
  <c r="M389" i="3"/>
  <c r="AF389" i="3"/>
  <c r="V389" i="3"/>
  <c r="F389" i="3"/>
  <c r="G389" i="3"/>
  <c r="H389" i="3" s="1"/>
  <c r="BN389" i="3" s="1"/>
  <c r="T389" i="3"/>
  <c r="AX387" i="3"/>
  <c r="AH388" i="3"/>
  <c r="AU387" i="3"/>
  <c r="AW387" i="3"/>
  <c r="AT387" i="3"/>
  <c r="BM388" i="3"/>
  <c r="AO388" i="3"/>
  <c r="BJ384" i="3"/>
  <c r="BK384" i="3" s="1"/>
  <c r="Y388" i="3"/>
  <c r="Z388" i="3" s="1"/>
  <c r="BD385" i="3" l="1"/>
  <c r="BM389" i="3"/>
  <c r="AY387" i="3"/>
  <c r="BC386" i="3"/>
  <c r="BG386" i="3" s="1"/>
  <c r="BH386" i="3" s="1"/>
  <c r="BI386" i="3" s="1"/>
  <c r="AG389" i="3"/>
  <c r="AT388" i="3"/>
  <c r="AX388" i="3"/>
  <c r="AN389" i="3"/>
  <c r="AO389" i="3"/>
  <c r="BA387" i="3"/>
  <c r="AV387" i="3"/>
  <c r="AR390" i="3"/>
  <c r="B390" i="3"/>
  <c r="AQ390" i="3"/>
  <c r="A391" i="3"/>
  <c r="AK390" i="3"/>
  <c r="T390" i="3"/>
  <c r="AM390" i="3"/>
  <c r="S390" i="3"/>
  <c r="Q390" i="3"/>
  <c r="R390" i="3"/>
  <c r="AD390" i="3"/>
  <c r="P390" i="3"/>
  <c r="O390" i="3"/>
  <c r="AF390" i="3"/>
  <c r="U390" i="3"/>
  <c r="M390" i="3"/>
  <c r="AE390" i="3"/>
  <c r="V390" i="3"/>
  <c r="D390" i="3"/>
  <c r="C390" i="3"/>
  <c r="G390" i="3"/>
  <c r="H390" i="3" s="1"/>
  <c r="F390" i="3"/>
  <c r="BQ386" i="3"/>
  <c r="BB386" i="3"/>
  <c r="BF386" i="3"/>
  <c r="BJ385" i="3" s="1"/>
  <c r="BK385" i="3" s="1"/>
  <c r="AU388" i="3"/>
  <c r="AW388" i="3"/>
  <c r="Y389" i="3"/>
  <c r="Z389" i="3" s="1"/>
  <c r="AH389" i="3"/>
  <c r="X389" i="3"/>
  <c r="BM390" i="3" l="1"/>
  <c r="BN390" i="3"/>
  <c r="AN390" i="3"/>
  <c r="BD386" i="3"/>
  <c r="AG390" i="3"/>
  <c r="AX389" i="3"/>
  <c r="BC387" i="3"/>
  <c r="BD387" i="3" s="1"/>
  <c r="AY388" i="3"/>
  <c r="Y390" i="3"/>
  <c r="Z390" i="3" s="1"/>
  <c r="BB387" i="3"/>
  <c r="BF387" i="3"/>
  <c r="BJ386" i="3" s="1"/>
  <c r="BK386" i="3" s="1"/>
  <c r="BQ387" i="3"/>
  <c r="BA388" i="3"/>
  <c r="AV388" i="3"/>
  <c r="AH390" i="3"/>
  <c r="AO390" i="3"/>
  <c r="AU389" i="3"/>
  <c r="AW389" i="3"/>
  <c r="AQ391" i="3"/>
  <c r="B391" i="3"/>
  <c r="A392" i="3"/>
  <c r="AR391" i="3"/>
  <c r="C391" i="3"/>
  <c r="AM391" i="3"/>
  <c r="AK391" i="3"/>
  <c r="S391" i="3"/>
  <c r="R391" i="3"/>
  <c r="AD391" i="3"/>
  <c r="P391" i="3"/>
  <c r="Q391" i="3"/>
  <c r="O391" i="3"/>
  <c r="M391" i="3"/>
  <c r="AE391" i="3"/>
  <c r="V391" i="3"/>
  <c r="U391" i="3"/>
  <c r="AF391" i="3"/>
  <c r="D391" i="3"/>
  <c r="F391" i="3"/>
  <c r="G391" i="3"/>
  <c r="H391" i="3" s="1"/>
  <c r="T391" i="3"/>
  <c r="X390" i="3"/>
  <c r="AT389" i="3"/>
  <c r="BN391" i="3" l="1"/>
  <c r="AT390" i="3"/>
  <c r="AU390" i="3"/>
  <c r="BC388" i="3"/>
  <c r="BG388" i="3" s="1"/>
  <c r="BH388" i="3" s="1"/>
  <c r="BI388" i="3" s="1"/>
  <c r="AY389" i="3"/>
  <c r="BG387" i="3"/>
  <c r="BH387" i="3" s="1"/>
  <c r="BI387" i="3" s="1"/>
  <c r="BM391" i="3"/>
  <c r="AN391" i="3"/>
  <c r="AW390" i="3"/>
  <c r="Y391" i="3"/>
  <c r="Z391" i="3" s="1"/>
  <c r="BA389" i="3"/>
  <c r="AV389" i="3"/>
  <c r="A393" i="3"/>
  <c r="B392" i="3"/>
  <c r="AR392" i="3"/>
  <c r="AQ392" i="3"/>
  <c r="R392" i="3"/>
  <c r="AK392" i="3"/>
  <c r="C392" i="3"/>
  <c r="AM392" i="3"/>
  <c r="S392" i="3"/>
  <c r="Q392" i="3"/>
  <c r="AD392" i="3"/>
  <c r="P392" i="3"/>
  <c r="O392" i="3"/>
  <c r="M392" i="3"/>
  <c r="AF392" i="3"/>
  <c r="AE392" i="3"/>
  <c r="U392" i="3"/>
  <c r="V392" i="3"/>
  <c r="G392" i="3"/>
  <c r="H392" i="3" s="1"/>
  <c r="D392" i="3"/>
  <c r="F392" i="3"/>
  <c r="T392" i="3"/>
  <c r="AG391" i="3"/>
  <c r="AO391" i="3"/>
  <c r="X391" i="3"/>
  <c r="AX390" i="3"/>
  <c r="BQ388" i="3"/>
  <c r="BB388" i="3"/>
  <c r="BF388" i="3"/>
  <c r="BJ387" i="3" s="1"/>
  <c r="BK387" i="3" s="1"/>
  <c r="AH391" i="3"/>
  <c r="BM392" i="3" l="1"/>
  <c r="BD388" i="3"/>
  <c r="BC389" i="3"/>
  <c r="BG389" i="3" s="1"/>
  <c r="BH389" i="3" s="1"/>
  <c r="BI389" i="3" s="1"/>
  <c r="AV390" i="3"/>
  <c r="AY390" i="3"/>
  <c r="AU391" i="3"/>
  <c r="BN392" i="3"/>
  <c r="AT391" i="3"/>
  <c r="AO392" i="3"/>
  <c r="AN392" i="3"/>
  <c r="AX391" i="3"/>
  <c r="AW391" i="3"/>
  <c r="Y392" i="3"/>
  <c r="Z392" i="3" s="1"/>
  <c r="AG392" i="3"/>
  <c r="BA390" i="3"/>
  <c r="A394" i="3"/>
  <c r="B393" i="3"/>
  <c r="AR393" i="3"/>
  <c r="AQ393" i="3"/>
  <c r="D393" i="3"/>
  <c r="AK393" i="3"/>
  <c r="AM393" i="3"/>
  <c r="S393" i="3"/>
  <c r="R393" i="3"/>
  <c r="Q393" i="3"/>
  <c r="AD393" i="3"/>
  <c r="P393" i="3"/>
  <c r="AF393" i="3"/>
  <c r="M393" i="3"/>
  <c r="O393" i="3"/>
  <c r="AE393" i="3"/>
  <c r="U393" i="3"/>
  <c r="V393" i="3"/>
  <c r="C393" i="3"/>
  <c r="F393" i="3"/>
  <c r="G393" i="3"/>
  <c r="H393" i="3" s="1"/>
  <c r="BN393" i="3" s="1"/>
  <c r="T393" i="3"/>
  <c r="BQ389" i="3"/>
  <c r="BF389" i="3"/>
  <c r="BJ388" i="3" s="1"/>
  <c r="BK388" i="3" s="1"/>
  <c r="BB389" i="3"/>
  <c r="AH392" i="3"/>
  <c r="X392" i="3"/>
  <c r="BD389" i="3" l="1"/>
  <c r="BC390" i="3"/>
  <c r="BD390" i="3" s="1"/>
  <c r="AV391" i="3"/>
  <c r="AN393" i="3"/>
  <c r="AH393" i="3"/>
  <c r="AT392" i="3"/>
  <c r="AX392" i="3"/>
  <c r="X393" i="3"/>
  <c r="AY391" i="3"/>
  <c r="BF390" i="3"/>
  <c r="BJ389" i="3" s="1"/>
  <c r="BK389" i="3" s="1"/>
  <c r="BB390" i="3"/>
  <c r="BQ390" i="3"/>
  <c r="Y393" i="3"/>
  <c r="Z393" i="3" s="1"/>
  <c r="BM393" i="3"/>
  <c r="AG393" i="3"/>
  <c r="AO393" i="3"/>
  <c r="AW392" i="3"/>
  <c r="AQ394" i="3"/>
  <c r="B394" i="3"/>
  <c r="A395" i="3"/>
  <c r="AR394" i="3"/>
  <c r="AM394" i="3"/>
  <c r="S394" i="3"/>
  <c r="R394" i="3"/>
  <c r="D394" i="3"/>
  <c r="AK394" i="3"/>
  <c r="Q394" i="3"/>
  <c r="AD394" i="3"/>
  <c r="P394" i="3"/>
  <c r="AE394" i="3"/>
  <c r="M394" i="3"/>
  <c r="AF394" i="3"/>
  <c r="V394" i="3"/>
  <c r="O394" i="3"/>
  <c r="U394" i="3"/>
  <c r="G394" i="3"/>
  <c r="H394" i="3" s="1"/>
  <c r="C394" i="3"/>
  <c r="F394" i="3"/>
  <c r="T394" i="3"/>
  <c r="AU392" i="3"/>
  <c r="BA391" i="3"/>
  <c r="AU393" i="3" l="1"/>
  <c r="AO394" i="3"/>
  <c r="BG390" i="3"/>
  <c r="BH390" i="3" s="1"/>
  <c r="BI390" i="3" s="1"/>
  <c r="BC391" i="3"/>
  <c r="BG391" i="3" s="1"/>
  <c r="BH391" i="3" s="1"/>
  <c r="BI391" i="3" s="1"/>
  <c r="AX393" i="3"/>
  <c r="AT393" i="3"/>
  <c r="BM394" i="3"/>
  <c r="BN394" i="3"/>
  <c r="AW393" i="3"/>
  <c r="BA392" i="3"/>
  <c r="BF392" i="3" s="1"/>
  <c r="AY392" i="3"/>
  <c r="BQ391" i="3"/>
  <c r="BF391" i="3"/>
  <c r="BJ390" i="3" s="1"/>
  <c r="BK390" i="3" s="1"/>
  <c r="BB391" i="3"/>
  <c r="Y394" i="3"/>
  <c r="Z394" i="3" s="1"/>
  <c r="X394" i="3"/>
  <c r="AV392" i="3"/>
  <c r="A396" i="3"/>
  <c r="B395" i="3"/>
  <c r="AR395" i="3"/>
  <c r="AQ395" i="3"/>
  <c r="T395" i="3"/>
  <c r="R395" i="3"/>
  <c r="AM395" i="3"/>
  <c r="AK395" i="3"/>
  <c r="S395" i="3"/>
  <c r="Q395" i="3"/>
  <c r="AD395" i="3"/>
  <c r="O395" i="3"/>
  <c r="AE395" i="3"/>
  <c r="M395" i="3"/>
  <c r="V395" i="3"/>
  <c r="AF395" i="3"/>
  <c r="U395" i="3"/>
  <c r="C395" i="3"/>
  <c r="D395" i="3"/>
  <c r="G395" i="3"/>
  <c r="H395" i="3" s="1"/>
  <c r="F395" i="3"/>
  <c r="P395" i="3"/>
  <c r="AG394" i="3"/>
  <c r="AH394" i="3"/>
  <c r="AN394" i="3"/>
  <c r="AV393" i="3" l="1"/>
  <c r="BD391" i="3"/>
  <c r="BA393" i="3"/>
  <c r="BF393" i="3" s="1"/>
  <c r="BJ392" i="3" s="1"/>
  <c r="BK392" i="3" s="1"/>
  <c r="AY393" i="3"/>
  <c r="BQ392" i="3"/>
  <c r="BN395" i="3"/>
  <c r="BB392" i="3"/>
  <c r="AO395" i="3"/>
  <c r="BC392" i="3"/>
  <c r="BG392" i="3" s="1"/>
  <c r="BH392" i="3" s="1"/>
  <c r="BI392" i="3" s="1"/>
  <c r="AX394" i="3"/>
  <c r="BJ391" i="3"/>
  <c r="BK391" i="3" s="1"/>
  <c r="X395" i="3"/>
  <c r="AR396" i="3"/>
  <c r="B396" i="3"/>
  <c r="AQ396" i="3"/>
  <c r="A397" i="3"/>
  <c r="D396" i="3"/>
  <c r="C396" i="3"/>
  <c r="AM396" i="3"/>
  <c r="AK396" i="3"/>
  <c r="R396" i="3"/>
  <c r="S396" i="3"/>
  <c r="Q396" i="3"/>
  <c r="AD396" i="3"/>
  <c r="M396" i="3"/>
  <c r="P396" i="3"/>
  <c r="O396" i="3"/>
  <c r="AF396" i="3"/>
  <c r="AE396" i="3"/>
  <c r="V396" i="3"/>
  <c r="G396" i="3"/>
  <c r="H396" i="3" s="1"/>
  <c r="F396" i="3"/>
  <c r="U396" i="3"/>
  <c r="T396" i="3"/>
  <c r="Y395" i="3"/>
  <c r="Z395" i="3" s="1"/>
  <c r="AW394" i="3"/>
  <c r="BM395" i="3"/>
  <c r="AG395" i="3"/>
  <c r="AH395" i="3"/>
  <c r="AN395" i="3"/>
  <c r="AT394" i="3"/>
  <c r="AU394" i="3"/>
  <c r="BB393" i="3"/>
  <c r="BN396" i="3" l="1"/>
  <c r="BM396" i="3"/>
  <c r="BC393" i="3"/>
  <c r="BD393" i="3" s="1"/>
  <c r="AY394" i="3"/>
  <c r="BQ393" i="3"/>
  <c r="BD392" i="3"/>
  <c r="AN396" i="3"/>
  <c r="AX395" i="3"/>
  <c r="AG396" i="3"/>
  <c r="AU395" i="3"/>
  <c r="AT395" i="3"/>
  <c r="AV394" i="3"/>
  <c r="BA394" i="3"/>
  <c r="AR397" i="3"/>
  <c r="B397" i="3"/>
  <c r="AQ397" i="3"/>
  <c r="A398" i="3"/>
  <c r="C397" i="3"/>
  <c r="AK397" i="3"/>
  <c r="AM397" i="3"/>
  <c r="S397" i="3"/>
  <c r="T397" i="3"/>
  <c r="Q397" i="3"/>
  <c r="R397" i="3"/>
  <c r="AD397" i="3"/>
  <c r="P397" i="3"/>
  <c r="O397" i="3"/>
  <c r="U397" i="3"/>
  <c r="V397" i="3"/>
  <c r="M397" i="3"/>
  <c r="AF397" i="3"/>
  <c r="AE397" i="3"/>
  <c r="G397" i="3"/>
  <c r="H397" i="3" s="1"/>
  <c r="F397" i="3"/>
  <c r="BM397" i="3" s="1"/>
  <c r="D397" i="3"/>
  <c r="AW395" i="3"/>
  <c r="Y396" i="3"/>
  <c r="Z396" i="3" s="1"/>
  <c r="AH396" i="3"/>
  <c r="AO396" i="3"/>
  <c r="X396" i="3"/>
  <c r="BC394" i="3" l="1"/>
  <c r="BD394" i="3" s="1"/>
  <c r="BG393" i="3"/>
  <c r="BH393" i="3" s="1"/>
  <c r="BI393" i="3" s="1"/>
  <c r="AY395" i="3"/>
  <c r="AO397" i="3"/>
  <c r="AW396" i="3"/>
  <c r="AV395" i="3"/>
  <c r="AG397" i="3"/>
  <c r="AN397" i="3"/>
  <c r="X397" i="3"/>
  <c r="AU396" i="3"/>
  <c r="Y397" i="3"/>
  <c r="Z397" i="3" s="1"/>
  <c r="BN397" i="3"/>
  <c r="AQ398" i="3"/>
  <c r="B398" i="3"/>
  <c r="A399" i="3"/>
  <c r="AR398" i="3"/>
  <c r="AK398" i="3"/>
  <c r="S398" i="3"/>
  <c r="AM398" i="3"/>
  <c r="T398" i="3"/>
  <c r="R398" i="3"/>
  <c r="Q398" i="3"/>
  <c r="AD398" i="3"/>
  <c r="P398" i="3"/>
  <c r="O398" i="3"/>
  <c r="AF398" i="3"/>
  <c r="V398" i="3"/>
  <c r="U398" i="3"/>
  <c r="AE398" i="3"/>
  <c r="M398" i="3"/>
  <c r="D398" i="3"/>
  <c r="F398" i="3"/>
  <c r="C398" i="3"/>
  <c r="G398" i="3"/>
  <c r="H398" i="3" s="1"/>
  <c r="BQ394" i="3"/>
  <c r="BF394" i="3"/>
  <c r="BJ393" i="3" s="1"/>
  <c r="BK393" i="3" s="1"/>
  <c r="BB394" i="3"/>
  <c r="AX396" i="3"/>
  <c r="AH397" i="3"/>
  <c r="BA395" i="3"/>
  <c r="AT396" i="3"/>
  <c r="BG394" i="3" l="1"/>
  <c r="BH394" i="3" s="1"/>
  <c r="BI394" i="3" s="1"/>
  <c r="BC395" i="3"/>
  <c r="BG395" i="3" s="1"/>
  <c r="BH395" i="3" s="1"/>
  <c r="BI395" i="3" s="1"/>
  <c r="AN398" i="3"/>
  <c r="AY396" i="3"/>
  <c r="BN398" i="3"/>
  <c r="BM398" i="3"/>
  <c r="AX397" i="3"/>
  <c r="AG398" i="3"/>
  <c r="BQ395" i="3"/>
  <c r="BB395" i="3"/>
  <c r="BF395" i="3"/>
  <c r="BJ394" i="3" s="1"/>
  <c r="BK394" i="3" s="1"/>
  <c r="Y398" i="3"/>
  <c r="Z398" i="3" s="1"/>
  <c r="A400" i="3"/>
  <c r="B399" i="3"/>
  <c r="AR399" i="3"/>
  <c r="AQ399" i="3"/>
  <c r="D399" i="3"/>
  <c r="T399" i="3"/>
  <c r="AM399" i="3"/>
  <c r="AK399" i="3"/>
  <c r="R399" i="3"/>
  <c r="S399" i="3"/>
  <c r="AD399" i="3"/>
  <c r="P399" i="3"/>
  <c r="O399" i="3"/>
  <c r="M399" i="3"/>
  <c r="V399" i="3"/>
  <c r="U399" i="3"/>
  <c r="AF399" i="3"/>
  <c r="AE399" i="3"/>
  <c r="C399" i="3"/>
  <c r="G399" i="3"/>
  <c r="H399" i="3" s="1"/>
  <c r="Q399" i="3"/>
  <c r="F399" i="3"/>
  <c r="X398" i="3"/>
  <c r="AH398" i="3"/>
  <c r="AO398" i="3"/>
  <c r="AU397" i="3"/>
  <c r="BA396" i="3"/>
  <c r="AV396" i="3"/>
  <c r="AT397" i="3"/>
  <c r="AW397" i="3"/>
  <c r="BD395" i="3" l="1"/>
  <c r="BC396" i="3"/>
  <c r="BG396" i="3" s="1"/>
  <c r="BH396" i="3" s="1"/>
  <c r="BI396" i="3" s="1"/>
  <c r="AN399" i="3"/>
  <c r="AV397" i="3"/>
  <c r="AW398" i="3"/>
  <c r="BA397" i="3"/>
  <c r="AY397" i="3"/>
  <c r="BQ396" i="3"/>
  <c r="BB396" i="3"/>
  <c r="BF396" i="3"/>
  <c r="BJ395" i="3" s="1"/>
  <c r="BK395" i="3" s="1"/>
  <c r="AH399" i="3"/>
  <c r="AG399" i="3"/>
  <c r="X399" i="3"/>
  <c r="AT398" i="3"/>
  <c r="AU398" i="3"/>
  <c r="AX398" i="3"/>
  <c r="BM399" i="3"/>
  <c r="BN399" i="3"/>
  <c r="AO399" i="3"/>
  <c r="Y399" i="3"/>
  <c r="Z399" i="3" s="1"/>
  <c r="AR400" i="3"/>
  <c r="B400" i="3"/>
  <c r="AQ400" i="3"/>
  <c r="A401" i="3"/>
  <c r="D400" i="3"/>
  <c r="AK400" i="3"/>
  <c r="T400" i="3"/>
  <c r="S400" i="3"/>
  <c r="AM400" i="3"/>
  <c r="Q400" i="3"/>
  <c r="R400" i="3"/>
  <c r="P400" i="3"/>
  <c r="AD400" i="3"/>
  <c r="M400" i="3"/>
  <c r="O400" i="3"/>
  <c r="AF400" i="3"/>
  <c r="AE400" i="3"/>
  <c r="V400" i="3"/>
  <c r="U400" i="3"/>
  <c r="C400" i="3"/>
  <c r="G400" i="3"/>
  <c r="H400" i="3" s="1"/>
  <c r="BN400" i="3" s="1"/>
  <c r="F400" i="3"/>
  <c r="BD396" i="3" l="1"/>
  <c r="BM400" i="3"/>
  <c r="BC397" i="3"/>
  <c r="BD397" i="3" s="1"/>
  <c r="AY398" i="3"/>
  <c r="AO400" i="3"/>
  <c r="AU399" i="3"/>
  <c r="AT399" i="3"/>
  <c r="AW399" i="3"/>
  <c r="Y400" i="3"/>
  <c r="Z400" i="3" s="1"/>
  <c r="X400" i="3"/>
  <c r="AG400" i="3"/>
  <c r="AH400" i="3"/>
  <c r="AN400" i="3"/>
  <c r="AX399" i="3"/>
  <c r="AR401" i="3"/>
  <c r="B401" i="3"/>
  <c r="AQ401" i="3"/>
  <c r="A402" i="3"/>
  <c r="D401" i="3"/>
  <c r="AM401" i="3"/>
  <c r="S401" i="3"/>
  <c r="Q401" i="3"/>
  <c r="R401" i="3"/>
  <c r="AK401" i="3"/>
  <c r="AD401" i="3"/>
  <c r="P401" i="3"/>
  <c r="O401" i="3"/>
  <c r="AE401" i="3"/>
  <c r="AF401" i="3"/>
  <c r="M401" i="3"/>
  <c r="V401" i="3"/>
  <c r="U401" i="3"/>
  <c r="G401" i="3"/>
  <c r="H401" i="3" s="1"/>
  <c r="F401" i="3"/>
  <c r="C401" i="3"/>
  <c r="T401" i="3"/>
  <c r="AV398" i="3"/>
  <c r="BA398" i="3"/>
  <c r="BQ397" i="3"/>
  <c r="BB397" i="3"/>
  <c r="BF397" i="3"/>
  <c r="BJ396" i="3" s="1"/>
  <c r="BK396" i="3" s="1"/>
  <c r="BN401" i="3" l="1"/>
  <c r="AO401" i="3"/>
  <c r="BG397" i="3"/>
  <c r="BH397" i="3" s="1"/>
  <c r="BI397" i="3" s="1"/>
  <c r="AV399" i="3"/>
  <c r="AY399" i="3"/>
  <c r="BC398" i="3"/>
  <c r="BG398" i="3" s="1"/>
  <c r="BH398" i="3" s="1"/>
  <c r="BI398" i="3" s="1"/>
  <c r="AT400" i="3"/>
  <c r="X401" i="3"/>
  <c r="AH401" i="3"/>
  <c r="BA399" i="3"/>
  <c r="BB399" i="3" s="1"/>
  <c r="AU400" i="3"/>
  <c r="BB398" i="3"/>
  <c r="BQ398" i="3"/>
  <c r="BF398" i="3"/>
  <c r="BJ397" i="3" s="1"/>
  <c r="BK397" i="3" s="1"/>
  <c r="AQ402" i="3"/>
  <c r="B402" i="3"/>
  <c r="A403" i="3"/>
  <c r="AR402" i="3"/>
  <c r="AM402" i="3"/>
  <c r="S402" i="3"/>
  <c r="AK402" i="3"/>
  <c r="T402" i="3"/>
  <c r="Q402" i="3"/>
  <c r="AD402" i="3"/>
  <c r="P402" i="3"/>
  <c r="AE402" i="3"/>
  <c r="U402" i="3"/>
  <c r="V402" i="3"/>
  <c r="O402" i="3"/>
  <c r="M402" i="3"/>
  <c r="AF402" i="3"/>
  <c r="R402" i="3"/>
  <c r="C402" i="3"/>
  <c r="G402" i="3"/>
  <c r="H402" i="3" s="1"/>
  <c r="D402" i="3"/>
  <c r="F402" i="3"/>
  <c r="Y401" i="3"/>
  <c r="Z401" i="3" s="1"/>
  <c r="BM401" i="3"/>
  <c r="AG401" i="3"/>
  <c r="AN401" i="3"/>
  <c r="AX400" i="3"/>
  <c r="AW400" i="3"/>
  <c r="AO402" i="3" l="1"/>
  <c r="BC399" i="3"/>
  <c r="BG399" i="3" s="1"/>
  <c r="BH399" i="3" s="1"/>
  <c r="BI399" i="3" s="1"/>
  <c r="BM402" i="3"/>
  <c r="BD398" i="3"/>
  <c r="AY400" i="3"/>
  <c r="BQ399" i="3"/>
  <c r="AV400" i="3"/>
  <c r="AW401" i="3"/>
  <c r="BF399" i="3"/>
  <c r="BJ398" i="3" s="1"/>
  <c r="BK398" i="3" s="1"/>
  <c r="AH402" i="3"/>
  <c r="Y402" i="3"/>
  <c r="Z402" i="3" s="1"/>
  <c r="A404" i="3"/>
  <c r="B403" i="3"/>
  <c r="AR403" i="3"/>
  <c r="AQ403" i="3"/>
  <c r="D403" i="3"/>
  <c r="AM403" i="3"/>
  <c r="AK403" i="3"/>
  <c r="Q403" i="3"/>
  <c r="R403" i="3"/>
  <c r="S403" i="3"/>
  <c r="AD403" i="3"/>
  <c r="P403" i="3"/>
  <c r="O403" i="3"/>
  <c r="AE403" i="3"/>
  <c r="AF403" i="3"/>
  <c r="M403" i="3"/>
  <c r="V403" i="3"/>
  <c r="U403" i="3"/>
  <c r="G403" i="3"/>
  <c r="H403" i="3" s="1"/>
  <c r="C403" i="3"/>
  <c r="F403" i="3"/>
  <c r="T403" i="3"/>
  <c r="AT401" i="3"/>
  <c r="AX401" i="3"/>
  <c r="AU401" i="3"/>
  <c r="X402" i="3"/>
  <c r="AN402" i="3"/>
  <c r="BA400" i="3"/>
  <c r="BN402" i="3"/>
  <c r="AG402" i="3"/>
  <c r="BN403" i="3" l="1"/>
  <c r="BD399" i="3"/>
  <c r="BC400" i="3"/>
  <c r="BD400" i="3" s="1"/>
  <c r="AW402" i="3"/>
  <c r="AG403" i="3"/>
  <c r="AY401" i="3"/>
  <c r="AN403" i="3"/>
  <c r="AU402" i="3"/>
  <c r="AX402" i="3"/>
  <c r="AT402" i="3"/>
  <c r="Y403" i="3"/>
  <c r="Z403" i="3" s="1"/>
  <c r="X403" i="3"/>
  <c r="BQ400" i="3"/>
  <c r="BF400" i="3"/>
  <c r="BJ399" i="3" s="1"/>
  <c r="BK399" i="3" s="1"/>
  <c r="BB400" i="3"/>
  <c r="BA401" i="3"/>
  <c r="AV401" i="3"/>
  <c r="AR404" i="3"/>
  <c r="B404" i="3"/>
  <c r="AQ404" i="3"/>
  <c r="A405" i="3"/>
  <c r="D404" i="3"/>
  <c r="S404" i="3"/>
  <c r="Q404" i="3"/>
  <c r="AM404" i="3"/>
  <c r="AK404" i="3"/>
  <c r="P404" i="3"/>
  <c r="R404" i="3"/>
  <c r="AD404" i="3"/>
  <c r="M404" i="3"/>
  <c r="O404" i="3"/>
  <c r="AE404" i="3"/>
  <c r="AF404" i="3"/>
  <c r="U404" i="3"/>
  <c r="V404" i="3"/>
  <c r="C404" i="3"/>
  <c r="F404" i="3"/>
  <c r="G404" i="3"/>
  <c r="H404" i="3" s="1"/>
  <c r="T404" i="3"/>
  <c r="BM403" i="3"/>
  <c r="AH403" i="3"/>
  <c r="AO403" i="3"/>
  <c r="BN404" i="3" l="1"/>
  <c r="AV402" i="3"/>
  <c r="BG400" i="3"/>
  <c r="BH400" i="3" s="1"/>
  <c r="BI400" i="3" s="1"/>
  <c r="AO404" i="3"/>
  <c r="AY402" i="3"/>
  <c r="BA402" i="3"/>
  <c r="BF402" i="3" s="1"/>
  <c r="BC401" i="3"/>
  <c r="BD401" i="3" s="1"/>
  <c r="AX403" i="3"/>
  <c r="AW403" i="3"/>
  <c r="AG404" i="3"/>
  <c r="X404" i="3"/>
  <c r="AR405" i="3"/>
  <c r="B405" i="3"/>
  <c r="AQ405" i="3"/>
  <c r="A406" i="3"/>
  <c r="AM405" i="3"/>
  <c r="T405" i="3"/>
  <c r="AK405" i="3"/>
  <c r="C405" i="3"/>
  <c r="S405" i="3"/>
  <c r="Q405" i="3"/>
  <c r="R405" i="3"/>
  <c r="AD405" i="3"/>
  <c r="P405" i="3"/>
  <c r="O405" i="3"/>
  <c r="M405" i="3"/>
  <c r="AF405" i="3"/>
  <c r="U405" i="3"/>
  <c r="V405" i="3"/>
  <c r="AE405" i="3"/>
  <c r="D405" i="3"/>
  <c r="F405" i="3"/>
  <c r="G405" i="3"/>
  <c r="H405" i="3" s="1"/>
  <c r="AU403" i="3"/>
  <c r="AT403" i="3"/>
  <c r="Y404" i="3"/>
  <c r="Z404" i="3" s="1"/>
  <c r="BM404" i="3"/>
  <c r="AH404" i="3"/>
  <c r="AN404" i="3"/>
  <c r="BQ401" i="3"/>
  <c r="BB401" i="3"/>
  <c r="BF401" i="3"/>
  <c r="BJ400" i="3" s="1"/>
  <c r="BK400" i="3" s="1"/>
  <c r="BC402" i="3" l="1"/>
  <c r="BD402" i="3" s="1"/>
  <c r="BN405" i="3"/>
  <c r="BQ402" i="3"/>
  <c r="AO405" i="3"/>
  <c r="BM405" i="3"/>
  <c r="AU404" i="3"/>
  <c r="BB402" i="3"/>
  <c r="BG401" i="3"/>
  <c r="BH401" i="3" s="1"/>
  <c r="BI401" i="3" s="1"/>
  <c r="AG405" i="3"/>
  <c r="AY403" i="3"/>
  <c r="AW404" i="3"/>
  <c r="AT404" i="3"/>
  <c r="AV403" i="3"/>
  <c r="BA403" i="3"/>
  <c r="AN405" i="3"/>
  <c r="BJ401" i="3"/>
  <c r="BK401" i="3" s="1"/>
  <c r="Y405" i="3"/>
  <c r="Z405" i="3" s="1"/>
  <c r="AQ406" i="3"/>
  <c r="B406" i="3"/>
  <c r="A407" i="3"/>
  <c r="AR406" i="3"/>
  <c r="C406" i="3"/>
  <c r="AK406" i="3"/>
  <c r="S406" i="3"/>
  <c r="Q406" i="3"/>
  <c r="AM406" i="3"/>
  <c r="R406" i="3"/>
  <c r="AD406" i="3"/>
  <c r="P406" i="3"/>
  <c r="M406" i="3"/>
  <c r="V406" i="3"/>
  <c r="O406" i="3"/>
  <c r="AF406" i="3"/>
  <c r="AE406" i="3"/>
  <c r="U406" i="3"/>
  <c r="D406" i="3"/>
  <c r="G406" i="3"/>
  <c r="H406" i="3" s="1"/>
  <c r="F406" i="3"/>
  <c r="T406" i="3"/>
  <c r="AX404" i="3"/>
  <c r="AH405" i="3"/>
  <c r="X405" i="3"/>
  <c r="BM406" i="3" l="1"/>
  <c r="AV404" i="3"/>
  <c r="AY404" i="3"/>
  <c r="BG402" i="3"/>
  <c r="BH402" i="3" s="1"/>
  <c r="BI402" i="3" s="1"/>
  <c r="AX405" i="3"/>
  <c r="BC403" i="3"/>
  <c r="BG403" i="3" s="1"/>
  <c r="BH403" i="3" s="1"/>
  <c r="BI403" i="3" s="1"/>
  <c r="AG406" i="3"/>
  <c r="AN406" i="3"/>
  <c r="AH406" i="3"/>
  <c r="X406" i="3"/>
  <c r="Y406" i="3"/>
  <c r="Z406" i="3" s="1"/>
  <c r="BN406" i="3"/>
  <c r="AO406" i="3"/>
  <c r="BA404" i="3"/>
  <c r="AT405" i="3"/>
  <c r="A408" i="3"/>
  <c r="B407" i="3"/>
  <c r="AR407" i="3"/>
  <c r="AQ407" i="3"/>
  <c r="C407" i="3"/>
  <c r="AM407" i="3"/>
  <c r="Q407" i="3"/>
  <c r="AK407" i="3"/>
  <c r="S407" i="3"/>
  <c r="AD407" i="3"/>
  <c r="T407" i="3"/>
  <c r="R407" i="3"/>
  <c r="P407" i="3"/>
  <c r="O407" i="3"/>
  <c r="U407" i="3"/>
  <c r="M407" i="3"/>
  <c r="AE407" i="3"/>
  <c r="AF407" i="3"/>
  <c r="V407" i="3"/>
  <c r="D407" i="3"/>
  <c r="G407" i="3"/>
  <c r="H407" i="3" s="1"/>
  <c r="F407" i="3"/>
  <c r="BB403" i="3"/>
  <c r="BF403" i="3"/>
  <c r="BJ402" i="3" s="1"/>
  <c r="BK402" i="3" s="1"/>
  <c r="BQ403" i="3"/>
  <c r="AU405" i="3"/>
  <c r="AW405" i="3"/>
  <c r="BC404" i="3" l="1"/>
  <c r="BD404" i="3" s="1"/>
  <c r="AO407" i="3"/>
  <c r="BD403" i="3"/>
  <c r="BN407" i="3"/>
  <c r="AY405" i="3"/>
  <c r="AU406" i="3"/>
  <c r="AW406" i="3"/>
  <c r="AG407" i="3"/>
  <c r="AR408" i="3"/>
  <c r="B408" i="3"/>
  <c r="AQ408" i="3"/>
  <c r="A409" i="3"/>
  <c r="AM408" i="3"/>
  <c r="S408" i="3"/>
  <c r="AK408" i="3"/>
  <c r="D408" i="3"/>
  <c r="Q408" i="3"/>
  <c r="T408" i="3"/>
  <c r="R408" i="3"/>
  <c r="AD408" i="3"/>
  <c r="P408" i="3"/>
  <c r="O408" i="3"/>
  <c r="AE408" i="3"/>
  <c r="AF408" i="3"/>
  <c r="M408" i="3"/>
  <c r="U408" i="3"/>
  <c r="V408" i="3"/>
  <c r="C408" i="3"/>
  <c r="G408" i="3"/>
  <c r="H408" i="3" s="1"/>
  <c r="F408" i="3"/>
  <c r="Y407" i="3"/>
  <c r="Z407" i="3" s="1"/>
  <c r="BA405" i="3"/>
  <c r="AV405" i="3"/>
  <c r="BM407" i="3"/>
  <c r="AH407" i="3"/>
  <c r="AN407" i="3"/>
  <c r="AT406" i="3"/>
  <c r="BF404" i="3"/>
  <c r="BJ403" i="3" s="1"/>
  <c r="BK403" i="3" s="1"/>
  <c r="BB404" i="3"/>
  <c r="BQ404" i="3"/>
  <c r="X407" i="3"/>
  <c r="AX406" i="3"/>
  <c r="BM408" i="3" l="1"/>
  <c r="BG404" i="3"/>
  <c r="BH404" i="3" s="1"/>
  <c r="BI404" i="3" s="1"/>
  <c r="AO408" i="3"/>
  <c r="AY406" i="3"/>
  <c r="BC405" i="3"/>
  <c r="BG405" i="3" s="1"/>
  <c r="BH405" i="3" s="1"/>
  <c r="BI405" i="3" s="1"/>
  <c r="BN408" i="3"/>
  <c r="AU407" i="3"/>
  <c r="AG408" i="3"/>
  <c r="AN408" i="3"/>
  <c r="AW407" i="3"/>
  <c r="Y408" i="3"/>
  <c r="Z408" i="3" s="1"/>
  <c r="AR409" i="3"/>
  <c r="B409" i="3"/>
  <c r="AQ409" i="3"/>
  <c r="A410" i="3"/>
  <c r="AM409" i="3"/>
  <c r="T409" i="3"/>
  <c r="S409" i="3"/>
  <c r="AK409" i="3"/>
  <c r="Q409" i="3"/>
  <c r="P409" i="3"/>
  <c r="AD409" i="3"/>
  <c r="O409" i="3"/>
  <c r="AE409" i="3"/>
  <c r="AF409" i="3"/>
  <c r="V409" i="3"/>
  <c r="M409" i="3"/>
  <c r="U409" i="3"/>
  <c r="R409" i="3"/>
  <c r="F409" i="3"/>
  <c r="C409" i="3"/>
  <c r="D409" i="3"/>
  <c r="G409" i="3"/>
  <c r="H409" i="3" s="1"/>
  <c r="AX407" i="3"/>
  <c r="AT407" i="3"/>
  <c r="X408" i="3"/>
  <c r="AH408" i="3"/>
  <c r="AV406" i="3"/>
  <c r="BA406" i="3"/>
  <c r="BB405" i="3"/>
  <c r="BF405" i="3"/>
  <c r="BQ405" i="3"/>
  <c r="BD405" i="3" l="1"/>
  <c r="BC406" i="3"/>
  <c r="BG406" i="3" s="1"/>
  <c r="BH406" i="3" s="1"/>
  <c r="BI406" i="3" s="1"/>
  <c r="AY407" i="3"/>
  <c r="BN409" i="3"/>
  <c r="AX408" i="3"/>
  <c r="AO409" i="3"/>
  <c r="AW408" i="3"/>
  <c r="AT408" i="3"/>
  <c r="X409" i="3"/>
  <c r="BJ404" i="3"/>
  <c r="BK404" i="3" s="1"/>
  <c r="BF406" i="3"/>
  <c r="BJ405" i="3" s="1"/>
  <c r="BK405" i="3" s="1"/>
  <c r="BB406" i="3"/>
  <c r="BQ406" i="3"/>
  <c r="AV407" i="3"/>
  <c r="BA407" i="3"/>
  <c r="Y409" i="3"/>
  <c r="Z409" i="3" s="1"/>
  <c r="AU408" i="3"/>
  <c r="BM409" i="3"/>
  <c r="AG409" i="3"/>
  <c r="AH409" i="3"/>
  <c r="AN409" i="3"/>
  <c r="AQ410" i="3"/>
  <c r="B410" i="3"/>
  <c r="A411" i="3"/>
  <c r="AR410" i="3"/>
  <c r="D410" i="3"/>
  <c r="C410" i="3"/>
  <c r="AK410" i="3"/>
  <c r="AM410" i="3"/>
  <c r="T410" i="3"/>
  <c r="Q410" i="3"/>
  <c r="S410" i="3"/>
  <c r="R410" i="3"/>
  <c r="AD410" i="3"/>
  <c r="P410" i="3"/>
  <c r="O410" i="3"/>
  <c r="AE410" i="3"/>
  <c r="AF410" i="3"/>
  <c r="M410" i="3"/>
  <c r="U410" i="3"/>
  <c r="V410" i="3"/>
  <c r="F410" i="3"/>
  <c r="G410" i="3"/>
  <c r="H410" i="3" s="1"/>
  <c r="BD406" i="3" l="1"/>
  <c r="AY408" i="3"/>
  <c r="BN410" i="3"/>
  <c r="BC407" i="3"/>
  <c r="BD407" i="3" s="1"/>
  <c r="AN410" i="3"/>
  <c r="BM410" i="3"/>
  <c r="AU409" i="3"/>
  <c r="BA408" i="3"/>
  <c r="BQ408" i="3" s="1"/>
  <c r="AG410" i="3"/>
  <c r="AT409" i="3"/>
  <c r="AV408" i="3"/>
  <c r="BB407" i="3"/>
  <c r="BQ407" i="3"/>
  <c r="BF407" i="3"/>
  <c r="BJ406" i="3" s="1"/>
  <c r="BK406" i="3" s="1"/>
  <c r="X410" i="3"/>
  <c r="AW409" i="3"/>
  <c r="Y410" i="3"/>
  <c r="Z410" i="3" s="1"/>
  <c r="A412" i="3"/>
  <c r="B411" i="3"/>
  <c r="AR411" i="3"/>
  <c r="AQ411" i="3"/>
  <c r="AM411" i="3"/>
  <c r="AK411" i="3"/>
  <c r="AD411" i="3"/>
  <c r="P411" i="3"/>
  <c r="S411" i="3"/>
  <c r="R411" i="3"/>
  <c r="Q411" i="3"/>
  <c r="O411" i="3"/>
  <c r="AE411" i="3"/>
  <c r="U411" i="3"/>
  <c r="AF411" i="3"/>
  <c r="M411" i="3"/>
  <c r="V411" i="3"/>
  <c r="C411" i="3"/>
  <c r="D411" i="3"/>
  <c r="F411" i="3"/>
  <c r="G411" i="3"/>
  <c r="H411" i="3" s="1"/>
  <c r="T411" i="3"/>
  <c r="AH410" i="3"/>
  <c r="AO410" i="3"/>
  <c r="AX409" i="3"/>
  <c r="BN411" i="3" l="1"/>
  <c r="BM411" i="3"/>
  <c r="BC408" i="3"/>
  <c r="BD408" i="3" s="1"/>
  <c r="BG407" i="3"/>
  <c r="BH407" i="3" s="1"/>
  <c r="BI407" i="3" s="1"/>
  <c r="BB408" i="3"/>
  <c r="AV409" i="3"/>
  <c r="BF408" i="3"/>
  <c r="BJ407" i="3" s="1"/>
  <c r="BK407" i="3" s="1"/>
  <c r="AO411" i="3"/>
  <c r="Y411" i="3"/>
  <c r="Z411" i="3" s="1"/>
  <c r="AR412" i="3"/>
  <c r="B412" i="3"/>
  <c r="AQ412" i="3"/>
  <c r="A413" i="3"/>
  <c r="AM412" i="3"/>
  <c r="AK412" i="3"/>
  <c r="T412" i="3"/>
  <c r="S412" i="3"/>
  <c r="Q412" i="3"/>
  <c r="AD412" i="3"/>
  <c r="P412" i="3"/>
  <c r="O412" i="3"/>
  <c r="M412" i="3"/>
  <c r="AE412" i="3"/>
  <c r="AF412" i="3"/>
  <c r="V412" i="3"/>
  <c r="U412" i="3"/>
  <c r="R412" i="3"/>
  <c r="C412" i="3"/>
  <c r="G412" i="3"/>
  <c r="H412" i="3" s="1"/>
  <c r="F412" i="3"/>
  <c r="D412" i="3"/>
  <c r="X411" i="3"/>
  <c r="AX410" i="3"/>
  <c r="AG411" i="3"/>
  <c r="AH411" i="3"/>
  <c r="AN411" i="3"/>
  <c r="AW410" i="3"/>
  <c r="BA409" i="3"/>
  <c r="AY409" i="3"/>
  <c r="AT410" i="3"/>
  <c r="AU410" i="3"/>
  <c r="BM412" i="3" l="1"/>
  <c r="BG408" i="3"/>
  <c r="BH408" i="3" s="1"/>
  <c r="BI408" i="3" s="1"/>
  <c r="AY410" i="3"/>
  <c r="BC409" i="3"/>
  <c r="BD409" i="3" s="1"/>
  <c r="AT411" i="3"/>
  <c r="AN412" i="3"/>
  <c r="AU411" i="3"/>
  <c r="AX411" i="3"/>
  <c r="AV410" i="3"/>
  <c r="BA410" i="3"/>
  <c r="X412" i="3"/>
  <c r="BQ409" i="3"/>
  <c r="BF409" i="3"/>
  <c r="BJ408" i="3" s="1"/>
  <c r="BK408" i="3" s="1"/>
  <c r="BB409" i="3"/>
  <c r="Y412" i="3"/>
  <c r="Z412" i="3" s="1"/>
  <c r="AR413" i="3"/>
  <c r="B413" i="3"/>
  <c r="AQ413" i="3"/>
  <c r="A414" i="3"/>
  <c r="S413" i="3"/>
  <c r="Q413" i="3"/>
  <c r="D413" i="3"/>
  <c r="AM413" i="3"/>
  <c r="AK413" i="3"/>
  <c r="C413" i="3"/>
  <c r="R413" i="3"/>
  <c r="AD413" i="3"/>
  <c r="P413" i="3"/>
  <c r="M413" i="3"/>
  <c r="AE413" i="3"/>
  <c r="AF413" i="3"/>
  <c r="O413" i="3"/>
  <c r="V413" i="3"/>
  <c r="U413" i="3"/>
  <c r="G413" i="3"/>
  <c r="H413" i="3" s="1"/>
  <c r="F413" i="3"/>
  <c r="T413" i="3"/>
  <c r="AW411" i="3"/>
  <c r="BN412" i="3"/>
  <c r="AG412" i="3"/>
  <c r="AH412" i="3"/>
  <c r="AO412" i="3"/>
  <c r="AV411" i="3" l="1"/>
  <c r="BC410" i="3"/>
  <c r="BD410" i="3" s="1"/>
  <c r="AY411" i="3"/>
  <c r="BN413" i="3"/>
  <c r="BG409" i="3"/>
  <c r="BH409" i="3" s="1"/>
  <c r="BI409" i="3" s="1"/>
  <c r="AN413" i="3"/>
  <c r="AH413" i="3"/>
  <c r="Y413" i="3"/>
  <c r="Z413" i="3" s="1"/>
  <c r="X413" i="3"/>
  <c r="AX412" i="3"/>
  <c r="BM413" i="3"/>
  <c r="AG413" i="3"/>
  <c r="AO413" i="3"/>
  <c r="AT412" i="3"/>
  <c r="BA411" i="3"/>
  <c r="AQ414" i="3"/>
  <c r="B414" i="3"/>
  <c r="A415" i="3"/>
  <c r="AR414" i="3"/>
  <c r="D414" i="3"/>
  <c r="AM414" i="3"/>
  <c r="AK414" i="3"/>
  <c r="S414" i="3"/>
  <c r="R414" i="3"/>
  <c r="Q414" i="3"/>
  <c r="AD414" i="3"/>
  <c r="P414" i="3"/>
  <c r="O414" i="3"/>
  <c r="AE414" i="3"/>
  <c r="M414" i="3"/>
  <c r="AF414" i="3"/>
  <c r="V414" i="3"/>
  <c r="U414" i="3"/>
  <c r="F414" i="3"/>
  <c r="C414" i="3"/>
  <c r="G414" i="3"/>
  <c r="H414" i="3" s="1"/>
  <c r="BN414" i="3" s="1"/>
  <c r="T414" i="3"/>
  <c r="BQ410" i="3"/>
  <c r="BF410" i="3"/>
  <c r="BJ409" i="3" s="1"/>
  <c r="BK409" i="3" s="1"/>
  <c r="BB410" i="3"/>
  <c r="AW412" i="3"/>
  <c r="AU412" i="3"/>
  <c r="BC411" i="3" l="1"/>
  <c r="BD411" i="3" s="1"/>
  <c r="AV412" i="3"/>
  <c r="BG410" i="3"/>
  <c r="BH410" i="3" s="1"/>
  <c r="BI410" i="3" s="1"/>
  <c r="AY412" i="3"/>
  <c r="AT413" i="3"/>
  <c r="AN414" i="3"/>
  <c r="AW413" i="3"/>
  <c r="AX413" i="3"/>
  <c r="Y414" i="3"/>
  <c r="Z414" i="3" s="1"/>
  <c r="X414" i="3"/>
  <c r="A416" i="3"/>
  <c r="B415" i="3"/>
  <c r="AR415" i="3"/>
  <c r="AQ415" i="3"/>
  <c r="C415" i="3"/>
  <c r="AK415" i="3"/>
  <c r="AM415" i="3"/>
  <c r="S415" i="3"/>
  <c r="Q415" i="3"/>
  <c r="AD415" i="3"/>
  <c r="O415" i="3"/>
  <c r="M415" i="3"/>
  <c r="AF415" i="3"/>
  <c r="P415" i="3"/>
  <c r="AE415" i="3"/>
  <c r="V415" i="3"/>
  <c r="U415" i="3"/>
  <c r="R415" i="3"/>
  <c r="G415" i="3"/>
  <c r="H415" i="3" s="1"/>
  <c r="D415" i="3"/>
  <c r="F415" i="3"/>
  <c r="BM415" i="3" s="1"/>
  <c r="T415" i="3"/>
  <c r="BM414" i="3"/>
  <c r="AH414" i="3"/>
  <c r="AO414" i="3"/>
  <c r="BA412" i="3"/>
  <c r="AU413" i="3"/>
  <c r="BB411" i="3"/>
  <c r="BQ411" i="3"/>
  <c r="BF411" i="3"/>
  <c r="BJ410" i="3" s="1"/>
  <c r="BK410" i="3" s="1"/>
  <c r="AG414" i="3"/>
  <c r="BG411" i="3" l="1"/>
  <c r="BH411" i="3" s="1"/>
  <c r="BI411" i="3" s="1"/>
  <c r="BC412" i="3"/>
  <c r="BD412" i="3" s="1"/>
  <c r="AO415" i="3"/>
  <c r="AY413" i="3"/>
  <c r="AV413" i="3"/>
  <c r="AT414" i="3"/>
  <c r="BA413" i="3"/>
  <c r="BB413" i="3" s="1"/>
  <c r="AX414" i="3"/>
  <c r="AH415" i="3"/>
  <c r="BG412" i="3"/>
  <c r="BH412" i="3" s="1"/>
  <c r="BI412" i="3" s="1"/>
  <c r="Y415" i="3"/>
  <c r="Z415" i="3" s="1"/>
  <c r="A417" i="3"/>
  <c r="B416" i="3"/>
  <c r="AQ416" i="3"/>
  <c r="AR416" i="3"/>
  <c r="AM416" i="3"/>
  <c r="AK416" i="3"/>
  <c r="R416" i="3"/>
  <c r="S416" i="3"/>
  <c r="Q416" i="3"/>
  <c r="AD416" i="3"/>
  <c r="P416" i="3"/>
  <c r="O416" i="3"/>
  <c r="AE416" i="3"/>
  <c r="AF416" i="3"/>
  <c r="V416" i="3"/>
  <c r="M416" i="3"/>
  <c r="U416" i="3"/>
  <c r="D416" i="3"/>
  <c r="F416" i="3"/>
  <c r="C416" i="3"/>
  <c r="G416" i="3"/>
  <c r="H416" i="3" s="1"/>
  <c r="T416" i="3"/>
  <c r="AW414" i="3"/>
  <c r="AU414" i="3"/>
  <c r="BN415" i="3"/>
  <c r="AG415" i="3"/>
  <c r="AN415" i="3"/>
  <c r="X415" i="3"/>
  <c r="BF412" i="3"/>
  <c r="BJ411" i="3" s="1"/>
  <c r="BK411" i="3" s="1"/>
  <c r="BQ412" i="3"/>
  <c r="BB412" i="3"/>
  <c r="BC413" i="3" l="1"/>
  <c r="BD413" i="3" s="1"/>
  <c r="BN416" i="3"/>
  <c r="BM416" i="3"/>
  <c r="AY414" i="3"/>
  <c r="BF413" i="3"/>
  <c r="BJ412" i="3" s="1"/>
  <c r="BK412" i="3" s="1"/>
  <c r="AV414" i="3"/>
  <c r="AX415" i="3"/>
  <c r="BQ413" i="3"/>
  <c r="AN416" i="3"/>
  <c r="BA414" i="3"/>
  <c r="BB414" i="3" s="1"/>
  <c r="AG416" i="3"/>
  <c r="AT415" i="3"/>
  <c r="AW415" i="3"/>
  <c r="AU415" i="3"/>
  <c r="Y416" i="3"/>
  <c r="Z416" i="3" s="1"/>
  <c r="X416" i="3"/>
  <c r="AH416" i="3"/>
  <c r="AO416" i="3"/>
  <c r="AR417" i="3"/>
  <c r="B417" i="3"/>
  <c r="AQ417" i="3"/>
  <c r="A418" i="3"/>
  <c r="C417" i="3"/>
  <c r="AK417" i="3"/>
  <c r="AM417" i="3"/>
  <c r="S417" i="3"/>
  <c r="Q417" i="3"/>
  <c r="T417" i="3"/>
  <c r="R417" i="3"/>
  <c r="AD417" i="3"/>
  <c r="O417" i="3"/>
  <c r="AE417" i="3"/>
  <c r="M417" i="3"/>
  <c r="P417" i="3"/>
  <c r="U417" i="3"/>
  <c r="AF417" i="3"/>
  <c r="V417" i="3"/>
  <c r="D417" i="3"/>
  <c r="G417" i="3"/>
  <c r="H417" i="3" s="1"/>
  <c r="F417" i="3"/>
  <c r="BC414" i="3" l="1"/>
  <c r="BD414" i="3" s="1"/>
  <c r="BG413" i="3"/>
  <c r="BH413" i="3" s="1"/>
  <c r="BI413" i="3" s="1"/>
  <c r="BM417" i="3"/>
  <c r="AO417" i="3"/>
  <c r="AT416" i="3"/>
  <c r="AU416" i="3"/>
  <c r="AY415" i="3"/>
  <c r="BQ414" i="3"/>
  <c r="AW416" i="3"/>
  <c r="BF414" i="3"/>
  <c r="BJ413" i="3" s="1"/>
  <c r="BK413" i="3" s="1"/>
  <c r="BN417" i="3"/>
  <c r="AN417" i="3"/>
  <c r="X417" i="3"/>
  <c r="AX416" i="3"/>
  <c r="BA415" i="3"/>
  <c r="AV415" i="3"/>
  <c r="Y417" i="3"/>
  <c r="Z417" i="3" s="1"/>
  <c r="AR418" i="3"/>
  <c r="A419" i="3"/>
  <c r="B418" i="3"/>
  <c r="AQ418" i="3"/>
  <c r="D418" i="3"/>
  <c r="S418" i="3"/>
  <c r="R418" i="3"/>
  <c r="Q418" i="3"/>
  <c r="AK418" i="3"/>
  <c r="AM418" i="3"/>
  <c r="P418" i="3"/>
  <c r="AD418" i="3"/>
  <c r="O418" i="3"/>
  <c r="AE418" i="3"/>
  <c r="U418" i="3"/>
  <c r="M418" i="3"/>
  <c r="AF418" i="3"/>
  <c r="V418" i="3"/>
  <c r="C418" i="3"/>
  <c r="G418" i="3"/>
  <c r="H418" i="3" s="1"/>
  <c r="F418" i="3"/>
  <c r="T418" i="3"/>
  <c r="AG417" i="3"/>
  <c r="AH417" i="3"/>
  <c r="BM418" i="3" l="1"/>
  <c r="BG414" i="3"/>
  <c r="BH414" i="3" s="1"/>
  <c r="BI414" i="3" s="1"/>
  <c r="BN418" i="3"/>
  <c r="AV416" i="3"/>
  <c r="BC415" i="3"/>
  <c r="BG415" i="3" s="1"/>
  <c r="BH415" i="3" s="1"/>
  <c r="BI415" i="3" s="1"/>
  <c r="BA416" i="3"/>
  <c r="BB416" i="3" s="1"/>
  <c r="AO418" i="3"/>
  <c r="Y418" i="3"/>
  <c r="Z418" i="3" s="1"/>
  <c r="AN418" i="3"/>
  <c r="AW417" i="3"/>
  <c r="AH418" i="3"/>
  <c r="A420" i="3"/>
  <c r="B419" i="3"/>
  <c r="AR419" i="3"/>
  <c r="AQ419" i="3"/>
  <c r="C419" i="3"/>
  <c r="AM419" i="3"/>
  <c r="T419" i="3"/>
  <c r="AK419" i="3"/>
  <c r="S419" i="3"/>
  <c r="R419" i="3"/>
  <c r="Q419" i="3"/>
  <c r="AD419" i="3"/>
  <c r="P419" i="3"/>
  <c r="M419" i="3"/>
  <c r="V419" i="3"/>
  <c r="U419" i="3"/>
  <c r="O419" i="3"/>
  <c r="AF419" i="3"/>
  <c r="AE419" i="3"/>
  <c r="D419" i="3"/>
  <c r="G419" i="3"/>
  <c r="H419" i="3" s="1"/>
  <c r="F419" i="3"/>
  <c r="AX417" i="3"/>
  <c r="AG418" i="3"/>
  <c r="AU417" i="3"/>
  <c r="AY416" i="3"/>
  <c r="BQ415" i="3"/>
  <c r="BF415" i="3"/>
  <c r="BJ414" i="3" s="1"/>
  <c r="BK414" i="3" s="1"/>
  <c r="BB415" i="3"/>
  <c r="X418" i="3"/>
  <c r="AT417" i="3"/>
  <c r="AO419" i="3" l="1"/>
  <c r="BD415" i="3"/>
  <c r="BQ416" i="3"/>
  <c r="BC416" i="3"/>
  <c r="BD416" i="3" s="1"/>
  <c r="BM419" i="3"/>
  <c r="BN419" i="3"/>
  <c r="AY417" i="3"/>
  <c r="BF416" i="3"/>
  <c r="BJ415" i="3" s="1"/>
  <c r="BK415" i="3" s="1"/>
  <c r="AT418" i="3"/>
  <c r="AW418" i="3"/>
  <c r="BA417" i="3"/>
  <c r="AV417" i="3"/>
  <c r="Y419" i="3"/>
  <c r="Z419" i="3" s="1"/>
  <c r="AH419" i="3"/>
  <c r="AN419" i="3"/>
  <c r="A421" i="3"/>
  <c r="B420" i="3"/>
  <c r="AQ420" i="3"/>
  <c r="AR420" i="3"/>
  <c r="C420" i="3"/>
  <c r="AM420" i="3"/>
  <c r="AK420" i="3"/>
  <c r="T420" i="3"/>
  <c r="S420" i="3"/>
  <c r="R420" i="3"/>
  <c r="Q420" i="3"/>
  <c r="AD420" i="3"/>
  <c r="P420" i="3"/>
  <c r="M420" i="3"/>
  <c r="AF420" i="3"/>
  <c r="V420" i="3"/>
  <c r="O420" i="3"/>
  <c r="AE420" i="3"/>
  <c r="U420" i="3"/>
  <c r="G420" i="3"/>
  <c r="H420" i="3" s="1"/>
  <c r="D420" i="3"/>
  <c r="F420" i="3"/>
  <c r="AX418" i="3"/>
  <c r="AU418" i="3"/>
  <c r="AG419" i="3"/>
  <c r="X419" i="3"/>
  <c r="AV418" i="3" l="1"/>
  <c r="BG416" i="3"/>
  <c r="BH416" i="3" s="1"/>
  <c r="BI416" i="3" s="1"/>
  <c r="BM420" i="3"/>
  <c r="BN420" i="3"/>
  <c r="BC417" i="3"/>
  <c r="BG417" i="3" s="1"/>
  <c r="BH417" i="3" s="1"/>
  <c r="BI417" i="3" s="1"/>
  <c r="AG420" i="3"/>
  <c r="AW419" i="3"/>
  <c r="AY418" i="3"/>
  <c r="AO420" i="3"/>
  <c r="AN420" i="3"/>
  <c r="AT419" i="3"/>
  <c r="Y420" i="3"/>
  <c r="Z420" i="3" s="1"/>
  <c r="AR421" i="3"/>
  <c r="B421" i="3"/>
  <c r="AQ421" i="3"/>
  <c r="A422" i="3"/>
  <c r="C421" i="3"/>
  <c r="AK421" i="3"/>
  <c r="AM421" i="3"/>
  <c r="S421" i="3"/>
  <c r="R421" i="3"/>
  <c r="Q421" i="3"/>
  <c r="AD421" i="3"/>
  <c r="P421" i="3"/>
  <c r="O421" i="3"/>
  <c r="M421" i="3"/>
  <c r="AF421" i="3"/>
  <c r="AE421" i="3"/>
  <c r="U421" i="3"/>
  <c r="V421" i="3"/>
  <c r="D421" i="3"/>
  <c r="F421" i="3"/>
  <c r="G421" i="3"/>
  <c r="H421" i="3" s="1"/>
  <c r="T421" i="3"/>
  <c r="BQ417" i="3"/>
  <c r="BF417" i="3"/>
  <c r="BJ416" i="3" s="1"/>
  <c r="BK416" i="3" s="1"/>
  <c r="BB417" i="3"/>
  <c r="X420" i="3"/>
  <c r="BA418" i="3"/>
  <c r="AH420" i="3"/>
  <c r="AU419" i="3"/>
  <c r="AX419" i="3"/>
  <c r="BN421" i="3" l="1"/>
  <c r="BD417" i="3"/>
  <c r="BC418" i="3"/>
  <c r="BD418" i="3" s="1"/>
  <c r="BM421" i="3"/>
  <c r="AY419" i="3"/>
  <c r="AX420" i="3"/>
  <c r="AV419" i="3"/>
  <c r="AN421" i="3"/>
  <c r="BB418" i="3"/>
  <c r="BF418" i="3"/>
  <c r="BJ417" i="3" s="1"/>
  <c r="BK417" i="3" s="1"/>
  <c r="BQ418" i="3"/>
  <c r="AR422" i="3"/>
  <c r="A423" i="3"/>
  <c r="B422" i="3"/>
  <c r="AQ422" i="3"/>
  <c r="AM422" i="3"/>
  <c r="AK422" i="3"/>
  <c r="S422" i="3"/>
  <c r="AD422" i="3"/>
  <c r="T422" i="3"/>
  <c r="Q422" i="3"/>
  <c r="R422" i="3"/>
  <c r="P422" i="3"/>
  <c r="M422" i="3"/>
  <c r="AE422" i="3"/>
  <c r="O422" i="3"/>
  <c r="AF422" i="3"/>
  <c r="U422" i="3"/>
  <c r="V422" i="3"/>
  <c r="C422" i="3"/>
  <c r="F422" i="3"/>
  <c r="D422" i="3"/>
  <c r="G422" i="3"/>
  <c r="H422" i="3" s="1"/>
  <c r="AT420" i="3"/>
  <c r="AW420" i="3"/>
  <c r="Y421" i="3"/>
  <c r="Z421" i="3" s="1"/>
  <c r="AG421" i="3"/>
  <c r="AO421" i="3"/>
  <c r="BA419" i="3"/>
  <c r="AU420" i="3"/>
  <c r="AH421" i="3"/>
  <c r="X421" i="3"/>
  <c r="BG418" i="3" l="1"/>
  <c r="BH418" i="3" s="1"/>
  <c r="BI418" i="3" s="1"/>
  <c r="BC419" i="3"/>
  <c r="BD419" i="3" s="1"/>
  <c r="AY420" i="3"/>
  <c r="BN422" i="3"/>
  <c r="AN422" i="3"/>
  <c r="AX421" i="3"/>
  <c r="AU421" i="3"/>
  <c r="AW421" i="3"/>
  <c r="AT421" i="3"/>
  <c r="X422" i="3"/>
  <c r="BF419" i="3"/>
  <c r="BJ418" i="3" s="1"/>
  <c r="BK418" i="3" s="1"/>
  <c r="BB419" i="3"/>
  <c r="BQ419" i="3"/>
  <c r="A424" i="3"/>
  <c r="B423" i="3"/>
  <c r="AR423" i="3"/>
  <c r="AQ423" i="3"/>
  <c r="AK423" i="3"/>
  <c r="S423" i="3"/>
  <c r="AM423" i="3"/>
  <c r="R423" i="3"/>
  <c r="Q423" i="3"/>
  <c r="P423" i="3"/>
  <c r="AD423" i="3"/>
  <c r="O423" i="3"/>
  <c r="AE423" i="3"/>
  <c r="M423" i="3"/>
  <c r="V423" i="3"/>
  <c r="AF423" i="3"/>
  <c r="U423" i="3"/>
  <c r="D423" i="3"/>
  <c r="G423" i="3"/>
  <c r="H423" i="3" s="1"/>
  <c r="C423" i="3"/>
  <c r="F423" i="3"/>
  <c r="T423" i="3"/>
  <c r="BM422" i="3"/>
  <c r="AG422" i="3"/>
  <c r="AH422" i="3"/>
  <c r="AO422" i="3"/>
  <c r="AV420" i="3"/>
  <c r="BA420" i="3"/>
  <c r="Y422" i="3"/>
  <c r="Z422" i="3" s="1"/>
  <c r="AV421" i="3" l="1"/>
  <c r="AN423" i="3"/>
  <c r="BC420" i="3"/>
  <c r="BD420" i="3" s="1"/>
  <c r="BG419" i="3"/>
  <c r="BH419" i="3" s="1"/>
  <c r="BI419" i="3" s="1"/>
  <c r="AY421" i="3"/>
  <c r="AG423" i="3"/>
  <c r="BM423" i="3"/>
  <c r="BN423" i="3"/>
  <c r="BA421" i="3"/>
  <c r="BB421" i="3" s="1"/>
  <c r="A425" i="3"/>
  <c r="B424" i="3"/>
  <c r="AQ424" i="3"/>
  <c r="AR424" i="3"/>
  <c r="C424" i="3"/>
  <c r="D424" i="3"/>
  <c r="AK424" i="3"/>
  <c r="AM424" i="3"/>
  <c r="R424" i="3"/>
  <c r="S424" i="3"/>
  <c r="P424" i="3"/>
  <c r="Q424" i="3"/>
  <c r="AD424" i="3"/>
  <c r="M424" i="3"/>
  <c r="AF424" i="3"/>
  <c r="AE424" i="3"/>
  <c r="U424" i="3"/>
  <c r="V424" i="3"/>
  <c r="O424" i="3"/>
  <c r="G424" i="3"/>
  <c r="H424" i="3" s="1"/>
  <c r="F424" i="3"/>
  <c r="BM424" i="3" s="1"/>
  <c r="T424" i="3"/>
  <c r="AH423" i="3"/>
  <c r="AO423" i="3"/>
  <c r="BB420" i="3"/>
  <c r="BQ420" i="3"/>
  <c r="BF420" i="3"/>
  <c r="BJ419" i="3" s="1"/>
  <c r="BK419" i="3" s="1"/>
  <c r="AW422" i="3"/>
  <c r="AT422" i="3"/>
  <c r="AU422" i="3"/>
  <c r="AX422" i="3"/>
  <c r="Y423" i="3"/>
  <c r="Z423" i="3" s="1"/>
  <c r="X423" i="3"/>
  <c r="BN424" i="3" l="1"/>
  <c r="BC421" i="3"/>
  <c r="BD421" i="3" s="1"/>
  <c r="AU423" i="3"/>
  <c r="BG420" i="3"/>
  <c r="BH420" i="3" s="1"/>
  <c r="BI420" i="3" s="1"/>
  <c r="BQ421" i="3"/>
  <c r="BF421" i="3"/>
  <c r="BJ420" i="3" s="1"/>
  <c r="BK420" i="3" s="1"/>
  <c r="AN424" i="3"/>
  <c r="AW423" i="3"/>
  <c r="AG424" i="3"/>
  <c r="AR425" i="3"/>
  <c r="B425" i="3"/>
  <c r="AQ425" i="3"/>
  <c r="A426" i="3"/>
  <c r="AK425" i="3"/>
  <c r="R425" i="3"/>
  <c r="AM425" i="3"/>
  <c r="AD425" i="3"/>
  <c r="S425" i="3"/>
  <c r="M425" i="3"/>
  <c r="O425" i="3"/>
  <c r="P425" i="3"/>
  <c r="AE425" i="3"/>
  <c r="AF425" i="3"/>
  <c r="V425" i="3"/>
  <c r="U425" i="3"/>
  <c r="Q425" i="3"/>
  <c r="C425" i="3"/>
  <c r="D425" i="3"/>
  <c r="G425" i="3"/>
  <c r="H425" i="3" s="1"/>
  <c r="F425" i="3"/>
  <c r="T425" i="3"/>
  <c r="Y424" i="3"/>
  <c r="Z424" i="3" s="1"/>
  <c r="AV422" i="3"/>
  <c r="AY422" i="3"/>
  <c r="AX423" i="3"/>
  <c r="AH424" i="3"/>
  <c r="AO424" i="3"/>
  <c r="X424" i="3"/>
  <c r="AT423" i="3"/>
  <c r="BA422" i="3"/>
  <c r="BG421" i="3" l="1"/>
  <c r="BH421" i="3" s="1"/>
  <c r="BI421" i="3" s="1"/>
  <c r="AN425" i="3"/>
  <c r="BM425" i="3"/>
  <c r="AT424" i="3"/>
  <c r="AY423" i="3"/>
  <c r="AO425" i="3"/>
  <c r="AG425" i="3"/>
  <c r="AU424" i="3"/>
  <c r="BC422" i="3"/>
  <c r="BD422" i="3" s="1"/>
  <c r="AV423" i="3"/>
  <c r="BA423" i="3"/>
  <c r="AR426" i="3"/>
  <c r="A427" i="3"/>
  <c r="B426" i="3"/>
  <c r="AQ426" i="3"/>
  <c r="C426" i="3"/>
  <c r="AK426" i="3"/>
  <c r="S426" i="3"/>
  <c r="R426" i="3"/>
  <c r="D426" i="3"/>
  <c r="AM426" i="3"/>
  <c r="AD426" i="3"/>
  <c r="M426" i="3"/>
  <c r="P426" i="3"/>
  <c r="AE426" i="3"/>
  <c r="V426" i="3"/>
  <c r="O426" i="3"/>
  <c r="AF426" i="3"/>
  <c r="U426" i="3"/>
  <c r="Q426" i="3"/>
  <c r="G426" i="3"/>
  <c r="H426" i="3" s="1"/>
  <c r="F426" i="3"/>
  <c r="T426" i="3"/>
  <c r="AX424" i="3"/>
  <c r="AW424" i="3"/>
  <c r="Y425" i="3"/>
  <c r="Z425" i="3" s="1"/>
  <c r="BN425" i="3"/>
  <c r="X425" i="3"/>
  <c r="AH425" i="3"/>
  <c r="BB422" i="3"/>
  <c r="BQ422" i="3"/>
  <c r="BF422" i="3"/>
  <c r="BJ421" i="3" s="1"/>
  <c r="BK421" i="3" s="1"/>
  <c r="BM426" i="3" l="1"/>
  <c r="AV424" i="3"/>
  <c r="BC423" i="3"/>
  <c r="BD423" i="3" s="1"/>
  <c r="AN426" i="3"/>
  <c r="AT425" i="3"/>
  <c r="BG422" i="3"/>
  <c r="BH422" i="3" s="1"/>
  <c r="BI422" i="3" s="1"/>
  <c r="AY424" i="3"/>
  <c r="A428" i="3"/>
  <c r="B427" i="3"/>
  <c r="AR427" i="3"/>
  <c r="AQ427" i="3"/>
  <c r="D427" i="3"/>
  <c r="AM427" i="3"/>
  <c r="AK427" i="3"/>
  <c r="R427" i="3"/>
  <c r="T427" i="3"/>
  <c r="S427" i="3"/>
  <c r="AD427" i="3"/>
  <c r="Q427" i="3"/>
  <c r="O427" i="3"/>
  <c r="AE427" i="3"/>
  <c r="AF427" i="3"/>
  <c r="V427" i="3"/>
  <c r="M427" i="3"/>
  <c r="U427" i="3"/>
  <c r="C427" i="3"/>
  <c r="F427" i="3"/>
  <c r="G427" i="3"/>
  <c r="H427" i="3" s="1"/>
  <c r="P427" i="3"/>
  <c r="BQ423" i="3"/>
  <c r="BB423" i="3"/>
  <c r="BF423" i="3"/>
  <c r="BJ422" i="3" s="1"/>
  <c r="BK422" i="3" s="1"/>
  <c r="AW425" i="3"/>
  <c r="Y426" i="3"/>
  <c r="Z426" i="3" s="1"/>
  <c r="BN426" i="3"/>
  <c r="AG426" i="3"/>
  <c r="AO426" i="3"/>
  <c r="BA424" i="3"/>
  <c r="AU425" i="3"/>
  <c r="AX425" i="3"/>
  <c r="AH426" i="3"/>
  <c r="X426" i="3"/>
  <c r="BN427" i="3" l="1"/>
  <c r="BC424" i="3"/>
  <c r="BD424" i="3" s="1"/>
  <c r="BG423" i="3"/>
  <c r="BH423" i="3" s="1"/>
  <c r="BI423" i="3" s="1"/>
  <c r="BM427" i="3"/>
  <c r="AN427" i="3"/>
  <c r="AG427" i="3"/>
  <c r="BA425" i="3"/>
  <c r="BB425" i="3" s="1"/>
  <c r="Y427" i="3"/>
  <c r="Z427" i="3" s="1"/>
  <c r="AT426" i="3"/>
  <c r="AX426" i="3"/>
  <c r="A429" i="3"/>
  <c r="B428" i="3"/>
  <c r="AQ428" i="3"/>
  <c r="AR428" i="3"/>
  <c r="C428" i="3"/>
  <c r="S428" i="3"/>
  <c r="R428" i="3"/>
  <c r="D428" i="3"/>
  <c r="AK428" i="3"/>
  <c r="AM428" i="3"/>
  <c r="Q428" i="3"/>
  <c r="AD428" i="3"/>
  <c r="O428" i="3"/>
  <c r="AE428" i="3"/>
  <c r="M428" i="3"/>
  <c r="AF428" i="3"/>
  <c r="U428" i="3"/>
  <c r="P428" i="3"/>
  <c r="V428" i="3"/>
  <c r="F428" i="3"/>
  <c r="G428" i="3"/>
  <c r="H428" i="3" s="1"/>
  <c r="T428" i="3"/>
  <c r="AU426" i="3"/>
  <c r="AW426" i="3"/>
  <c r="X427" i="3"/>
  <c r="AH427" i="3"/>
  <c r="AO427" i="3"/>
  <c r="AV425" i="3"/>
  <c r="BQ424" i="3"/>
  <c r="BF424" i="3"/>
  <c r="BJ423" i="3" s="1"/>
  <c r="BK423" i="3" s="1"/>
  <c r="BB424" i="3"/>
  <c r="AY425" i="3"/>
  <c r="AY426" i="3" l="1"/>
  <c r="BG424" i="3"/>
  <c r="BH424" i="3" s="1"/>
  <c r="BI424" i="3" s="1"/>
  <c r="BQ425" i="3"/>
  <c r="BN428" i="3"/>
  <c r="AU427" i="3"/>
  <c r="AO428" i="3"/>
  <c r="BF425" i="3"/>
  <c r="BJ424" i="3" s="1"/>
  <c r="BK424" i="3" s="1"/>
  <c r="AW427" i="3"/>
  <c r="AT427" i="3"/>
  <c r="BC425" i="3"/>
  <c r="AX427" i="3"/>
  <c r="Y428" i="3"/>
  <c r="Z428" i="3" s="1"/>
  <c r="BM428" i="3"/>
  <c r="AG428" i="3"/>
  <c r="AH428" i="3"/>
  <c r="AN428" i="3"/>
  <c r="BA426" i="3"/>
  <c r="AR429" i="3"/>
  <c r="B429" i="3"/>
  <c r="AQ429" i="3"/>
  <c r="A430" i="3"/>
  <c r="D429" i="3"/>
  <c r="AK429" i="3"/>
  <c r="T429" i="3"/>
  <c r="C429" i="3"/>
  <c r="AM429" i="3"/>
  <c r="S429" i="3"/>
  <c r="Q429" i="3"/>
  <c r="AD429" i="3"/>
  <c r="P429" i="3"/>
  <c r="R429" i="3"/>
  <c r="M429" i="3"/>
  <c r="AE429" i="3"/>
  <c r="O429" i="3"/>
  <c r="V429" i="3"/>
  <c r="AF429" i="3"/>
  <c r="U429" i="3"/>
  <c r="G429" i="3"/>
  <c r="H429" i="3" s="1"/>
  <c r="F429" i="3"/>
  <c r="X428" i="3"/>
  <c r="AV426" i="3"/>
  <c r="BN429" i="3" l="1"/>
  <c r="BC426" i="3"/>
  <c r="BD426" i="3" s="1"/>
  <c r="BM429" i="3"/>
  <c r="AV427" i="3"/>
  <c r="AT428" i="3"/>
  <c r="AN429" i="3"/>
  <c r="AU428" i="3"/>
  <c r="BA427" i="3"/>
  <c r="BB427" i="3" s="1"/>
  <c r="AR430" i="3"/>
  <c r="A431" i="3"/>
  <c r="B430" i="3"/>
  <c r="AQ430" i="3"/>
  <c r="C430" i="3"/>
  <c r="AK430" i="3"/>
  <c r="T430" i="3"/>
  <c r="S430" i="3"/>
  <c r="D430" i="3"/>
  <c r="AM430" i="3"/>
  <c r="Q430" i="3"/>
  <c r="R430" i="3"/>
  <c r="AD430" i="3"/>
  <c r="P430" i="3"/>
  <c r="O430" i="3"/>
  <c r="M430" i="3"/>
  <c r="AF430" i="3"/>
  <c r="V430" i="3"/>
  <c r="AE430" i="3"/>
  <c r="U430" i="3"/>
  <c r="G430" i="3"/>
  <c r="H430" i="3" s="1"/>
  <c r="BN430" i="3" s="1"/>
  <c r="F430" i="3"/>
  <c r="AG429" i="3"/>
  <c r="AH429" i="3"/>
  <c r="X429" i="3"/>
  <c r="AO429" i="3"/>
  <c r="AW428" i="3"/>
  <c r="AY427" i="3"/>
  <c r="Y429" i="3"/>
  <c r="Z429" i="3" s="1"/>
  <c r="BQ426" i="3"/>
  <c r="BF426" i="3"/>
  <c r="BJ425" i="3" s="1"/>
  <c r="BK425" i="3" s="1"/>
  <c r="BB426" i="3"/>
  <c r="BD425" i="3"/>
  <c r="BG425" i="3"/>
  <c r="BH425" i="3" s="1"/>
  <c r="BI425" i="3" s="1"/>
  <c r="AX428" i="3"/>
  <c r="BG426" i="3" l="1"/>
  <c r="BH426" i="3" s="1"/>
  <c r="BI426" i="3" s="1"/>
  <c r="BC427" i="3"/>
  <c r="BD427" i="3" s="1"/>
  <c r="AV428" i="3"/>
  <c r="AG430" i="3"/>
  <c r="BM430" i="3"/>
  <c r="AN430" i="3"/>
  <c r="AU429" i="3"/>
  <c r="AT429" i="3"/>
  <c r="BQ427" i="3"/>
  <c r="BF427" i="3"/>
  <c r="BJ426" i="3" s="1"/>
  <c r="BK426" i="3" s="1"/>
  <c r="A432" i="3"/>
  <c r="B431" i="3"/>
  <c r="AR431" i="3"/>
  <c r="AQ431" i="3"/>
  <c r="C431" i="3"/>
  <c r="D431" i="3"/>
  <c r="AM431" i="3"/>
  <c r="S431" i="3"/>
  <c r="R431" i="3"/>
  <c r="AK431" i="3"/>
  <c r="T431" i="3"/>
  <c r="Q431" i="3"/>
  <c r="AD431" i="3"/>
  <c r="P431" i="3"/>
  <c r="M431" i="3"/>
  <c r="AF431" i="3"/>
  <c r="AE431" i="3"/>
  <c r="V431" i="3"/>
  <c r="O431" i="3"/>
  <c r="U431" i="3"/>
  <c r="G431" i="3"/>
  <c r="H431" i="3" s="1"/>
  <c r="F431" i="3"/>
  <c r="AX429" i="3"/>
  <c r="AO430" i="3"/>
  <c r="Y430" i="3"/>
  <c r="Z430" i="3" s="1"/>
  <c r="AY428" i="3"/>
  <c r="AW429" i="3"/>
  <c r="BA428" i="3"/>
  <c r="AH430" i="3"/>
  <c r="X430" i="3"/>
  <c r="BG427" i="3" l="1"/>
  <c r="BH427" i="3" s="1"/>
  <c r="BI427" i="3" s="1"/>
  <c r="BC428" i="3"/>
  <c r="BD428" i="3" s="1"/>
  <c r="AV429" i="3"/>
  <c r="AX430" i="3"/>
  <c r="BM431" i="3"/>
  <c r="BN431" i="3"/>
  <c r="AO431" i="3"/>
  <c r="AY429" i="3"/>
  <c r="A433" i="3"/>
  <c r="B432" i="3"/>
  <c r="AQ432" i="3"/>
  <c r="AR432" i="3"/>
  <c r="D432" i="3"/>
  <c r="C432" i="3"/>
  <c r="AK432" i="3"/>
  <c r="AM432" i="3"/>
  <c r="T432" i="3"/>
  <c r="Q432" i="3"/>
  <c r="S432" i="3"/>
  <c r="P432" i="3"/>
  <c r="R432" i="3"/>
  <c r="AD432" i="3"/>
  <c r="O432" i="3"/>
  <c r="M432" i="3"/>
  <c r="U432" i="3"/>
  <c r="AE432" i="3"/>
  <c r="AF432" i="3"/>
  <c r="V432" i="3"/>
  <c r="G432" i="3"/>
  <c r="H432" i="3" s="1"/>
  <c r="BN432" i="3" s="1"/>
  <c r="F432" i="3"/>
  <c r="BM432" i="3" s="1"/>
  <c r="AT430" i="3"/>
  <c r="AW430" i="3"/>
  <c r="AG431" i="3"/>
  <c r="AH431" i="3"/>
  <c r="AN431" i="3"/>
  <c r="X431" i="3"/>
  <c r="BB428" i="3"/>
  <c r="BF428" i="3"/>
  <c r="BJ427" i="3" s="1"/>
  <c r="BK427" i="3" s="1"/>
  <c r="BQ428" i="3"/>
  <c r="Y431" i="3"/>
  <c r="Z431" i="3" s="1"/>
  <c r="AU430" i="3"/>
  <c r="BA429" i="3"/>
  <c r="AY430" i="3" l="1"/>
  <c r="BG428" i="3"/>
  <c r="BH428" i="3" s="1"/>
  <c r="BI428" i="3" s="1"/>
  <c r="BC429" i="3"/>
  <c r="BD429" i="3" s="1"/>
  <c r="AN432" i="3"/>
  <c r="AU431" i="3"/>
  <c r="AG432" i="3"/>
  <c r="AX431" i="3"/>
  <c r="BB429" i="3"/>
  <c r="BQ429" i="3"/>
  <c r="BF429" i="3"/>
  <c r="BJ428" i="3" s="1"/>
  <c r="BK428" i="3" s="1"/>
  <c r="AV430" i="3"/>
  <c r="BA430" i="3"/>
  <c r="Y432" i="3"/>
  <c r="Z432" i="3" s="1"/>
  <c r="AR433" i="3"/>
  <c r="B433" i="3"/>
  <c r="AQ433" i="3"/>
  <c r="A434" i="3"/>
  <c r="C433" i="3"/>
  <c r="D433" i="3"/>
  <c r="AK433" i="3"/>
  <c r="R433" i="3"/>
  <c r="AM433" i="3"/>
  <c r="S433" i="3"/>
  <c r="AD433" i="3"/>
  <c r="P433" i="3"/>
  <c r="Q433" i="3"/>
  <c r="O433" i="3"/>
  <c r="AE433" i="3"/>
  <c r="V433" i="3"/>
  <c r="U433" i="3"/>
  <c r="M433" i="3"/>
  <c r="AF433" i="3"/>
  <c r="F433" i="3"/>
  <c r="G433" i="3"/>
  <c r="H433" i="3" s="1"/>
  <c r="T433" i="3"/>
  <c r="AT431" i="3"/>
  <c r="AW431" i="3"/>
  <c r="AH432" i="3"/>
  <c r="AO432" i="3"/>
  <c r="X432" i="3"/>
  <c r="BG429" i="3" l="1"/>
  <c r="BH429" i="3" s="1"/>
  <c r="BI429" i="3" s="1"/>
  <c r="AY431" i="3"/>
  <c r="AN433" i="3"/>
  <c r="BC430" i="3"/>
  <c r="BG430" i="3" s="1"/>
  <c r="BH430" i="3" s="1"/>
  <c r="BI430" i="3" s="1"/>
  <c r="BM433" i="3"/>
  <c r="BN433" i="3"/>
  <c r="AU432" i="3"/>
  <c r="AX432" i="3"/>
  <c r="BA431" i="3"/>
  <c r="AV431" i="3"/>
  <c r="AR434" i="3"/>
  <c r="A435" i="3"/>
  <c r="B434" i="3"/>
  <c r="AQ434" i="3"/>
  <c r="AM434" i="3"/>
  <c r="T434" i="3"/>
  <c r="D434" i="3"/>
  <c r="AK434" i="3"/>
  <c r="C434" i="3"/>
  <c r="S434" i="3"/>
  <c r="Q434" i="3"/>
  <c r="P434" i="3"/>
  <c r="AD434" i="3"/>
  <c r="O434" i="3"/>
  <c r="AE434" i="3"/>
  <c r="U434" i="3"/>
  <c r="V434" i="3"/>
  <c r="M434" i="3"/>
  <c r="AF434" i="3"/>
  <c r="G434" i="3"/>
  <c r="H434" i="3" s="1"/>
  <c r="R434" i="3"/>
  <c r="F434" i="3"/>
  <c r="BF430" i="3"/>
  <c r="BJ429" i="3" s="1"/>
  <c r="BK429" i="3" s="1"/>
  <c r="BQ430" i="3"/>
  <c r="BB430" i="3"/>
  <c r="AT432" i="3"/>
  <c r="AW432" i="3"/>
  <c r="Y433" i="3"/>
  <c r="Z433" i="3" s="1"/>
  <c r="AG433" i="3"/>
  <c r="AH433" i="3"/>
  <c r="AO433" i="3"/>
  <c r="X433" i="3"/>
  <c r="BC431" i="3" l="1"/>
  <c r="BD431" i="3" s="1"/>
  <c r="BD430" i="3"/>
  <c r="BM434" i="3"/>
  <c r="AO434" i="3"/>
  <c r="BN434" i="3"/>
  <c r="AY432" i="3"/>
  <c r="AH434" i="3"/>
  <c r="AT433" i="3"/>
  <c r="AX433" i="3"/>
  <c r="Y434" i="3"/>
  <c r="Z434" i="3" s="1"/>
  <c r="BF431" i="3"/>
  <c r="BJ430" i="3" s="1"/>
  <c r="BK430" i="3" s="1"/>
  <c r="BB431" i="3"/>
  <c r="BQ431" i="3"/>
  <c r="AU433" i="3"/>
  <c r="AW433" i="3"/>
  <c r="AG434" i="3"/>
  <c r="X434" i="3"/>
  <c r="AN434" i="3"/>
  <c r="AV432" i="3"/>
  <c r="BA432" i="3"/>
  <c r="A436" i="3"/>
  <c r="B435" i="3"/>
  <c r="AR435" i="3"/>
  <c r="AQ435" i="3"/>
  <c r="C435" i="3"/>
  <c r="AK435" i="3"/>
  <c r="AM435" i="3"/>
  <c r="D435" i="3"/>
  <c r="S435" i="3"/>
  <c r="Q435" i="3"/>
  <c r="AD435" i="3"/>
  <c r="R435" i="3"/>
  <c r="P435" i="3"/>
  <c r="AF435" i="3"/>
  <c r="M435" i="3"/>
  <c r="U435" i="3"/>
  <c r="O435" i="3"/>
  <c r="AE435" i="3"/>
  <c r="V435" i="3"/>
  <c r="G435" i="3"/>
  <c r="H435" i="3" s="1"/>
  <c r="BN435" i="3" s="1"/>
  <c r="F435" i="3"/>
  <c r="T435" i="3"/>
  <c r="BG431" i="3" l="1"/>
  <c r="BH431" i="3" s="1"/>
  <c r="BI431" i="3" s="1"/>
  <c r="AY433" i="3"/>
  <c r="BM435" i="3"/>
  <c r="BC432" i="3"/>
  <c r="BG432" i="3" s="1"/>
  <c r="BH432" i="3" s="1"/>
  <c r="BI432" i="3" s="1"/>
  <c r="AO435" i="3"/>
  <c r="AX434" i="3"/>
  <c r="AU434" i="3"/>
  <c r="AG435" i="3"/>
  <c r="Y435" i="3"/>
  <c r="Z435" i="3" s="1"/>
  <c r="BA433" i="3"/>
  <c r="BB433" i="3" s="1"/>
  <c r="BF432" i="3"/>
  <c r="BJ431" i="3" s="1"/>
  <c r="BK431" i="3" s="1"/>
  <c r="BB432" i="3"/>
  <c r="BQ432" i="3"/>
  <c r="A437" i="3"/>
  <c r="B436" i="3"/>
  <c r="AQ436" i="3"/>
  <c r="AR436" i="3"/>
  <c r="D436" i="3"/>
  <c r="C436" i="3"/>
  <c r="S436" i="3"/>
  <c r="Q436" i="3"/>
  <c r="AK436" i="3"/>
  <c r="AM436" i="3"/>
  <c r="R436" i="3"/>
  <c r="P436" i="3"/>
  <c r="AD436" i="3"/>
  <c r="O436" i="3"/>
  <c r="M436" i="3"/>
  <c r="AF436" i="3"/>
  <c r="U436" i="3"/>
  <c r="AE436" i="3"/>
  <c r="V436" i="3"/>
  <c r="F436" i="3"/>
  <c r="G436" i="3"/>
  <c r="H436" i="3" s="1"/>
  <c r="BN436" i="3" s="1"/>
  <c r="T436" i="3"/>
  <c r="AH435" i="3"/>
  <c r="AU435" i="3" s="1"/>
  <c r="AN435" i="3"/>
  <c r="X435" i="3"/>
  <c r="AV433" i="3"/>
  <c r="AT434" i="3"/>
  <c r="AW434" i="3"/>
  <c r="BM436" i="3" l="1"/>
  <c r="BC433" i="3"/>
  <c r="BD433" i="3" s="1"/>
  <c r="BD432" i="3"/>
  <c r="AN436" i="3"/>
  <c r="AY434" i="3"/>
  <c r="AG436" i="3"/>
  <c r="AX435" i="3"/>
  <c r="BF433" i="3"/>
  <c r="BJ432" i="3" s="1"/>
  <c r="BK432" i="3" s="1"/>
  <c r="BQ433" i="3"/>
  <c r="Y436" i="3"/>
  <c r="Z436" i="3" s="1"/>
  <c r="AV434" i="3"/>
  <c r="BA434" i="3"/>
  <c r="AR437" i="3"/>
  <c r="B437" i="3"/>
  <c r="AQ437" i="3"/>
  <c r="A438" i="3"/>
  <c r="D437" i="3"/>
  <c r="C437" i="3"/>
  <c r="S437" i="3"/>
  <c r="AK437" i="3"/>
  <c r="AM437" i="3"/>
  <c r="T437" i="3"/>
  <c r="Q437" i="3"/>
  <c r="AD437" i="3"/>
  <c r="R437" i="3"/>
  <c r="O437" i="3"/>
  <c r="P437" i="3"/>
  <c r="M437" i="3"/>
  <c r="V437" i="3"/>
  <c r="AE437" i="3"/>
  <c r="AF437" i="3"/>
  <c r="U437" i="3"/>
  <c r="G437" i="3"/>
  <c r="H437" i="3" s="1"/>
  <c r="F437" i="3"/>
  <c r="BM437" i="3" s="1"/>
  <c r="X436" i="3"/>
  <c r="AT435" i="3"/>
  <c r="AW435" i="3"/>
  <c r="AH436" i="3"/>
  <c r="AO436" i="3"/>
  <c r="BG433" i="3" l="1"/>
  <c r="BH433" i="3" s="1"/>
  <c r="BI433" i="3" s="1"/>
  <c r="BC434" i="3"/>
  <c r="BG434" i="3" s="1"/>
  <c r="BH434" i="3" s="1"/>
  <c r="BI434" i="3" s="1"/>
  <c r="BN437" i="3"/>
  <c r="AT436" i="3"/>
  <c r="AG437" i="3"/>
  <c r="AU436" i="3"/>
  <c r="AY435" i="3"/>
  <c r="AO437" i="3"/>
  <c r="AW436" i="3"/>
  <c r="AV435" i="3"/>
  <c r="BA435" i="3"/>
  <c r="Y437" i="3"/>
  <c r="Z437" i="3" s="1"/>
  <c r="AX436" i="3"/>
  <c r="AN437" i="3"/>
  <c r="AR438" i="3"/>
  <c r="A439" i="3"/>
  <c r="B438" i="3"/>
  <c r="AQ438" i="3"/>
  <c r="D438" i="3"/>
  <c r="C438" i="3"/>
  <c r="AM438" i="3"/>
  <c r="AK438" i="3"/>
  <c r="S438" i="3"/>
  <c r="R438" i="3"/>
  <c r="P438" i="3"/>
  <c r="Q438" i="3"/>
  <c r="AD438" i="3"/>
  <c r="O438" i="3"/>
  <c r="M438" i="3"/>
  <c r="AF438" i="3"/>
  <c r="V438" i="3"/>
  <c r="AE438" i="3"/>
  <c r="U438" i="3"/>
  <c r="F438" i="3"/>
  <c r="G438" i="3"/>
  <c r="H438" i="3" s="1"/>
  <c r="T438" i="3"/>
  <c r="BB434" i="3"/>
  <c r="BF434" i="3"/>
  <c r="BJ433" i="3" s="1"/>
  <c r="BK433" i="3" s="1"/>
  <c r="BQ434" i="3"/>
  <c r="AH437" i="3"/>
  <c r="X437" i="3"/>
  <c r="BN438" i="3" l="1"/>
  <c r="BM438" i="3"/>
  <c r="BD434" i="3"/>
  <c r="AY436" i="3"/>
  <c r="AV436" i="3"/>
  <c r="AT437" i="3"/>
  <c r="BC435" i="3"/>
  <c r="BG435" i="3" s="1"/>
  <c r="BH435" i="3" s="1"/>
  <c r="BI435" i="3" s="1"/>
  <c r="AO438" i="3"/>
  <c r="Y438" i="3"/>
  <c r="Z438" i="3" s="1"/>
  <c r="BA436" i="3"/>
  <c r="BF436" i="3" s="1"/>
  <c r="AW437" i="3"/>
  <c r="AH438" i="3"/>
  <c r="AN438" i="3"/>
  <c r="AU437" i="3"/>
  <c r="A440" i="3"/>
  <c r="B439" i="3"/>
  <c r="AR439" i="3"/>
  <c r="AQ439" i="3"/>
  <c r="C439" i="3"/>
  <c r="AK439" i="3"/>
  <c r="AM439" i="3"/>
  <c r="T439" i="3"/>
  <c r="S439" i="3"/>
  <c r="D439" i="3"/>
  <c r="Q439" i="3"/>
  <c r="R439" i="3"/>
  <c r="AD439" i="3"/>
  <c r="P439" i="3"/>
  <c r="O439" i="3"/>
  <c r="AE439" i="3"/>
  <c r="M439" i="3"/>
  <c r="AF439" i="3"/>
  <c r="V439" i="3"/>
  <c r="U439" i="3"/>
  <c r="F439" i="3"/>
  <c r="BM439" i="3" s="1"/>
  <c r="G439" i="3"/>
  <c r="H439" i="3" s="1"/>
  <c r="BN439" i="3" s="1"/>
  <c r="BQ435" i="3"/>
  <c r="BB435" i="3"/>
  <c r="BF435" i="3"/>
  <c r="BJ434" i="3" s="1"/>
  <c r="BK434" i="3" s="1"/>
  <c r="AG438" i="3"/>
  <c r="X438" i="3"/>
  <c r="AX437" i="3"/>
  <c r="BD435" i="3" l="1"/>
  <c r="BC436" i="3"/>
  <c r="BG436" i="3" s="1"/>
  <c r="BH436" i="3" s="1"/>
  <c r="BI436" i="3" s="1"/>
  <c r="BQ436" i="3"/>
  <c r="AH439" i="3"/>
  <c r="AW438" i="3"/>
  <c r="AN439" i="3"/>
  <c r="AU438" i="3"/>
  <c r="AT438" i="3"/>
  <c r="BB436" i="3"/>
  <c r="BA437" i="3"/>
  <c r="BQ437" i="3" s="1"/>
  <c r="Y439" i="3"/>
  <c r="Z439" i="3" s="1"/>
  <c r="BJ435" i="3"/>
  <c r="BK435" i="3" s="1"/>
  <c r="AG439" i="3"/>
  <c r="AO439" i="3"/>
  <c r="AY437" i="3"/>
  <c r="AV437" i="3"/>
  <c r="A441" i="3"/>
  <c r="B440" i="3"/>
  <c r="AQ440" i="3"/>
  <c r="AR440" i="3"/>
  <c r="D440" i="3"/>
  <c r="T440" i="3"/>
  <c r="C440" i="3"/>
  <c r="AK440" i="3"/>
  <c r="AM440" i="3"/>
  <c r="S440" i="3"/>
  <c r="R440" i="3"/>
  <c r="AD440" i="3"/>
  <c r="P440" i="3"/>
  <c r="O440" i="3"/>
  <c r="AE440" i="3"/>
  <c r="AF440" i="3"/>
  <c r="U440" i="3"/>
  <c r="M440" i="3"/>
  <c r="V440" i="3"/>
  <c r="Q440" i="3"/>
  <c r="F440" i="3"/>
  <c r="G440" i="3"/>
  <c r="H440" i="3" s="1"/>
  <c r="X439" i="3"/>
  <c r="AX438" i="3"/>
  <c r="BM440" i="3" l="1"/>
  <c r="BD436" i="3"/>
  <c r="BN440" i="3"/>
  <c r="AV438" i="3"/>
  <c r="AU439" i="3"/>
  <c r="AT439" i="3"/>
  <c r="AO440" i="3"/>
  <c r="AW439" i="3"/>
  <c r="BA438" i="3"/>
  <c r="BF438" i="3" s="1"/>
  <c r="BF437" i="3"/>
  <c r="BJ436" i="3" s="1"/>
  <c r="BK436" i="3" s="1"/>
  <c r="BB437" i="3"/>
  <c r="Y440" i="3"/>
  <c r="Z440" i="3" s="1"/>
  <c r="AR441" i="3"/>
  <c r="B441" i="3"/>
  <c r="AQ441" i="3"/>
  <c r="A442" i="3"/>
  <c r="D441" i="3"/>
  <c r="C441" i="3"/>
  <c r="AK441" i="3"/>
  <c r="AM441" i="3"/>
  <c r="Q441" i="3"/>
  <c r="S441" i="3"/>
  <c r="AD441" i="3"/>
  <c r="P441" i="3"/>
  <c r="T441" i="3"/>
  <c r="O441" i="3"/>
  <c r="M441" i="3"/>
  <c r="AE441" i="3"/>
  <c r="AF441" i="3"/>
  <c r="U441" i="3"/>
  <c r="V441" i="3"/>
  <c r="G441" i="3"/>
  <c r="H441" i="3" s="1"/>
  <c r="R441" i="3"/>
  <c r="F441" i="3"/>
  <c r="BM441" i="3" s="1"/>
  <c r="AH440" i="3"/>
  <c r="AY438" i="3"/>
  <c r="AG440" i="3"/>
  <c r="AN440" i="3"/>
  <c r="X440" i="3"/>
  <c r="BC437" i="3"/>
  <c r="AX439" i="3"/>
  <c r="BC438" i="3" l="1"/>
  <c r="BD438" i="3" s="1"/>
  <c r="AV439" i="3"/>
  <c r="BJ437" i="3"/>
  <c r="BK437" i="3" s="1"/>
  <c r="BB438" i="3"/>
  <c r="BQ438" i="3"/>
  <c r="BA439" i="3"/>
  <c r="BB439" i="3" s="1"/>
  <c r="AO441" i="3"/>
  <c r="AT440" i="3"/>
  <c r="AU440" i="3"/>
  <c r="AY439" i="3"/>
  <c r="BD437" i="3"/>
  <c r="BG437" i="3"/>
  <c r="BH437" i="3" s="1"/>
  <c r="BI437" i="3" s="1"/>
  <c r="AR442" i="3"/>
  <c r="AQ442" i="3"/>
  <c r="B442" i="3"/>
  <c r="A443" i="3"/>
  <c r="C442" i="3"/>
  <c r="AK442" i="3"/>
  <c r="S442" i="3"/>
  <c r="AM442" i="3"/>
  <c r="D442" i="3"/>
  <c r="T442" i="3"/>
  <c r="Q442" i="3"/>
  <c r="R442" i="3"/>
  <c r="AD442" i="3"/>
  <c r="P442" i="3"/>
  <c r="O442" i="3"/>
  <c r="U442" i="3"/>
  <c r="AF442" i="3"/>
  <c r="M442" i="3"/>
  <c r="AE442" i="3"/>
  <c r="V442" i="3"/>
  <c r="G442" i="3"/>
  <c r="H442" i="3" s="1"/>
  <c r="F442" i="3"/>
  <c r="AH441" i="3"/>
  <c r="AW440" i="3"/>
  <c r="BN441" i="3"/>
  <c r="AG441" i="3"/>
  <c r="AN441" i="3"/>
  <c r="X441" i="3"/>
  <c r="Y441" i="3"/>
  <c r="Z441" i="3" s="1"/>
  <c r="AX440" i="3"/>
  <c r="BN442" i="3" l="1"/>
  <c r="BG438" i="3"/>
  <c r="BH438" i="3" s="1"/>
  <c r="BI438" i="3" s="1"/>
  <c r="BC439" i="3"/>
  <c r="BG439" i="3" s="1"/>
  <c r="BH439" i="3" s="1"/>
  <c r="BI439" i="3" s="1"/>
  <c r="AG442" i="3"/>
  <c r="BQ439" i="3"/>
  <c r="AT441" i="3"/>
  <c r="BF439" i="3"/>
  <c r="BJ438" i="3" s="1"/>
  <c r="BK438" i="3" s="1"/>
  <c r="AV440" i="3"/>
  <c r="AN442" i="3"/>
  <c r="AR443" i="3"/>
  <c r="B443" i="3"/>
  <c r="AQ443" i="3"/>
  <c r="A444" i="3"/>
  <c r="D443" i="3"/>
  <c r="C443" i="3"/>
  <c r="AM443" i="3"/>
  <c r="AK443" i="3"/>
  <c r="S443" i="3"/>
  <c r="R443" i="3"/>
  <c r="Q443" i="3"/>
  <c r="AD443" i="3"/>
  <c r="P443" i="3"/>
  <c r="AE443" i="3"/>
  <c r="O443" i="3"/>
  <c r="U443" i="3"/>
  <c r="M443" i="3"/>
  <c r="AF443" i="3"/>
  <c r="V443" i="3"/>
  <c r="G443" i="3"/>
  <c r="H443" i="3" s="1"/>
  <c r="F443" i="3"/>
  <c r="T443" i="3"/>
  <c r="AX441" i="3"/>
  <c r="AU441" i="3"/>
  <c r="AW441" i="3"/>
  <c r="AY440" i="3"/>
  <c r="BM442" i="3"/>
  <c r="AO442" i="3"/>
  <c r="AH442" i="3"/>
  <c r="Y442" i="3"/>
  <c r="Z442" i="3" s="1"/>
  <c r="X442" i="3"/>
  <c r="BA440" i="3"/>
  <c r="BD439" i="3" l="1"/>
  <c r="AY441" i="3"/>
  <c r="BN443" i="3"/>
  <c r="BC440" i="3"/>
  <c r="BG440" i="3" s="1"/>
  <c r="BH440" i="3" s="1"/>
  <c r="BI440" i="3" s="1"/>
  <c r="AX442" i="3"/>
  <c r="AO443" i="3"/>
  <c r="BA441" i="3"/>
  <c r="BQ441" i="3" s="1"/>
  <c r="AG443" i="3"/>
  <c r="AT442" i="3"/>
  <c r="AW442" i="3"/>
  <c r="AU442" i="3"/>
  <c r="BM443" i="3"/>
  <c r="AN443" i="3"/>
  <c r="AV441" i="3"/>
  <c r="BQ440" i="3"/>
  <c r="BF440" i="3"/>
  <c r="BJ439" i="3" s="1"/>
  <c r="BK439" i="3" s="1"/>
  <c r="BB440" i="3"/>
  <c r="AQ444" i="3"/>
  <c r="AR444" i="3"/>
  <c r="B444" i="3"/>
  <c r="A445" i="3"/>
  <c r="D444" i="3"/>
  <c r="C444" i="3"/>
  <c r="AK444" i="3"/>
  <c r="AM444" i="3"/>
  <c r="T444" i="3"/>
  <c r="S444" i="3"/>
  <c r="Q444" i="3"/>
  <c r="AD444" i="3"/>
  <c r="P444" i="3"/>
  <c r="M444" i="3"/>
  <c r="AE444" i="3"/>
  <c r="AF444" i="3"/>
  <c r="V444" i="3"/>
  <c r="O444" i="3"/>
  <c r="U444" i="3"/>
  <c r="F444" i="3"/>
  <c r="G444" i="3"/>
  <c r="H444" i="3" s="1"/>
  <c r="R444" i="3"/>
  <c r="Y443" i="3"/>
  <c r="Z443" i="3" s="1"/>
  <c r="AH443" i="3"/>
  <c r="X443" i="3"/>
  <c r="BN444" i="3" l="1"/>
  <c r="BC441" i="3"/>
  <c r="BG441" i="3" s="1"/>
  <c r="BH441" i="3" s="1"/>
  <c r="BI441" i="3" s="1"/>
  <c r="BM444" i="3"/>
  <c r="BD440" i="3"/>
  <c r="AY442" i="3"/>
  <c r="AX443" i="3"/>
  <c r="BF441" i="3"/>
  <c r="BJ440" i="3" s="1"/>
  <c r="BK440" i="3" s="1"/>
  <c r="AH444" i="3"/>
  <c r="BB441" i="3"/>
  <c r="AN444" i="3"/>
  <c r="AO444" i="3"/>
  <c r="Y444" i="3"/>
  <c r="Z444" i="3" s="1"/>
  <c r="AG444" i="3"/>
  <c r="AU443" i="3"/>
  <c r="AW443" i="3"/>
  <c r="A446" i="3"/>
  <c r="AQ445" i="3"/>
  <c r="B445" i="3"/>
  <c r="AR445" i="3"/>
  <c r="C445" i="3"/>
  <c r="AK445" i="3"/>
  <c r="AM445" i="3"/>
  <c r="S445" i="3"/>
  <c r="D445" i="3"/>
  <c r="R445" i="3"/>
  <c r="Q445" i="3"/>
  <c r="P445" i="3"/>
  <c r="AD445" i="3"/>
  <c r="O445" i="3"/>
  <c r="M445" i="3"/>
  <c r="AE445" i="3"/>
  <c r="U445" i="3"/>
  <c r="AF445" i="3"/>
  <c r="V445" i="3"/>
  <c r="G445" i="3"/>
  <c r="H445" i="3" s="1"/>
  <c r="F445" i="3"/>
  <c r="BM445" i="3" s="1"/>
  <c r="T445" i="3"/>
  <c r="BA442" i="3"/>
  <c r="AV442" i="3"/>
  <c r="X444" i="3"/>
  <c r="AT443" i="3"/>
  <c r="BD441" i="3" l="1"/>
  <c r="BC442" i="3"/>
  <c r="BG442" i="3" s="1"/>
  <c r="BH442" i="3" s="1"/>
  <c r="BI442" i="3" s="1"/>
  <c r="AT444" i="3"/>
  <c r="BN445" i="3"/>
  <c r="AY443" i="3"/>
  <c r="AO445" i="3"/>
  <c r="AW444" i="3"/>
  <c r="AN445" i="3"/>
  <c r="Y445" i="3"/>
  <c r="Z445" i="3" s="1"/>
  <c r="BA443" i="3"/>
  <c r="BB443" i="3" s="1"/>
  <c r="AG445" i="3"/>
  <c r="AU444" i="3"/>
  <c r="AX444" i="3"/>
  <c r="BB442" i="3"/>
  <c r="BF442" i="3"/>
  <c r="BJ441" i="3" s="1"/>
  <c r="BK441" i="3" s="1"/>
  <c r="BQ442" i="3"/>
  <c r="B446" i="3"/>
  <c r="A447" i="3"/>
  <c r="AQ446" i="3"/>
  <c r="AR446" i="3"/>
  <c r="C446" i="3"/>
  <c r="D446" i="3"/>
  <c r="S446" i="3"/>
  <c r="R446" i="3"/>
  <c r="AM446" i="3"/>
  <c r="AK446" i="3"/>
  <c r="P446" i="3"/>
  <c r="Q446" i="3"/>
  <c r="AD446" i="3"/>
  <c r="AE446" i="3"/>
  <c r="O446" i="3"/>
  <c r="AF446" i="3"/>
  <c r="M446" i="3"/>
  <c r="V446" i="3"/>
  <c r="U446" i="3"/>
  <c r="G446" i="3"/>
  <c r="H446" i="3" s="1"/>
  <c r="F446" i="3"/>
  <c r="T446" i="3"/>
  <c r="AH445" i="3"/>
  <c r="X445" i="3"/>
  <c r="AV443" i="3"/>
  <c r="BM446" i="3" l="1"/>
  <c r="BD442" i="3"/>
  <c r="BC443" i="3"/>
  <c r="BD443" i="3" s="1"/>
  <c r="BN446" i="3"/>
  <c r="AV444" i="3"/>
  <c r="AY444" i="3"/>
  <c r="BF443" i="3"/>
  <c r="BJ442" i="3" s="1"/>
  <c r="BK442" i="3" s="1"/>
  <c r="AX445" i="3"/>
  <c r="AO446" i="3"/>
  <c r="BQ443" i="3"/>
  <c r="BA444" i="3"/>
  <c r="BQ444" i="3" s="1"/>
  <c r="AH446" i="3"/>
  <c r="Y446" i="3"/>
  <c r="Z446" i="3" s="1"/>
  <c r="B447" i="3"/>
  <c r="AQ447" i="3"/>
  <c r="AR447" i="3"/>
  <c r="A448" i="3"/>
  <c r="C447" i="3"/>
  <c r="D447" i="3"/>
  <c r="S447" i="3"/>
  <c r="Q447" i="3"/>
  <c r="AM447" i="3"/>
  <c r="AK447" i="3"/>
  <c r="AD447" i="3"/>
  <c r="P447" i="3"/>
  <c r="O447" i="3"/>
  <c r="AE447" i="3"/>
  <c r="U447" i="3"/>
  <c r="M447" i="3"/>
  <c r="AF447" i="3"/>
  <c r="V447" i="3"/>
  <c r="F447" i="3"/>
  <c r="R447" i="3"/>
  <c r="G447" i="3"/>
  <c r="H447" i="3" s="1"/>
  <c r="T447" i="3"/>
  <c r="AG446" i="3"/>
  <c r="AU445" i="3"/>
  <c r="AW445" i="3"/>
  <c r="AN446" i="3"/>
  <c r="X446" i="3"/>
  <c r="AT445" i="3"/>
  <c r="BG443" i="3" l="1"/>
  <c r="BH443" i="3" s="1"/>
  <c r="BI443" i="3" s="1"/>
  <c r="BM447" i="3"/>
  <c r="AU446" i="3"/>
  <c r="AX446" i="3"/>
  <c r="BC444" i="3"/>
  <c r="BD444" i="3" s="1"/>
  <c r="AO447" i="3"/>
  <c r="AY445" i="3"/>
  <c r="BB444" i="3"/>
  <c r="AT446" i="3"/>
  <c r="AG447" i="3"/>
  <c r="BF444" i="3"/>
  <c r="BJ443" i="3" s="1"/>
  <c r="BK443" i="3" s="1"/>
  <c r="Y447" i="3"/>
  <c r="Z447" i="3" s="1"/>
  <c r="AV445" i="3"/>
  <c r="BA445" i="3"/>
  <c r="AW446" i="3"/>
  <c r="BN447" i="3"/>
  <c r="AH447" i="3"/>
  <c r="AN447" i="3"/>
  <c r="X447" i="3"/>
  <c r="AR448" i="3"/>
  <c r="B448" i="3"/>
  <c r="AQ448" i="3"/>
  <c r="A449" i="3"/>
  <c r="AM448" i="3"/>
  <c r="AK448" i="3"/>
  <c r="S448" i="3"/>
  <c r="D448" i="3"/>
  <c r="C448" i="3"/>
  <c r="Q448" i="3"/>
  <c r="R448" i="3"/>
  <c r="AD448" i="3"/>
  <c r="P448" i="3"/>
  <c r="V448" i="3"/>
  <c r="U448" i="3"/>
  <c r="O448" i="3"/>
  <c r="AE448" i="3"/>
  <c r="AF448" i="3"/>
  <c r="M448" i="3"/>
  <c r="G448" i="3"/>
  <c r="H448" i="3" s="1"/>
  <c r="BN448" i="3" s="1"/>
  <c r="F448" i="3"/>
  <c r="BM448" i="3" s="1"/>
  <c r="T448" i="3"/>
  <c r="AV446" i="3" l="1"/>
  <c r="AT447" i="3"/>
  <c r="AY446" i="3"/>
  <c r="BC445" i="3"/>
  <c r="BG445" i="3" s="1"/>
  <c r="BH445" i="3" s="1"/>
  <c r="BI445" i="3" s="1"/>
  <c r="BG444" i="3"/>
  <c r="BH444" i="3" s="1"/>
  <c r="BI444" i="3" s="1"/>
  <c r="AO448" i="3"/>
  <c r="AW447" i="3"/>
  <c r="AU447" i="3"/>
  <c r="Y448" i="3"/>
  <c r="Z448" i="3" s="1"/>
  <c r="AH448" i="3"/>
  <c r="AG448" i="3"/>
  <c r="X448" i="3"/>
  <c r="AN448" i="3"/>
  <c r="AX447" i="3"/>
  <c r="BA446" i="3"/>
  <c r="AQ449" i="3"/>
  <c r="B449" i="3"/>
  <c r="A450" i="3"/>
  <c r="AR449" i="3"/>
  <c r="C449" i="3"/>
  <c r="AK449" i="3"/>
  <c r="T449" i="3"/>
  <c r="Q449" i="3"/>
  <c r="D449" i="3"/>
  <c r="AM449" i="3"/>
  <c r="R449" i="3"/>
  <c r="S449" i="3"/>
  <c r="AD449" i="3"/>
  <c r="P449" i="3"/>
  <c r="AE449" i="3"/>
  <c r="M449" i="3"/>
  <c r="AF449" i="3"/>
  <c r="U449" i="3"/>
  <c r="O449" i="3"/>
  <c r="V449" i="3"/>
  <c r="G449" i="3"/>
  <c r="H449" i="3" s="1"/>
  <c r="BN449" i="3" s="1"/>
  <c r="F449" i="3"/>
  <c r="BB445" i="3"/>
  <c r="BF445" i="3"/>
  <c r="BJ444" i="3" s="1"/>
  <c r="BK444" i="3" s="1"/>
  <c r="BQ445" i="3"/>
  <c r="AV447" i="3" l="1"/>
  <c r="BC446" i="3"/>
  <c r="BD446" i="3" s="1"/>
  <c r="BD445" i="3"/>
  <c r="AU448" i="3"/>
  <c r="AX448" i="3"/>
  <c r="AN449" i="3"/>
  <c r="BM449" i="3"/>
  <c r="AH449" i="3"/>
  <c r="AT448" i="3"/>
  <c r="BA447" i="3"/>
  <c r="BB447" i="3" s="1"/>
  <c r="AY447" i="3"/>
  <c r="Y449" i="3"/>
  <c r="Z449" i="3" s="1"/>
  <c r="AQ450" i="3"/>
  <c r="B450" i="3"/>
  <c r="A451" i="3"/>
  <c r="AR450" i="3"/>
  <c r="C450" i="3"/>
  <c r="D450" i="3"/>
  <c r="S450" i="3"/>
  <c r="AM450" i="3"/>
  <c r="AK450" i="3"/>
  <c r="Q450" i="3"/>
  <c r="R450" i="3"/>
  <c r="AD450" i="3"/>
  <c r="P450" i="3"/>
  <c r="M450" i="3"/>
  <c r="O450" i="3"/>
  <c r="AF450" i="3"/>
  <c r="AE450" i="3"/>
  <c r="U450" i="3"/>
  <c r="V450" i="3"/>
  <c r="F450" i="3"/>
  <c r="G450" i="3"/>
  <c r="H450" i="3" s="1"/>
  <c r="T450" i="3"/>
  <c r="AG449" i="3"/>
  <c r="X449" i="3"/>
  <c r="BQ446" i="3"/>
  <c r="BF446" i="3"/>
  <c r="BJ445" i="3" s="1"/>
  <c r="BK445" i="3" s="1"/>
  <c r="BB446" i="3"/>
  <c r="AO449" i="3"/>
  <c r="AW448" i="3"/>
  <c r="BC447" i="3" l="1"/>
  <c r="BD447" i="3" s="1"/>
  <c r="AT449" i="3"/>
  <c r="BG446" i="3"/>
  <c r="BH446" i="3" s="1"/>
  <c r="BI446" i="3" s="1"/>
  <c r="AV448" i="3"/>
  <c r="AY448" i="3"/>
  <c r="BN450" i="3"/>
  <c r="BF447" i="3"/>
  <c r="BJ446" i="3" s="1"/>
  <c r="BK446" i="3" s="1"/>
  <c r="BQ447" i="3"/>
  <c r="AX449" i="3"/>
  <c r="AO450" i="3"/>
  <c r="AU449" i="3"/>
  <c r="AG450" i="3"/>
  <c r="BA448" i="3"/>
  <c r="BB448" i="3" s="1"/>
  <c r="AW449" i="3"/>
  <c r="Y450" i="3"/>
  <c r="Z450" i="3" s="1"/>
  <c r="BM450" i="3"/>
  <c r="AH450" i="3"/>
  <c r="AN450" i="3"/>
  <c r="AR451" i="3"/>
  <c r="B451" i="3"/>
  <c r="AQ451" i="3"/>
  <c r="A452" i="3"/>
  <c r="D451" i="3"/>
  <c r="C451" i="3"/>
  <c r="AK451" i="3"/>
  <c r="AM451" i="3"/>
  <c r="S451" i="3"/>
  <c r="Q451" i="3"/>
  <c r="R451" i="3"/>
  <c r="T451" i="3"/>
  <c r="AD451" i="3"/>
  <c r="P451" i="3"/>
  <c r="O451" i="3"/>
  <c r="AE451" i="3"/>
  <c r="AF451" i="3"/>
  <c r="V451" i="3"/>
  <c r="U451" i="3"/>
  <c r="M451" i="3"/>
  <c r="F451" i="3"/>
  <c r="G451" i="3"/>
  <c r="H451" i="3" s="1"/>
  <c r="X450" i="3"/>
  <c r="BG447" i="3" l="1"/>
  <c r="BH447" i="3" s="1"/>
  <c r="BI447" i="3" s="1"/>
  <c r="AV449" i="3"/>
  <c r="BC448" i="3"/>
  <c r="BG448" i="3" s="1"/>
  <c r="BH448" i="3" s="1"/>
  <c r="BI448" i="3" s="1"/>
  <c r="BF448" i="3"/>
  <c r="BJ447" i="3" s="1"/>
  <c r="BK447" i="3" s="1"/>
  <c r="BM451" i="3"/>
  <c r="AO451" i="3"/>
  <c r="BQ448" i="3"/>
  <c r="AT450" i="3"/>
  <c r="AY449" i="3"/>
  <c r="AU450" i="3"/>
  <c r="AW450" i="3"/>
  <c r="Y451" i="3"/>
  <c r="Z451" i="3" s="1"/>
  <c r="AQ452" i="3"/>
  <c r="AR452" i="3"/>
  <c r="B452" i="3"/>
  <c r="A453" i="3"/>
  <c r="D452" i="3"/>
  <c r="C452" i="3"/>
  <c r="AM452" i="3"/>
  <c r="AK452" i="3"/>
  <c r="Q452" i="3"/>
  <c r="R452" i="3"/>
  <c r="T452" i="3"/>
  <c r="S452" i="3"/>
  <c r="AD452" i="3"/>
  <c r="P452" i="3"/>
  <c r="O452" i="3"/>
  <c r="AE452" i="3"/>
  <c r="M452" i="3"/>
  <c r="AF452" i="3"/>
  <c r="U452" i="3"/>
  <c r="V452" i="3"/>
  <c r="G452" i="3"/>
  <c r="H452" i="3" s="1"/>
  <c r="BN452" i="3" s="1"/>
  <c r="F452" i="3"/>
  <c r="BM452" i="3" s="1"/>
  <c r="AH451" i="3"/>
  <c r="BN451" i="3"/>
  <c r="AG451" i="3"/>
  <c r="AN451" i="3"/>
  <c r="X451" i="3"/>
  <c r="AX450" i="3"/>
  <c r="BA449" i="3"/>
  <c r="BC449" i="3" l="1"/>
  <c r="BG449" i="3" s="1"/>
  <c r="BH449" i="3" s="1"/>
  <c r="BI449" i="3" s="1"/>
  <c r="BD448" i="3"/>
  <c r="AV450" i="3"/>
  <c r="AO452" i="3"/>
  <c r="BA450" i="3"/>
  <c r="BQ450" i="3" s="1"/>
  <c r="AG452" i="3"/>
  <c r="AU451" i="3"/>
  <c r="A454" i="3"/>
  <c r="AQ453" i="3"/>
  <c r="B453" i="3"/>
  <c r="AR453" i="3"/>
  <c r="C453" i="3"/>
  <c r="S453" i="3"/>
  <c r="R453" i="3"/>
  <c r="D453" i="3"/>
  <c r="AK453" i="3"/>
  <c r="AM453" i="3"/>
  <c r="AD453" i="3"/>
  <c r="Q453" i="3"/>
  <c r="P453" i="3"/>
  <c r="AE453" i="3"/>
  <c r="O453" i="3"/>
  <c r="M453" i="3"/>
  <c r="AF453" i="3"/>
  <c r="U453" i="3"/>
  <c r="V453" i="3"/>
  <c r="F453" i="3"/>
  <c r="G453" i="3"/>
  <c r="H453" i="3" s="1"/>
  <c r="T453" i="3"/>
  <c r="Y452" i="3"/>
  <c r="Z452" i="3" s="1"/>
  <c r="AH452" i="3"/>
  <c r="AY450" i="3"/>
  <c r="AN452" i="3"/>
  <c r="BF449" i="3"/>
  <c r="BJ448" i="3" s="1"/>
  <c r="BK448" i="3" s="1"/>
  <c r="BB449" i="3"/>
  <c r="BQ449" i="3"/>
  <c r="AT451" i="3"/>
  <c r="AW451" i="3"/>
  <c r="AX451" i="3"/>
  <c r="X452" i="3"/>
  <c r="BD449" i="3" l="1"/>
  <c r="BC450" i="3"/>
  <c r="BD450" i="3" s="1"/>
  <c r="BN453" i="3"/>
  <c r="BM453" i="3"/>
  <c r="BF450" i="3"/>
  <c r="BJ449" i="3" s="1"/>
  <c r="BK449" i="3" s="1"/>
  <c r="BB450" i="3"/>
  <c r="AX452" i="3"/>
  <c r="AU452" i="3"/>
  <c r="AO453" i="3"/>
  <c r="AT452" i="3"/>
  <c r="AW452" i="3"/>
  <c r="AY451" i="3"/>
  <c r="AV451" i="3"/>
  <c r="BA451" i="3"/>
  <c r="Y453" i="3"/>
  <c r="Z453" i="3" s="1"/>
  <c r="AG453" i="3"/>
  <c r="AN453" i="3"/>
  <c r="B454" i="3"/>
  <c r="A455" i="3"/>
  <c r="AQ454" i="3"/>
  <c r="AR454" i="3"/>
  <c r="C454" i="3"/>
  <c r="D454" i="3"/>
  <c r="AK454" i="3"/>
  <c r="T454" i="3"/>
  <c r="AM454" i="3"/>
  <c r="S454" i="3"/>
  <c r="R454" i="3"/>
  <c r="Q454" i="3"/>
  <c r="AD454" i="3"/>
  <c r="P454" i="3"/>
  <c r="M454" i="3"/>
  <c r="AE454" i="3"/>
  <c r="O454" i="3"/>
  <c r="AF454" i="3"/>
  <c r="U454" i="3"/>
  <c r="V454" i="3"/>
  <c r="F454" i="3"/>
  <c r="G454" i="3"/>
  <c r="H454" i="3" s="1"/>
  <c r="AH453" i="3"/>
  <c r="X453" i="3"/>
  <c r="BN454" i="3" l="1"/>
  <c r="BM454" i="3"/>
  <c r="AV452" i="3"/>
  <c r="AY452" i="3"/>
  <c r="BG450" i="3"/>
  <c r="BH450" i="3" s="1"/>
  <c r="BI450" i="3" s="1"/>
  <c r="BA452" i="3"/>
  <c r="BF452" i="3" s="1"/>
  <c r="AN454" i="3"/>
  <c r="BC451" i="3"/>
  <c r="BG451" i="3" s="1"/>
  <c r="BH451" i="3" s="1"/>
  <c r="BI451" i="3" s="1"/>
  <c r="AU453" i="3"/>
  <c r="AX453" i="3"/>
  <c r="AH454" i="3"/>
  <c r="AO454" i="3"/>
  <c r="X454" i="3"/>
  <c r="AW453" i="3"/>
  <c r="Y454" i="3"/>
  <c r="Z454" i="3" s="1"/>
  <c r="B455" i="3"/>
  <c r="AQ455" i="3"/>
  <c r="AR455" i="3"/>
  <c r="A456" i="3"/>
  <c r="AK455" i="3"/>
  <c r="S455" i="3"/>
  <c r="D455" i="3"/>
  <c r="C455" i="3"/>
  <c r="AM455" i="3"/>
  <c r="R455" i="3"/>
  <c r="AD455" i="3"/>
  <c r="P455" i="3"/>
  <c r="O455" i="3"/>
  <c r="AE455" i="3"/>
  <c r="V455" i="3"/>
  <c r="AF455" i="3"/>
  <c r="M455" i="3"/>
  <c r="U455" i="3"/>
  <c r="Q455" i="3"/>
  <c r="G455" i="3"/>
  <c r="H455" i="3" s="1"/>
  <c r="F455" i="3"/>
  <c r="T455" i="3"/>
  <c r="BB451" i="3"/>
  <c r="BQ451" i="3"/>
  <c r="BF451" i="3"/>
  <c r="BJ450" i="3" s="1"/>
  <c r="BK450" i="3" s="1"/>
  <c r="AG454" i="3"/>
  <c r="AT453" i="3"/>
  <c r="BC452" i="3" l="1"/>
  <c r="BD452" i="3" s="1"/>
  <c r="AN455" i="3"/>
  <c r="BM455" i="3"/>
  <c r="BN455" i="3"/>
  <c r="BB452" i="3"/>
  <c r="BQ452" i="3"/>
  <c r="BD451" i="3"/>
  <c r="AW454" i="3"/>
  <c r="AH455" i="3"/>
  <c r="BA453" i="3"/>
  <c r="AV453" i="3"/>
  <c r="AR456" i="3"/>
  <c r="B456" i="3"/>
  <c r="AQ456" i="3"/>
  <c r="A457" i="3"/>
  <c r="C456" i="3"/>
  <c r="D456" i="3"/>
  <c r="AK456" i="3"/>
  <c r="S456" i="3"/>
  <c r="R456" i="3"/>
  <c r="AM456" i="3"/>
  <c r="Q456" i="3"/>
  <c r="AD456" i="3"/>
  <c r="P456" i="3"/>
  <c r="O456" i="3"/>
  <c r="M456" i="3"/>
  <c r="V456" i="3"/>
  <c r="AE456" i="3"/>
  <c r="AF456" i="3"/>
  <c r="U456" i="3"/>
  <c r="G456" i="3"/>
  <c r="H456" i="3" s="1"/>
  <c r="F456" i="3"/>
  <c r="BM456" i="3" s="1"/>
  <c r="T456" i="3"/>
  <c r="AT454" i="3"/>
  <c r="BJ451" i="3"/>
  <c r="BK451" i="3" s="1"/>
  <c r="Y455" i="3"/>
  <c r="Z455" i="3" s="1"/>
  <c r="AG455" i="3"/>
  <c r="X455" i="3"/>
  <c r="AX454" i="3"/>
  <c r="AO455" i="3"/>
  <c r="AU454" i="3"/>
  <c r="AY453" i="3"/>
  <c r="AU455" i="3" l="1"/>
  <c r="BN456" i="3"/>
  <c r="BG452" i="3"/>
  <c r="BH452" i="3" s="1"/>
  <c r="BI452" i="3" s="1"/>
  <c r="AO456" i="3"/>
  <c r="AY454" i="3"/>
  <c r="Y456" i="3"/>
  <c r="Z456" i="3" s="1"/>
  <c r="AT455" i="3"/>
  <c r="AV455" i="3" s="1"/>
  <c r="AX455" i="3"/>
  <c r="AG456" i="3"/>
  <c r="BQ453" i="3"/>
  <c r="BB453" i="3"/>
  <c r="BF453" i="3"/>
  <c r="BJ452" i="3" s="1"/>
  <c r="BK452" i="3" s="1"/>
  <c r="AV454" i="3"/>
  <c r="X456" i="3"/>
  <c r="AQ457" i="3"/>
  <c r="B457" i="3"/>
  <c r="A458" i="3"/>
  <c r="AR457" i="3"/>
  <c r="D457" i="3"/>
  <c r="AK457" i="3"/>
  <c r="C457" i="3"/>
  <c r="AM457" i="3"/>
  <c r="S457" i="3"/>
  <c r="Q457" i="3"/>
  <c r="R457" i="3"/>
  <c r="AD457" i="3"/>
  <c r="P457" i="3"/>
  <c r="O457" i="3"/>
  <c r="AE457" i="3"/>
  <c r="AF457" i="3"/>
  <c r="M457" i="3"/>
  <c r="V457" i="3"/>
  <c r="U457" i="3"/>
  <c r="F457" i="3"/>
  <c r="G457" i="3"/>
  <c r="H457" i="3" s="1"/>
  <c r="BN457" i="3" s="1"/>
  <c r="T457" i="3"/>
  <c r="BA454" i="3"/>
  <c r="AW455" i="3"/>
  <c r="AH456" i="3"/>
  <c r="AN456" i="3"/>
  <c r="BC453" i="3"/>
  <c r="AN457" i="3" l="1"/>
  <c r="BM457" i="3"/>
  <c r="BC454" i="3"/>
  <c r="BG454" i="3" s="1"/>
  <c r="BH454" i="3" s="1"/>
  <c r="BI454" i="3" s="1"/>
  <c r="AY455" i="3"/>
  <c r="BC455" i="3" s="1"/>
  <c r="BG455" i="3" s="1"/>
  <c r="BH455" i="3" s="1"/>
  <c r="BI455" i="3" s="1"/>
  <c r="Y457" i="3"/>
  <c r="Z457" i="3" s="1"/>
  <c r="AT456" i="3"/>
  <c r="BD453" i="3"/>
  <c r="BG453" i="3"/>
  <c r="BH453" i="3" s="1"/>
  <c r="BI453" i="3" s="1"/>
  <c r="AH457" i="3"/>
  <c r="AO457" i="3"/>
  <c r="BA455" i="3"/>
  <c r="BF454" i="3"/>
  <c r="BJ453" i="3" s="1"/>
  <c r="BK453" i="3" s="1"/>
  <c r="BQ454" i="3"/>
  <c r="BB454" i="3"/>
  <c r="AQ458" i="3"/>
  <c r="B458" i="3"/>
  <c r="A459" i="3"/>
  <c r="AR458" i="3"/>
  <c r="C458" i="3"/>
  <c r="D458" i="3"/>
  <c r="S458" i="3"/>
  <c r="R458" i="3"/>
  <c r="AK458" i="3"/>
  <c r="AM458" i="3"/>
  <c r="Q458" i="3"/>
  <c r="AD458" i="3"/>
  <c r="P458" i="3"/>
  <c r="M458" i="3"/>
  <c r="AE458" i="3"/>
  <c r="V458" i="3"/>
  <c r="O458" i="3"/>
  <c r="AF458" i="3"/>
  <c r="U458" i="3"/>
  <c r="G458" i="3"/>
  <c r="H458" i="3" s="1"/>
  <c r="F458" i="3"/>
  <c r="BM458" i="3" s="1"/>
  <c r="T458" i="3"/>
  <c r="AX456" i="3"/>
  <c r="AG457" i="3"/>
  <c r="X457" i="3"/>
  <c r="AU456" i="3"/>
  <c r="AW456" i="3"/>
  <c r="BN458" i="3" l="1"/>
  <c r="BD454" i="3"/>
  <c r="BD455" i="3"/>
  <c r="AO458" i="3"/>
  <c r="AG458" i="3"/>
  <c r="AU457" i="3"/>
  <c r="AY456" i="3"/>
  <c r="AW457" i="3"/>
  <c r="BA456" i="3"/>
  <c r="BF456" i="3" s="1"/>
  <c r="AR459" i="3"/>
  <c r="B459" i="3"/>
  <c r="AQ459" i="3"/>
  <c r="A460" i="3"/>
  <c r="D459" i="3"/>
  <c r="C459" i="3"/>
  <c r="AM459" i="3"/>
  <c r="AK459" i="3"/>
  <c r="T459" i="3"/>
  <c r="R459" i="3"/>
  <c r="S459" i="3"/>
  <c r="Q459" i="3"/>
  <c r="AD459" i="3"/>
  <c r="O459" i="3"/>
  <c r="AE459" i="3"/>
  <c r="V459" i="3"/>
  <c r="P459" i="3"/>
  <c r="M459" i="3"/>
  <c r="AF459" i="3"/>
  <c r="U459" i="3"/>
  <c r="G459" i="3"/>
  <c r="H459" i="3" s="1"/>
  <c r="BN459" i="3" s="1"/>
  <c r="F459" i="3"/>
  <c r="Y458" i="3"/>
  <c r="Z458" i="3" s="1"/>
  <c r="AH458" i="3"/>
  <c r="AN458" i="3"/>
  <c r="AT457" i="3"/>
  <c r="AX457" i="3"/>
  <c r="AV456" i="3"/>
  <c r="BB455" i="3"/>
  <c r="BF455" i="3"/>
  <c r="BJ454" i="3" s="1"/>
  <c r="BK454" i="3" s="1"/>
  <c r="BQ455" i="3"/>
  <c r="X458" i="3"/>
  <c r="BM459" i="3" l="1"/>
  <c r="AY457" i="3"/>
  <c r="BC456" i="3"/>
  <c r="BD456" i="3" s="1"/>
  <c r="AN459" i="3"/>
  <c r="AH459" i="3"/>
  <c r="AX458" i="3"/>
  <c r="BB456" i="3"/>
  <c r="BQ456" i="3"/>
  <c r="BA457" i="3"/>
  <c r="AV457" i="3"/>
  <c r="Y459" i="3"/>
  <c r="Z459" i="3" s="1"/>
  <c r="AQ460" i="3"/>
  <c r="AR460" i="3"/>
  <c r="B460" i="3"/>
  <c r="A461" i="3"/>
  <c r="C460" i="3"/>
  <c r="D460" i="3"/>
  <c r="AM460" i="3"/>
  <c r="AK460" i="3"/>
  <c r="Q460" i="3"/>
  <c r="S460" i="3"/>
  <c r="R460" i="3"/>
  <c r="P460" i="3"/>
  <c r="AD460" i="3"/>
  <c r="O460" i="3"/>
  <c r="AF460" i="3"/>
  <c r="M460" i="3"/>
  <c r="AE460" i="3"/>
  <c r="V460" i="3"/>
  <c r="U460" i="3"/>
  <c r="G460" i="3"/>
  <c r="H460" i="3" s="1"/>
  <c r="F460" i="3"/>
  <c r="BM460" i="3" s="1"/>
  <c r="T460" i="3"/>
  <c r="AU458" i="3"/>
  <c r="AW458" i="3"/>
  <c r="AT458" i="3"/>
  <c r="AO459" i="3"/>
  <c r="X459" i="3"/>
  <c r="BJ455" i="3"/>
  <c r="BK455" i="3" s="1"/>
  <c r="AG459" i="3"/>
  <c r="BN460" i="3" l="1"/>
  <c r="BC457" i="3"/>
  <c r="BD457" i="3" s="1"/>
  <c r="AG460" i="3"/>
  <c r="BG456" i="3"/>
  <c r="BH456" i="3" s="1"/>
  <c r="BI456" i="3" s="1"/>
  <c r="AO460" i="3"/>
  <c r="AY458" i="3"/>
  <c r="AW459" i="3"/>
  <c r="AV458" i="3"/>
  <c r="BA458" i="3"/>
  <c r="BF457" i="3"/>
  <c r="BJ456" i="3" s="1"/>
  <c r="BK456" i="3" s="1"/>
  <c r="BB457" i="3"/>
  <c r="BQ457" i="3"/>
  <c r="Y460" i="3"/>
  <c r="Z460" i="3" s="1"/>
  <c r="AU459" i="3"/>
  <c r="AX459" i="3"/>
  <c r="AH460" i="3"/>
  <c r="AN460" i="3"/>
  <c r="X460" i="3"/>
  <c r="A462" i="3"/>
  <c r="AQ461" i="3"/>
  <c r="B461" i="3"/>
  <c r="AR461" i="3"/>
  <c r="C461" i="3"/>
  <c r="Q461" i="3"/>
  <c r="AM461" i="3"/>
  <c r="D461" i="3"/>
  <c r="AK461" i="3"/>
  <c r="T461" i="3"/>
  <c r="R461" i="3"/>
  <c r="AD461" i="3"/>
  <c r="S461" i="3"/>
  <c r="P461" i="3"/>
  <c r="AE461" i="3"/>
  <c r="AF461" i="3"/>
  <c r="V461" i="3"/>
  <c r="U461" i="3"/>
  <c r="O461" i="3"/>
  <c r="M461" i="3"/>
  <c r="G461" i="3"/>
  <c r="H461" i="3" s="1"/>
  <c r="F461" i="3"/>
  <c r="AT459" i="3"/>
  <c r="AY459" i="3" l="1"/>
  <c r="AO461" i="3"/>
  <c r="BG457" i="3"/>
  <c r="BH457" i="3" s="1"/>
  <c r="BI457" i="3" s="1"/>
  <c r="AT460" i="3"/>
  <c r="BM461" i="3"/>
  <c r="BC458" i="3"/>
  <c r="BG458" i="3" s="1"/>
  <c r="BH458" i="3" s="1"/>
  <c r="BI458" i="3" s="1"/>
  <c r="BN461" i="3"/>
  <c r="AG461" i="3"/>
  <c r="AX460" i="3"/>
  <c r="B462" i="3"/>
  <c r="A463" i="3"/>
  <c r="AQ462" i="3"/>
  <c r="AR462" i="3"/>
  <c r="D462" i="3"/>
  <c r="AM462" i="3"/>
  <c r="S462" i="3"/>
  <c r="Q462" i="3"/>
  <c r="AK462" i="3"/>
  <c r="C462" i="3"/>
  <c r="R462" i="3"/>
  <c r="T462" i="3"/>
  <c r="AD462" i="3"/>
  <c r="P462" i="3"/>
  <c r="AE462" i="3"/>
  <c r="M462" i="3"/>
  <c r="O462" i="3"/>
  <c r="V462" i="3"/>
  <c r="AF462" i="3"/>
  <c r="U462" i="3"/>
  <c r="F462" i="3"/>
  <c r="G462" i="3"/>
  <c r="H462" i="3" s="1"/>
  <c r="AN461" i="3"/>
  <c r="X461" i="3"/>
  <c r="AV459" i="3"/>
  <c r="BA459" i="3"/>
  <c r="Y461" i="3"/>
  <c r="Z461" i="3" s="1"/>
  <c r="BQ458" i="3"/>
  <c r="BF458" i="3"/>
  <c r="BJ457" i="3" s="1"/>
  <c r="BK457" i="3" s="1"/>
  <c r="BB458" i="3"/>
  <c r="AH461" i="3"/>
  <c r="AU460" i="3"/>
  <c r="AW460" i="3"/>
  <c r="BC459" i="3" l="1"/>
  <c r="BG459" i="3" s="1"/>
  <c r="BH459" i="3" s="1"/>
  <c r="BI459" i="3" s="1"/>
  <c r="AV460" i="3"/>
  <c r="BD458" i="3"/>
  <c r="AX461" i="3"/>
  <c r="AO462" i="3"/>
  <c r="BM462" i="3"/>
  <c r="AY460" i="3"/>
  <c r="AU461" i="3"/>
  <c r="BF459" i="3"/>
  <c r="BJ458" i="3" s="1"/>
  <c r="BK458" i="3" s="1"/>
  <c r="BQ459" i="3"/>
  <c r="BB459" i="3"/>
  <c r="B463" i="3"/>
  <c r="AQ463" i="3"/>
  <c r="AR463" i="3"/>
  <c r="A464" i="3"/>
  <c r="C463" i="3"/>
  <c r="D463" i="3"/>
  <c r="AK463" i="3"/>
  <c r="AM463" i="3"/>
  <c r="T463" i="3"/>
  <c r="Q463" i="3"/>
  <c r="S463" i="3"/>
  <c r="R463" i="3"/>
  <c r="AD463" i="3"/>
  <c r="O463" i="3"/>
  <c r="P463" i="3"/>
  <c r="AE463" i="3"/>
  <c r="AF463" i="3"/>
  <c r="U463" i="3"/>
  <c r="V463" i="3"/>
  <c r="M463" i="3"/>
  <c r="G463" i="3"/>
  <c r="H463" i="3" s="1"/>
  <c r="F463" i="3"/>
  <c r="AG462" i="3"/>
  <c r="AT461" i="3"/>
  <c r="BN462" i="3"/>
  <c r="X462" i="3"/>
  <c r="AN462" i="3"/>
  <c r="Y462" i="3"/>
  <c r="Z462" i="3" s="1"/>
  <c r="BA460" i="3"/>
  <c r="AW461" i="3"/>
  <c r="AH462" i="3"/>
  <c r="BD459" i="3" l="1"/>
  <c r="BC460" i="3"/>
  <c r="BD460" i="3" s="1"/>
  <c r="AY461" i="3"/>
  <c r="AO463" i="3"/>
  <c r="BN463" i="3"/>
  <c r="AH463" i="3"/>
  <c r="AX462" i="3"/>
  <c r="AV461" i="3"/>
  <c r="Y463" i="3"/>
  <c r="Z463" i="3" s="1"/>
  <c r="AR464" i="3"/>
  <c r="B464" i="3"/>
  <c r="AQ464" i="3"/>
  <c r="A465" i="3"/>
  <c r="D464" i="3"/>
  <c r="C464" i="3"/>
  <c r="T464" i="3"/>
  <c r="Q464" i="3"/>
  <c r="AM464" i="3"/>
  <c r="AK464" i="3"/>
  <c r="R464" i="3"/>
  <c r="AD464" i="3"/>
  <c r="S464" i="3"/>
  <c r="O464" i="3"/>
  <c r="AE464" i="3"/>
  <c r="AF464" i="3"/>
  <c r="U464" i="3"/>
  <c r="P464" i="3"/>
  <c r="M464" i="3"/>
  <c r="V464" i="3"/>
  <c r="G464" i="3"/>
  <c r="H464" i="3" s="1"/>
  <c r="BN464" i="3" s="1"/>
  <c r="F464" i="3"/>
  <c r="BM464" i="3" s="1"/>
  <c r="AU462" i="3"/>
  <c r="AT462" i="3"/>
  <c r="BA461" i="3"/>
  <c r="BM463" i="3"/>
  <c r="AG463" i="3"/>
  <c r="AN463" i="3"/>
  <c r="BQ460" i="3"/>
  <c r="BF460" i="3"/>
  <c r="BJ459" i="3" s="1"/>
  <c r="BK459" i="3" s="1"/>
  <c r="BB460" i="3"/>
  <c r="AW462" i="3"/>
  <c r="X463" i="3"/>
  <c r="BG460" i="3" l="1"/>
  <c r="BH460" i="3" s="1"/>
  <c r="BI460" i="3" s="1"/>
  <c r="BC461" i="3"/>
  <c r="BG461" i="3" s="1"/>
  <c r="BH461" i="3" s="1"/>
  <c r="BI461" i="3" s="1"/>
  <c r="AW463" i="3"/>
  <c r="AN464" i="3"/>
  <c r="AG464" i="3"/>
  <c r="AO464" i="3"/>
  <c r="AU463" i="3"/>
  <c r="BA462" i="3"/>
  <c r="AY462" i="3"/>
  <c r="BB461" i="3"/>
  <c r="BF461" i="3"/>
  <c r="BQ461" i="3"/>
  <c r="Y464" i="3"/>
  <c r="Z464" i="3" s="1"/>
  <c r="AQ465" i="3"/>
  <c r="B465" i="3"/>
  <c r="A466" i="3"/>
  <c r="AR465" i="3"/>
  <c r="D465" i="3"/>
  <c r="AK465" i="3"/>
  <c r="R465" i="3"/>
  <c r="C465" i="3"/>
  <c r="AM465" i="3"/>
  <c r="S465" i="3"/>
  <c r="Q465" i="3"/>
  <c r="P465" i="3"/>
  <c r="AD465" i="3"/>
  <c r="O465" i="3"/>
  <c r="AE465" i="3"/>
  <c r="V465" i="3"/>
  <c r="U465" i="3"/>
  <c r="AF465" i="3"/>
  <c r="M465" i="3"/>
  <c r="F465" i="3"/>
  <c r="BM465" i="3" s="1"/>
  <c r="G465" i="3"/>
  <c r="H465" i="3" s="1"/>
  <c r="T465" i="3"/>
  <c r="AT463" i="3"/>
  <c r="AX463" i="3"/>
  <c r="AV462" i="3"/>
  <c r="AH464" i="3"/>
  <c r="X464" i="3"/>
  <c r="BD461" i="3" l="1"/>
  <c r="BN465" i="3"/>
  <c r="AY463" i="3"/>
  <c r="AX464" i="3"/>
  <c r="AG465" i="3"/>
  <c r="AV463" i="3"/>
  <c r="AN465" i="3"/>
  <c r="BC462" i="3"/>
  <c r="BD462" i="3" s="1"/>
  <c r="BF462" i="3"/>
  <c r="BJ461" i="3" s="1"/>
  <c r="BK461" i="3" s="1"/>
  <c r="BB462" i="3"/>
  <c r="BQ462" i="3"/>
  <c r="BA463" i="3"/>
  <c r="AH465" i="3"/>
  <c r="Y465" i="3"/>
  <c r="Z465" i="3" s="1"/>
  <c r="X465" i="3"/>
  <c r="AO465" i="3"/>
  <c r="AT464" i="3"/>
  <c r="AW464" i="3"/>
  <c r="AQ466" i="3"/>
  <c r="B466" i="3"/>
  <c r="A467" i="3"/>
  <c r="AR466" i="3"/>
  <c r="D466" i="3"/>
  <c r="C466" i="3"/>
  <c r="AM466" i="3"/>
  <c r="Q466" i="3"/>
  <c r="AK466" i="3"/>
  <c r="S466" i="3"/>
  <c r="T466" i="3"/>
  <c r="AD466" i="3"/>
  <c r="P466" i="3"/>
  <c r="AF466" i="3"/>
  <c r="V466" i="3"/>
  <c r="O466" i="3"/>
  <c r="M466" i="3"/>
  <c r="AE466" i="3"/>
  <c r="U466" i="3"/>
  <c r="R466" i="3"/>
  <c r="G466" i="3"/>
  <c r="H466" i="3" s="1"/>
  <c r="F466" i="3"/>
  <c r="BJ460" i="3"/>
  <c r="BK460" i="3" s="1"/>
  <c r="AU464" i="3"/>
  <c r="BM466" i="3" l="1"/>
  <c r="BN466" i="3"/>
  <c r="BC463" i="3"/>
  <c r="BD463" i="3" s="1"/>
  <c r="AY464" i="3"/>
  <c r="AG466" i="3"/>
  <c r="AX465" i="3"/>
  <c r="AU465" i="3"/>
  <c r="AT465" i="3"/>
  <c r="BG462" i="3"/>
  <c r="BH462" i="3" s="1"/>
  <c r="BI462" i="3" s="1"/>
  <c r="AO466" i="3"/>
  <c r="AN466" i="3"/>
  <c r="Y466" i="3"/>
  <c r="Z466" i="3" s="1"/>
  <c r="AR467" i="3"/>
  <c r="B467" i="3"/>
  <c r="AQ467" i="3"/>
  <c r="A468" i="3"/>
  <c r="D467" i="3"/>
  <c r="AM467" i="3"/>
  <c r="S467" i="3"/>
  <c r="C467" i="3"/>
  <c r="AK467" i="3"/>
  <c r="R467" i="3"/>
  <c r="Q467" i="3"/>
  <c r="AD467" i="3"/>
  <c r="P467" i="3"/>
  <c r="M467" i="3"/>
  <c r="AE467" i="3"/>
  <c r="O467" i="3"/>
  <c r="U467" i="3"/>
  <c r="AF467" i="3"/>
  <c r="V467" i="3"/>
  <c r="G467" i="3"/>
  <c r="H467" i="3" s="1"/>
  <c r="F467" i="3"/>
  <c r="T467" i="3"/>
  <c r="AV464" i="3"/>
  <c r="BA464" i="3"/>
  <c r="AW465" i="3"/>
  <c r="BF463" i="3"/>
  <c r="BJ462" i="3" s="1"/>
  <c r="BK462" i="3" s="1"/>
  <c r="BB463" i="3"/>
  <c r="BQ463" i="3"/>
  <c r="AH466" i="3"/>
  <c r="X466" i="3"/>
  <c r="BG463" i="3" l="1"/>
  <c r="BH463" i="3" s="1"/>
  <c r="BI463" i="3" s="1"/>
  <c r="BC464" i="3"/>
  <c r="BD464" i="3" s="1"/>
  <c r="BN467" i="3"/>
  <c r="AY465" i="3"/>
  <c r="AV465" i="3"/>
  <c r="AX466" i="3"/>
  <c r="AN467" i="3"/>
  <c r="AW466" i="3"/>
  <c r="AT466" i="3"/>
  <c r="BF464" i="3"/>
  <c r="BJ463" i="3" s="1"/>
  <c r="BK463" i="3" s="1"/>
  <c r="BQ464" i="3"/>
  <c r="BB464" i="3"/>
  <c r="BA465" i="3"/>
  <c r="Y467" i="3"/>
  <c r="Z467" i="3" s="1"/>
  <c r="AU466" i="3"/>
  <c r="BM467" i="3"/>
  <c r="AG467" i="3"/>
  <c r="AO467" i="3"/>
  <c r="AQ468" i="3"/>
  <c r="AR468" i="3"/>
  <c r="B468" i="3"/>
  <c r="A469" i="3"/>
  <c r="D468" i="3"/>
  <c r="AK468" i="3"/>
  <c r="S468" i="3"/>
  <c r="C468" i="3"/>
  <c r="AM468" i="3"/>
  <c r="AD468" i="3"/>
  <c r="P468" i="3"/>
  <c r="Q468" i="3"/>
  <c r="R468" i="3"/>
  <c r="M468" i="3"/>
  <c r="O468" i="3"/>
  <c r="AE468" i="3"/>
  <c r="U468" i="3"/>
  <c r="AF468" i="3"/>
  <c r="V468" i="3"/>
  <c r="F468" i="3"/>
  <c r="BM468" i="3" s="1"/>
  <c r="G468" i="3"/>
  <c r="H468" i="3" s="1"/>
  <c r="T468" i="3"/>
  <c r="AH467" i="3"/>
  <c r="X467" i="3"/>
  <c r="BN468" i="3" l="1"/>
  <c r="BG464" i="3"/>
  <c r="BH464" i="3" s="1"/>
  <c r="BI464" i="3" s="1"/>
  <c r="AY466" i="3"/>
  <c r="BC465" i="3"/>
  <c r="BD465" i="3" s="1"/>
  <c r="AN468" i="3"/>
  <c r="AV466" i="3"/>
  <c r="Y468" i="3"/>
  <c r="Z468" i="3" s="1"/>
  <c r="AT467" i="3"/>
  <c r="AX467" i="3"/>
  <c r="BQ465" i="3"/>
  <c r="BB465" i="3"/>
  <c r="BF465" i="3"/>
  <c r="BJ464" i="3" s="1"/>
  <c r="BK464" i="3" s="1"/>
  <c r="AW467" i="3"/>
  <c r="BA466" i="3"/>
  <c r="A470" i="3"/>
  <c r="AQ469" i="3"/>
  <c r="B469" i="3"/>
  <c r="AR469" i="3"/>
  <c r="C469" i="3"/>
  <c r="D469" i="3"/>
  <c r="AM469" i="3"/>
  <c r="T469" i="3"/>
  <c r="AK469" i="3"/>
  <c r="R469" i="3"/>
  <c r="S469" i="3"/>
  <c r="AD469" i="3"/>
  <c r="AE469" i="3"/>
  <c r="M469" i="3"/>
  <c r="O469" i="3"/>
  <c r="AF469" i="3"/>
  <c r="U469" i="3"/>
  <c r="V469" i="3"/>
  <c r="P469" i="3"/>
  <c r="Q469" i="3"/>
  <c r="G469" i="3"/>
  <c r="H469" i="3" s="1"/>
  <c r="F469" i="3"/>
  <c r="AG468" i="3"/>
  <c r="AH468" i="3"/>
  <c r="X468" i="3"/>
  <c r="AO468" i="3"/>
  <c r="AU467" i="3"/>
  <c r="BC466" i="3" l="1"/>
  <c r="AO469" i="3"/>
  <c r="BN469" i="3"/>
  <c r="AG469" i="3"/>
  <c r="BG465" i="3"/>
  <c r="BH465" i="3" s="1"/>
  <c r="BI465" i="3" s="1"/>
  <c r="AY467" i="3"/>
  <c r="AW468" i="3"/>
  <c r="AT468" i="3"/>
  <c r="AX468" i="3"/>
  <c r="Y469" i="3"/>
  <c r="Z469" i="3" s="1"/>
  <c r="BF466" i="3"/>
  <c r="BJ465" i="3" s="1"/>
  <c r="BK465" i="3" s="1"/>
  <c r="BQ466" i="3"/>
  <c r="BB466" i="3"/>
  <c r="BA467" i="3"/>
  <c r="AV467" i="3"/>
  <c r="AN469" i="3"/>
  <c r="BM469" i="3"/>
  <c r="AH469" i="3"/>
  <c r="AU468" i="3"/>
  <c r="B470" i="3"/>
  <c r="A471" i="3"/>
  <c r="AQ470" i="3"/>
  <c r="AR470" i="3"/>
  <c r="D470" i="3"/>
  <c r="C470" i="3"/>
  <c r="AM470" i="3"/>
  <c r="AK470" i="3"/>
  <c r="R470" i="3"/>
  <c r="AD470" i="3"/>
  <c r="P470" i="3"/>
  <c r="S470" i="3"/>
  <c r="Q470" i="3"/>
  <c r="O470" i="3"/>
  <c r="M470" i="3"/>
  <c r="V470" i="3"/>
  <c r="AF470" i="3"/>
  <c r="AE470" i="3"/>
  <c r="G470" i="3"/>
  <c r="H470" i="3" s="1"/>
  <c r="U470" i="3"/>
  <c r="F470" i="3"/>
  <c r="T470" i="3"/>
  <c r="X469" i="3"/>
  <c r="BN470" i="3" l="1"/>
  <c r="AX469" i="3"/>
  <c r="BG466" i="3"/>
  <c r="BH466" i="3" s="1"/>
  <c r="BI466" i="3" s="1"/>
  <c r="BD466" i="3"/>
  <c r="AN470" i="3"/>
  <c r="BM470" i="3"/>
  <c r="BC467" i="3"/>
  <c r="BD467" i="3" s="1"/>
  <c r="AY468" i="3"/>
  <c r="BB467" i="3"/>
  <c r="BQ467" i="3"/>
  <c r="BF467" i="3"/>
  <c r="BJ466" i="3" s="1"/>
  <c r="BK466" i="3" s="1"/>
  <c r="B471" i="3"/>
  <c r="AQ471" i="3"/>
  <c r="AR471" i="3"/>
  <c r="A472" i="3"/>
  <c r="C471" i="3"/>
  <c r="AK471" i="3"/>
  <c r="S471" i="3"/>
  <c r="D471" i="3"/>
  <c r="AM471" i="3"/>
  <c r="T471" i="3"/>
  <c r="R471" i="3"/>
  <c r="Q471" i="3"/>
  <c r="AD471" i="3"/>
  <c r="P471" i="3"/>
  <c r="O471" i="3"/>
  <c r="M471" i="3"/>
  <c r="AE471" i="3"/>
  <c r="U471" i="3"/>
  <c r="AF471" i="3"/>
  <c r="V471" i="3"/>
  <c r="F471" i="3"/>
  <c r="BM471" i="3" s="1"/>
  <c r="G471" i="3"/>
  <c r="H471" i="3" s="1"/>
  <c r="AV468" i="3"/>
  <c r="BA468" i="3"/>
  <c r="AU469" i="3"/>
  <c r="Y470" i="3"/>
  <c r="Z470" i="3" s="1"/>
  <c r="AG470" i="3"/>
  <c r="AH470" i="3"/>
  <c r="AO470" i="3"/>
  <c r="X470" i="3"/>
  <c r="AT469" i="3"/>
  <c r="AW469" i="3"/>
  <c r="BN471" i="3" l="1"/>
  <c r="BC468" i="3"/>
  <c r="BG468" i="3" s="1"/>
  <c r="BH468" i="3" s="1"/>
  <c r="BI468" i="3" s="1"/>
  <c r="AV469" i="3"/>
  <c r="BG467" i="3"/>
  <c r="BH467" i="3" s="1"/>
  <c r="BI467" i="3" s="1"/>
  <c r="AG471" i="3"/>
  <c r="AN471" i="3"/>
  <c r="AX470" i="3"/>
  <c r="BA469" i="3"/>
  <c r="AY469" i="3"/>
  <c r="AT470" i="3"/>
  <c r="AW470" i="3"/>
  <c r="BQ468" i="3"/>
  <c r="BF468" i="3"/>
  <c r="BJ467" i="3" s="1"/>
  <c r="BK467" i="3" s="1"/>
  <c r="BB468" i="3"/>
  <c r="Y471" i="3"/>
  <c r="Z471" i="3" s="1"/>
  <c r="AR472" i="3"/>
  <c r="B472" i="3"/>
  <c r="AQ472" i="3"/>
  <c r="A473" i="3"/>
  <c r="D472" i="3"/>
  <c r="C472" i="3"/>
  <c r="S472" i="3"/>
  <c r="AM472" i="3"/>
  <c r="AK472" i="3"/>
  <c r="T472" i="3"/>
  <c r="Q472" i="3"/>
  <c r="R472" i="3"/>
  <c r="P472" i="3"/>
  <c r="AD472" i="3"/>
  <c r="O472" i="3"/>
  <c r="AF472" i="3"/>
  <c r="AE472" i="3"/>
  <c r="M472" i="3"/>
  <c r="U472" i="3"/>
  <c r="V472" i="3"/>
  <c r="G472" i="3"/>
  <c r="H472" i="3" s="1"/>
  <c r="BN472" i="3" s="1"/>
  <c r="F472" i="3"/>
  <c r="AU470" i="3"/>
  <c r="AH471" i="3"/>
  <c r="AO471" i="3"/>
  <c r="X471" i="3"/>
  <c r="BM472" i="3" l="1"/>
  <c r="BD468" i="3"/>
  <c r="BC469" i="3"/>
  <c r="BG469" i="3" s="1"/>
  <c r="BH469" i="3" s="1"/>
  <c r="BI469" i="3" s="1"/>
  <c r="AY470" i="3"/>
  <c r="AO472" i="3"/>
  <c r="AX471" i="3"/>
  <c r="AG472" i="3"/>
  <c r="Y472" i="3"/>
  <c r="Z472" i="3" s="1"/>
  <c r="AQ473" i="3"/>
  <c r="B473" i="3"/>
  <c r="A474" i="3"/>
  <c r="AR473" i="3"/>
  <c r="C473" i="3"/>
  <c r="D473" i="3"/>
  <c r="AM473" i="3"/>
  <c r="AK473" i="3"/>
  <c r="T473" i="3"/>
  <c r="S473" i="3"/>
  <c r="AD473" i="3"/>
  <c r="P473" i="3"/>
  <c r="Q473" i="3"/>
  <c r="O473" i="3"/>
  <c r="AE473" i="3"/>
  <c r="M473" i="3"/>
  <c r="V473" i="3"/>
  <c r="AF473" i="3"/>
  <c r="U473" i="3"/>
  <c r="R473" i="3"/>
  <c r="G473" i="3"/>
  <c r="H473" i="3" s="1"/>
  <c r="F473" i="3"/>
  <c r="BA470" i="3"/>
  <c r="AV470" i="3"/>
  <c r="BC470" i="3" s="1"/>
  <c r="BF469" i="3"/>
  <c r="BJ468" i="3" s="1"/>
  <c r="BK468" i="3" s="1"/>
  <c r="BQ469" i="3"/>
  <c r="BB469" i="3"/>
  <c r="AW471" i="3"/>
  <c r="AH472" i="3"/>
  <c r="AN472" i="3"/>
  <c r="X472" i="3"/>
  <c r="AT471" i="3"/>
  <c r="AU471" i="3"/>
  <c r="BD469" i="3" l="1"/>
  <c r="AU472" i="3"/>
  <c r="AY471" i="3"/>
  <c r="BN473" i="3"/>
  <c r="BM473" i="3"/>
  <c r="AO473" i="3"/>
  <c r="BA471" i="3"/>
  <c r="BF471" i="3" s="1"/>
  <c r="BQ470" i="3"/>
  <c r="BB470" i="3"/>
  <c r="BF470" i="3"/>
  <c r="BJ469" i="3" s="1"/>
  <c r="BK469" i="3" s="1"/>
  <c r="AQ474" i="3"/>
  <c r="B474" i="3"/>
  <c r="A475" i="3"/>
  <c r="AR474" i="3"/>
  <c r="C474" i="3"/>
  <c r="AM474" i="3"/>
  <c r="T474" i="3"/>
  <c r="S474" i="3"/>
  <c r="D474" i="3"/>
  <c r="AK474" i="3"/>
  <c r="Q474" i="3"/>
  <c r="R474" i="3"/>
  <c r="AD474" i="3"/>
  <c r="O474" i="3"/>
  <c r="AE474" i="3"/>
  <c r="M474" i="3"/>
  <c r="AF474" i="3"/>
  <c r="P474" i="3"/>
  <c r="U474" i="3"/>
  <c r="V474" i="3"/>
  <c r="F474" i="3"/>
  <c r="BM474" i="3" s="1"/>
  <c r="G474" i="3"/>
  <c r="H474" i="3" s="1"/>
  <c r="AX472" i="3"/>
  <c r="AT472" i="3"/>
  <c r="AG473" i="3"/>
  <c r="AH473" i="3"/>
  <c r="AN473" i="3"/>
  <c r="X473" i="3"/>
  <c r="BD470" i="3"/>
  <c r="BG470" i="3"/>
  <c r="BH470" i="3" s="1"/>
  <c r="BI470" i="3" s="1"/>
  <c r="Y473" i="3"/>
  <c r="Z473" i="3" s="1"/>
  <c r="AV471" i="3"/>
  <c r="AW472" i="3"/>
  <c r="AO474" i="3" l="1"/>
  <c r="BC471" i="3"/>
  <c r="BD471" i="3" s="1"/>
  <c r="BQ471" i="3"/>
  <c r="BN474" i="3"/>
  <c r="BB471" i="3"/>
  <c r="AU473" i="3"/>
  <c r="AT473" i="3"/>
  <c r="BJ470" i="3"/>
  <c r="BK470" i="3" s="1"/>
  <c r="AW473" i="3"/>
  <c r="BA472" i="3"/>
  <c r="AV472" i="3"/>
  <c r="AY472" i="3"/>
  <c r="AX473" i="3"/>
  <c r="AN474" i="3"/>
  <c r="Y474" i="3"/>
  <c r="Z474" i="3" s="1"/>
  <c r="AR475" i="3"/>
  <c r="B475" i="3"/>
  <c r="AQ475" i="3"/>
  <c r="A476" i="3"/>
  <c r="C475" i="3"/>
  <c r="D475" i="3"/>
  <c r="AK475" i="3"/>
  <c r="AM475" i="3"/>
  <c r="S475" i="3"/>
  <c r="R475" i="3"/>
  <c r="Q475" i="3"/>
  <c r="AD475" i="3"/>
  <c r="P475" i="3"/>
  <c r="O475" i="3"/>
  <c r="AF475" i="3"/>
  <c r="M475" i="3"/>
  <c r="AE475" i="3"/>
  <c r="V475" i="3"/>
  <c r="U475" i="3"/>
  <c r="G475" i="3"/>
  <c r="H475" i="3" s="1"/>
  <c r="F475" i="3"/>
  <c r="BM475" i="3" s="1"/>
  <c r="T475" i="3"/>
  <c r="AG474" i="3"/>
  <c r="AH474" i="3"/>
  <c r="X474" i="3"/>
  <c r="BN475" i="3" l="1"/>
  <c r="BG471" i="3"/>
  <c r="BH471" i="3" s="1"/>
  <c r="BI471" i="3" s="1"/>
  <c r="AV473" i="3"/>
  <c r="AO475" i="3"/>
  <c r="AW474" i="3"/>
  <c r="AG475" i="3"/>
  <c r="Y475" i="3"/>
  <c r="Z475" i="3" s="1"/>
  <c r="BA473" i="3"/>
  <c r="BF473" i="3" s="1"/>
  <c r="BF472" i="3"/>
  <c r="BJ471" i="3" s="1"/>
  <c r="BK471" i="3" s="1"/>
  <c r="BB472" i="3"/>
  <c r="BQ472" i="3"/>
  <c r="X475" i="3"/>
  <c r="AY473" i="3"/>
  <c r="B476" i="3"/>
  <c r="AQ476" i="3"/>
  <c r="AR476" i="3"/>
  <c r="A477" i="3"/>
  <c r="D476" i="3"/>
  <c r="AM476" i="3"/>
  <c r="C476" i="3"/>
  <c r="AK476" i="3"/>
  <c r="T476" i="3"/>
  <c r="S476" i="3"/>
  <c r="AD476" i="3"/>
  <c r="Q476" i="3"/>
  <c r="P476" i="3"/>
  <c r="O476" i="3"/>
  <c r="M476" i="3"/>
  <c r="V476" i="3"/>
  <c r="U476" i="3"/>
  <c r="AE476" i="3"/>
  <c r="AF476" i="3"/>
  <c r="R476" i="3"/>
  <c r="G476" i="3"/>
  <c r="H476" i="3" s="1"/>
  <c r="BN476" i="3" s="1"/>
  <c r="F476" i="3"/>
  <c r="AU474" i="3"/>
  <c r="AX474" i="3"/>
  <c r="AH475" i="3"/>
  <c r="AN475" i="3"/>
  <c r="AT474" i="3"/>
  <c r="BC472" i="3"/>
  <c r="BC473" i="3" l="1"/>
  <c r="BD473" i="3" s="1"/>
  <c r="AO476" i="3"/>
  <c r="BM476" i="3"/>
  <c r="BB473" i="3"/>
  <c r="AY474" i="3"/>
  <c r="AW475" i="3"/>
  <c r="BQ473" i="3"/>
  <c r="AV474" i="3"/>
  <c r="BA474" i="3"/>
  <c r="AQ477" i="3"/>
  <c r="B477" i="3"/>
  <c r="A478" i="3"/>
  <c r="AR477" i="3"/>
  <c r="C477" i="3"/>
  <c r="D477" i="3"/>
  <c r="AK477" i="3"/>
  <c r="AM477" i="3"/>
  <c r="S477" i="3"/>
  <c r="Q477" i="3"/>
  <c r="R477" i="3"/>
  <c r="AD477" i="3"/>
  <c r="P477" i="3"/>
  <c r="M477" i="3"/>
  <c r="AE477" i="3"/>
  <c r="AF477" i="3"/>
  <c r="U477" i="3"/>
  <c r="O477" i="3"/>
  <c r="V477" i="3"/>
  <c r="G477" i="3"/>
  <c r="H477" i="3" s="1"/>
  <c r="F477" i="3"/>
  <c r="BM477" i="3" s="1"/>
  <c r="T477" i="3"/>
  <c r="AG476" i="3"/>
  <c r="AN476" i="3"/>
  <c r="AU475" i="3"/>
  <c r="BJ472" i="3"/>
  <c r="BK472" i="3" s="1"/>
  <c r="BD472" i="3"/>
  <c r="BG472" i="3"/>
  <c r="BH472" i="3" s="1"/>
  <c r="BI472" i="3" s="1"/>
  <c r="Y476" i="3"/>
  <c r="Z476" i="3" s="1"/>
  <c r="AX475" i="3"/>
  <c r="AH476" i="3"/>
  <c r="X476" i="3"/>
  <c r="AT475" i="3"/>
  <c r="BN477" i="3" l="1"/>
  <c r="BG473" i="3"/>
  <c r="BH473" i="3" s="1"/>
  <c r="BI473" i="3" s="1"/>
  <c r="AX476" i="3"/>
  <c r="AY475" i="3"/>
  <c r="AN477" i="3"/>
  <c r="BC474" i="3"/>
  <c r="BD474" i="3" s="1"/>
  <c r="Y477" i="3"/>
  <c r="Z477" i="3" s="1"/>
  <c r="AV475" i="3"/>
  <c r="BA475" i="3"/>
  <c r="AT476" i="3"/>
  <c r="AW476" i="3"/>
  <c r="BF474" i="3"/>
  <c r="BJ473" i="3" s="1"/>
  <c r="BK473" i="3" s="1"/>
  <c r="BB474" i="3"/>
  <c r="BQ474" i="3"/>
  <c r="B478" i="3"/>
  <c r="A479" i="3"/>
  <c r="AQ478" i="3"/>
  <c r="AR478" i="3"/>
  <c r="C478" i="3"/>
  <c r="D478" i="3"/>
  <c r="S478" i="3"/>
  <c r="R478" i="3"/>
  <c r="AK478" i="3"/>
  <c r="AM478" i="3"/>
  <c r="Q478" i="3"/>
  <c r="AD478" i="3"/>
  <c r="P478" i="3"/>
  <c r="O478" i="3"/>
  <c r="AE478" i="3"/>
  <c r="AF478" i="3"/>
  <c r="M478" i="3"/>
  <c r="V478" i="3"/>
  <c r="U478" i="3"/>
  <c r="G478" i="3"/>
  <c r="H478" i="3" s="1"/>
  <c r="F478" i="3"/>
  <c r="BM478" i="3" s="1"/>
  <c r="T478" i="3"/>
  <c r="AU476" i="3"/>
  <c r="AH477" i="3"/>
  <c r="AG477" i="3"/>
  <c r="AO477" i="3"/>
  <c r="X477" i="3"/>
  <c r="AY476" i="3" l="1"/>
  <c r="BN478" i="3"/>
  <c r="BC475" i="3"/>
  <c r="BD475" i="3" s="1"/>
  <c r="AO478" i="3"/>
  <c r="BG474" i="3"/>
  <c r="BH474" i="3" s="1"/>
  <c r="BI474" i="3" s="1"/>
  <c r="AU477" i="3"/>
  <c r="AG478" i="3"/>
  <c r="BB475" i="3"/>
  <c r="BF475" i="3"/>
  <c r="BJ474" i="3" s="1"/>
  <c r="BK474" i="3" s="1"/>
  <c r="BQ475" i="3"/>
  <c r="AR479" i="3"/>
  <c r="B479" i="3"/>
  <c r="AQ479" i="3"/>
  <c r="A480" i="3"/>
  <c r="C479" i="3"/>
  <c r="AM479" i="3"/>
  <c r="S479" i="3"/>
  <c r="D479" i="3"/>
  <c r="AK479" i="3"/>
  <c r="Q479" i="3"/>
  <c r="AD479" i="3"/>
  <c r="P479" i="3"/>
  <c r="O479" i="3"/>
  <c r="AF479" i="3"/>
  <c r="M479" i="3"/>
  <c r="AE479" i="3"/>
  <c r="U479" i="3"/>
  <c r="V479" i="3"/>
  <c r="R479" i="3"/>
  <c r="G479" i="3"/>
  <c r="H479" i="3" s="1"/>
  <c r="BN479" i="3" s="1"/>
  <c r="F479" i="3"/>
  <c r="BM479" i="3" s="1"/>
  <c r="T479" i="3"/>
  <c r="AV476" i="3"/>
  <c r="BA476" i="3"/>
  <c r="X478" i="3"/>
  <c r="AW477" i="3"/>
  <c r="AT477" i="3"/>
  <c r="AX477" i="3"/>
  <c r="Y478" i="3"/>
  <c r="Z478" i="3" s="1"/>
  <c r="AH478" i="3"/>
  <c r="AN478" i="3"/>
  <c r="BC476" i="3" l="1"/>
  <c r="BD476" i="3" s="1"/>
  <c r="BG475" i="3"/>
  <c r="BH475" i="3" s="1"/>
  <c r="BI475" i="3" s="1"/>
  <c r="AO479" i="3"/>
  <c r="AX478" i="3"/>
  <c r="AH479" i="3"/>
  <c r="AV477" i="3"/>
  <c r="BA477" i="3"/>
  <c r="BQ476" i="3"/>
  <c r="BF476" i="3"/>
  <c r="BJ475" i="3" s="1"/>
  <c r="BK475" i="3" s="1"/>
  <c r="BB476" i="3"/>
  <c r="B480" i="3"/>
  <c r="AQ480" i="3"/>
  <c r="AR480" i="3"/>
  <c r="A481" i="3"/>
  <c r="C480" i="3"/>
  <c r="D480" i="3"/>
  <c r="AK480" i="3"/>
  <c r="Q480" i="3"/>
  <c r="AM480" i="3"/>
  <c r="R480" i="3"/>
  <c r="S480" i="3"/>
  <c r="AD480" i="3"/>
  <c r="P480" i="3"/>
  <c r="O480" i="3"/>
  <c r="AE480" i="3"/>
  <c r="V480" i="3"/>
  <c r="M480" i="3"/>
  <c r="AF480" i="3"/>
  <c r="U480" i="3"/>
  <c r="F480" i="3"/>
  <c r="G480" i="3"/>
  <c r="H480" i="3" s="1"/>
  <c r="T480" i="3"/>
  <c r="AT478" i="3"/>
  <c r="Y479" i="3"/>
  <c r="Z479" i="3" s="1"/>
  <c r="AG479" i="3"/>
  <c r="AN479" i="3"/>
  <c r="AY477" i="3"/>
  <c r="AU478" i="3"/>
  <c r="AW478" i="3"/>
  <c r="X479" i="3"/>
  <c r="BG476" i="3" l="1"/>
  <c r="BH476" i="3" s="1"/>
  <c r="BI476" i="3" s="1"/>
  <c r="AN480" i="3"/>
  <c r="BN480" i="3"/>
  <c r="AY478" i="3"/>
  <c r="BC477" i="3"/>
  <c r="BD477" i="3" s="1"/>
  <c r="AG480" i="3"/>
  <c r="AX479" i="3"/>
  <c r="AU479" i="3"/>
  <c r="AW479" i="3"/>
  <c r="AV478" i="3"/>
  <c r="BA478" i="3"/>
  <c r="AQ481" i="3"/>
  <c r="B481" i="3"/>
  <c r="A482" i="3"/>
  <c r="AR481" i="3"/>
  <c r="D481" i="3"/>
  <c r="AM481" i="3"/>
  <c r="S481" i="3"/>
  <c r="Q481" i="3"/>
  <c r="C481" i="3"/>
  <c r="AK481" i="3"/>
  <c r="R481" i="3"/>
  <c r="T481" i="3"/>
  <c r="AD481" i="3"/>
  <c r="P481" i="3"/>
  <c r="M481" i="3"/>
  <c r="AE481" i="3"/>
  <c r="O481" i="3"/>
  <c r="AF481" i="3"/>
  <c r="V481" i="3"/>
  <c r="U481" i="3"/>
  <c r="G481" i="3"/>
  <c r="H481" i="3" s="1"/>
  <c r="BN481" i="3" s="1"/>
  <c r="F481" i="3"/>
  <c r="AO480" i="3"/>
  <c r="X480" i="3"/>
  <c r="AT479" i="3"/>
  <c r="Y480" i="3"/>
  <c r="Z480" i="3" s="1"/>
  <c r="BM480" i="3"/>
  <c r="AH480" i="3"/>
  <c r="BF477" i="3"/>
  <c r="BJ476" i="3" s="1"/>
  <c r="BK476" i="3" s="1"/>
  <c r="BB477" i="3"/>
  <c r="BQ477" i="3"/>
  <c r="AO481" i="3" l="1"/>
  <c r="AY479" i="3"/>
  <c r="BC478" i="3"/>
  <c r="BG478" i="3" s="1"/>
  <c r="BH478" i="3" s="1"/>
  <c r="BI478" i="3" s="1"/>
  <c r="AU480" i="3"/>
  <c r="BM481" i="3"/>
  <c r="BG477" i="3"/>
  <c r="BH477" i="3" s="1"/>
  <c r="BI477" i="3" s="1"/>
  <c r="AT480" i="3"/>
  <c r="Y481" i="3"/>
  <c r="Z481" i="3" s="1"/>
  <c r="B482" i="3"/>
  <c r="A483" i="3"/>
  <c r="AQ482" i="3"/>
  <c r="AR482" i="3"/>
  <c r="C482" i="3"/>
  <c r="AM482" i="3"/>
  <c r="S482" i="3"/>
  <c r="R482" i="3"/>
  <c r="D482" i="3"/>
  <c r="AK482" i="3"/>
  <c r="Q482" i="3"/>
  <c r="AD482" i="3"/>
  <c r="P482" i="3"/>
  <c r="M482" i="3"/>
  <c r="AF482" i="3"/>
  <c r="O482" i="3"/>
  <c r="AE482" i="3"/>
  <c r="V482" i="3"/>
  <c r="U482" i="3"/>
  <c r="F482" i="3"/>
  <c r="G482" i="3"/>
  <c r="H482" i="3" s="1"/>
  <c r="BN482" i="3" s="1"/>
  <c r="T482" i="3"/>
  <c r="BD478" i="3"/>
  <c r="AX480" i="3"/>
  <c r="AW480" i="3"/>
  <c r="AH481" i="3"/>
  <c r="X481" i="3"/>
  <c r="AV479" i="3"/>
  <c r="BA479" i="3"/>
  <c r="BQ478" i="3"/>
  <c r="BF478" i="3"/>
  <c r="BJ477" i="3" s="1"/>
  <c r="BK477" i="3" s="1"/>
  <c r="BB478" i="3"/>
  <c r="AG481" i="3"/>
  <c r="AN481" i="3"/>
  <c r="BC479" i="3" l="1"/>
  <c r="BD479" i="3" s="1"/>
  <c r="AO482" i="3"/>
  <c r="AV480" i="3"/>
  <c r="BM482" i="3"/>
  <c r="AT481" i="3"/>
  <c r="Y482" i="3"/>
  <c r="Z482" i="3" s="1"/>
  <c r="AH482" i="3"/>
  <c r="AY480" i="3"/>
  <c r="AG482" i="3"/>
  <c r="BF479" i="3"/>
  <c r="BJ478" i="3" s="1"/>
  <c r="BK478" i="3" s="1"/>
  <c r="BB479" i="3"/>
  <c r="BQ479" i="3"/>
  <c r="AW481" i="3"/>
  <c r="AU481" i="3"/>
  <c r="AX481" i="3"/>
  <c r="X482" i="3"/>
  <c r="BA480" i="3"/>
  <c r="AR483" i="3"/>
  <c r="B483" i="3"/>
  <c r="AQ483" i="3"/>
  <c r="A484" i="3"/>
  <c r="C483" i="3"/>
  <c r="AK483" i="3"/>
  <c r="T483" i="3"/>
  <c r="Q483" i="3"/>
  <c r="D483" i="3"/>
  <c r="AM483" i="3"/>
  <c r="R483" i="3"/>
  <c r="AD483" i="3"/>
  <c r="S483" i="3"/>
  <c r="P483" i="3"/>
  <c r="O483" i="3"/>
  <c r="AF483" i="3"/>
  <c r="AE483" i="3"/>
  <c r="V483" i="3"/>
  <c r="M483" i="3"/>
  <c r="U483" i="3"/>
  <c r="G483" i="3"/>
  <c r="H483" i="3" s="1"/>
  <c r="BN483" i="3" s="1"/>
  <c r="F483" i="3"/>
  <c r="AN482" i="3"/>
  <c r="BG479" i="3" l="1"/>
  <c r="BH479" i="3" s="1"/>
  <c r="BI479" i="3" s="1"/>
  <c r="AU482" i="3"/>
  <c r="AT482" i="3"/>
  <c r="AN483" i="3"/>
  <c r="BC480" i="3"/>
  <c r="BD480" i="3" s="1"/>
  <c r="BM483" i="3"/>
  <c r="AW482" i="3"/>
  <c r="AG483" i="3"/>
  <c r="BA481" i="3"/>
  <c r="BQ481" i="3" s="1"/>
  <c r="B484" i="3"/>
  <c r="AQ484" i="3"/>
  <c r="AR484" i="3"/>
  <c r="A485" i="3"/>
  <c r="C484" i="3"/>
  <c r="D484" i="3"/>
  <c r="AM484" i="3"/>
  <c r="T484" i="3"/>
  <c r="AK484" i="3"/>
  <c r="S484" i="3"/>
  <c r="R484" i="3"/>
  <c r="Q484" i="3"/>
  <c r="AD484" i="3"/>
  <c r="P484" i="3"/>
  <c r="O484" i="3"/>
  <c r="M484" i="3"/>
  <c r="AE484" i="3"/>
  <c r="V484" i="3"/>
  <c r="AF484" i="3"/>
  <c r="U484" i="3"/>
  <c r="G484" i="3"/>
  <c r="H484" i="3" s="1"/>
  <c r="F484" i="3"/>
  <c r="BQ480" i="3"/>
  <c r="BF480" i="3"/>
  <c r="BJ479" i="3" s="1"/>
  <c r="BK479" i="3" s="1"/>
  <c r="BB480" i="3"/>
  <c r="AH483" i="3"/>
  <c r="AO483" i="3"/>
  <c r="AX482" i="3"/>
  <c r="AV481" i="3"/>
  <c r="Y483" i="3"/>
  <c r="Z483" i="3" s="1"/>
  <c r="X483" i="3"/>
  <c r="AY481" i="3"/>
  <c r="AV482" i="3" l="1"/>
  <c r="AY482" i="3"/>
  <c r="BG480" i="3"/>
  <c r="BH480" i="3" s="1"/>
  <c r="BI480" i="3" s="1"/>
  <c r="BN484" i="3"/>
  <c r="BM484" i="3"/>
  <c r="AT483" i="3"/>
  <c r="AW483" i="3"/>
  <c r="AU483" i="3"/>
  <c r="AX483" i="3"/>
  <c r="BC481" i="3"/>
  <c r="BG481" i="3" s="1"/>
  <c r="BH481" i="3" s="1"/>
  <c r="BI481" i="3" s="1"/>
  <c r="BF481" i="3"/>
  <c r="BJ480" i="3" s="1"/>
  <c r="BK480" i="3" s="1"/>
  <c r="BB481" i="3"/>
  <c r="BA482" i="3"/>
  <c r="BF482" i="3" s="1"/>
  <c r="AO484" i="3"/>
  <c r="AN484" i="3"/>
  <c r="AG484" i="3"/>
  <c r="AH484" i="3"/>
  <c r="X484" i="3"/>
  <c r="Y484" i="3"/>
  <c r="Z484" i="3" s="1"/>
  <c r="AQ485" i="3"/>
  <c r="B485" i="3"/>
  <c r="A486" i="3"/>
  <c r="AR485" i="3"/>
  <c r="D485" i="3"/>
  <c r="C485" i="3"/>
  <c r="AK485" i="3"/>
  <c r="S485" i="3"/>
  <c r="R485" i="3"/>
  <c r="AM485" i="3"/>
  <c r="Q485" i="3"/>
  <c r="AD485" i="3"/>
  <c r="P485" i="3"/>
  <c r="AE485" i="3"/>
  <c r="M485" i="3"/>
  <c r="U485" i="3"/>
  <c r="O485" i="3"/>
  <c r="AF485" i="3"/>
  <c r="V485" i="3"/>
  <c r="G485" i="3"/>
  <c r="H485" i="3" s="1"/>
  <c r="F485" i="3"/>
  <c r="T485" i="3"/>
  <c r="BC482" i="3" l="1"/>
  <c r="BG482" i="3" s="1"/>
  <c r="BH482" i="3" s="1"/>
  <c r="BI482" i="3" s="1"/>
  <c r="AY483" i="3"/>
  <c r="BJ481" i="3"/>
  <c r="BK481" i="3" s="1"/>
  <c r="BD481" i="3"/>
  <c r="BM485" i="3"/>
  <c r="BA483" i="3"/>
  <c r="BF483" i="3" s="1"/>
  <c r="BJ482" i="3" s="1"/>
  <c r="BK482" i="3" s="1"/>
  <c r="AV483" i="3"/>
  <c r="AO485" i="3"/>
  <c r="AT484" i="3"/>
  <c r="AU484" i="3"/>
  <c r="BQ482" i="3"/>
  <c r="BB482" i="3"/>
  <c r="B486" i="3"/>
  <c r="A487" i="3"/>
  <c r="AQ486" i="3"/>
  <c r="AR486" i="3"/>
  <c r="D486" i="3"/>
  <c r="C486" i="3"/>
  <c r="AM486" i="3"/>
  <c r="AK486" i="3"/>
  <c r="T486" i="3"/>
  <c r="S486" i="3"/>
  <c r="R486" i="3"/>
  <c r="AD486" i="3"/>
  <c r="P486" i="3"/>
  <c r="O486" i="3"/>
  <c r="M486" i="3"/>
  <c r="AE486" i="3"/>
  <c r="U486" i="3"/>
  <c r="AF486" i="3"/>
  <c r="V486" i="3"/>
  <c r="G486" i="3"/>
  <c r="H486" i="3" s="1"/>
  <c r="Q486" i="3"/>
  <c r="F486" i="3"/>
  <c r="BM486" i="3" s="1"/>
  <c r="Y485" i="3"/>
  <c r="Z485" i="3" s="1"/>
  <c r="BN485" i="3"/>
  <c r="AG485" i="3"/>
  <c r="AH485" i="3"/>
  <c r="AN485" i="3"/>
  <c r="X485" i="3"/>
  <c r="AX484" i="3"/>
  <c r="AW484" i="3"/>
  <c r="BC483" i="3" l="1"/>
  <c r="BG483" i="3" s="1"/>
  <c r="BH483" i="3" s="1"/>
  <c r="BI483" i="3" s="1"/>
  <c r="BD482" i="3"/>
  <c r="AH486" i="3"/>
  <c r="AO486" i="3"/>
  <c r="BN486" i="3"/>
  <c r="BQ483" i="3"/>
  <c r="BB483" i="3"/>
  <c r="AV484" i="3"/>
  <c r="AY484" i="3"/>
  <c r="AW485" i="3"/>
  <c r="AU485" i="3"/>
  <c r="AT485" i="3"/>
  <c r="AR487" i="3"/>
  <c r="B487" i="3"/>
  <c r="AQ487" i="3"/>
  <c r="A488" i="3"/>
  <c r="D487" i="3"/>
  <c r="AK487" i="3"/>
  <c r="S487" i="3"/>
  <c r="C487" i="3"/>
  <c r="AM487" i="3"/>
  <c r="R487" i="3"/>
  <c r="Q487" i="3"/>
  <c r="P487" i="3"/>
  <c r="AD487" i="3"/>
  <c r="AE487" i="3"/>
  <c r="AF487" i="3"/>
  <c r="V487" i="3"/>
  <c r="O487" i="3"/>
  <c r="M487" i="3"/>
  <c r="U487" i="3"/>
  <c r="G487" i="3"/>
  <c r="H487" i="3" s="1"/>
  <c r="F487" i="3"/>
  <c r="T487" i="3"/>
  <c r="AG486" i="3"/>
  <c r="X486" i="3"/>
  <c r="BA484" i="3"/>
  <c r="Y486" i="3"/>
  <c r="Z486" i="3" s="1"/>
  <c r="AX485" i="3"/>
  <c r="AN486" i="3"/>
  <c r="AU486" i="3" l="1"/>
  <c r="AT486" i="3"/>
  <c r="BD483" i="3"/>
  <c r="BC484" i="3"/>
  <c r="BG484" i="3" s="1"/>
  <c r="BH484" i="3" s="1"/>
  <c r="BI484" i="3" s="1"/>
  <c r="BM487" i="3"/>
  <c r="AY485" i="3"/>
  <c r="AN487" i="3"/>
  <c r="Y487" i="3"/>
  <c r="Z487" i="3" s="1"/>
  <c r="BN487" i="3"/>
  <c r="AX486" i="3"/>
  <c r="AV485" i="3"/>
  <c r="BA485" i="3"/>
  <c r="AW486" i="3"/>
  <c r="AH487" i="3"/>
  <c r="BQ484" i="3"/>
  <c r="BB484" i="3"/>
  <c r="BF484" i="3"/>
  <c r="BJ483" i="3" s="1"/>
  <c r="BK483" i="3" s="1"/>
  <c r="B488" i="3"/>
  <c r="AQ488" i="3"/>
  <c r="AR488" i="3"/>
  <c r="A489" i="3"/>
  <c r="C488" i="3"/>
  <c r="D488" i="3"/>
  <c r="AK488" i="3"/>
  <c r="S488" i="3"/>
  <c r="R488" i="3"/>
  <c r="AM488" i="3"/>
  <c r="Q488" i="3"/>
  <c r="AD488" i="3"/>
  <c r="P488" i="3"/>
  <c r="O488" i="3"/>
  <c r="M488" i="3"/>
  <c r="AF488" i="3"/>
  <c r="U488" i="3"/>
  <c r="V488" i="3"/>
  <c r="AE488" i="3"/>
  <c r="F488" i="3"/>
  <c r="G488" i="3"/>
  <c r="H488" i="3" s="1"/>
  <c r="T488" i="3"/>
  <c r="AG487" i="3"/>
  <c r="X487" i="3"/>
  <c r="AO487" i="3"/>
  <c r="BD484" i="3" l="1"/>
  <c r="AV486" i="3"/>
  <c r="BC485" i="3"/>
  <c r="BD485" i="3" s="1"/>
  <c r="BM488" i="3"/>
  <c r="Y488" i="3"/>
  <c r="Z488" i="3" s="1"/>
  <c r="AN488" i="3"/>
  <c r="AY486" i="3"/>
  <c r="AT487" i="3"/>
  <c r="BA486" i="3"/>
  <c r="BB486" i="3" s="1"/>
  <c r="BB485" i="3"/>
  <c r="BF485" i="3"/>
  <c r="BJ484" i="3" s="1"/>
  <c r="BK484" i="3" s="1"/>
  <c r="BQ485" i="3"/>
  <c r="AH488" i="3"/>
  <c r="BN488" i="3"/>
  <c r="AG488" i="3"/>
  <c r="AO488" i="3"/>
  <c r="X488" i="3"/>
  <c r="AQ489" i="3"/>
  <c r="B489" i="3"/>
  <c r="A490" i="3"/>
  <c r="AR489" i="3"/>
  <c r="D489" i="3"/>
  <c r="S489" i="3"/>
  <c r="R489" i="3"/>
  <c r="C489" i="3"/>
  <c r="AM489" i="3"/>
  <c r="AK489" i="3"/>
  <c r="Q489" i="3"/>
  <c r="AD489" i="3"/>
  <c r="P489" i="3"/>
  <c r="AE489" i="3"/>
  <c r="M489" i="3"/>
  <c r="U489" i="3"/>
  <c r="O489" i="3"/>
  <c r="AF489" i="3"/>
  <c r="V489" i="3"/>
  <c r="F489" i="3"/>
  <c r="BM489" i="3" s="1"/>
  <c r="G489" i="3"/>
  <c r="H489" i="3" s="1"/>
  <c r="T489" i="3"/>
  <c r="AW487" i="3"/>
  <c r="AU487" i="3"/>
  <c r="AX487" i="3"/>
  <c r="BN489" i="3" l="1"/>
  <c r="BG485" i="3"/>
  <c r="BH485" i="3" s="1"/>
  <c r="BI485" i="3" s="1"/>
  <c r="BC486" i="3"/>
  <c r="BD486" i="3" s="1"/>
  <c r="AO489" i="3"/>
  <c r="AV487" i="3"/>
  <c r="AH489" i="3"/>
  <c r="AT488" i="3"/>
  <c r="BQ486" i="3"/>
  <c r="BF486" i="3"/>
  <c r="BJ485" i="3" s="1"/>
  <c r="BK485" i="3" s="1"/>
  <c r="AY487" i="3"/>
  <c r="Y489" i="3"/>
  <c r="Z489" i="3" s="1"/>
  <c r="AG489" i="3"/>
  <c r="X489" i="3"/>
  <c r="AX488" i="3"/>
  <c r="BA487" i="3"/>
  <c r="B490" i="3"/>
  <c r="A491" i="3"/>
  <c r="AQ490" i="3"/>
  <c r="AR490" i="3"/>
  <c r="D490" i="3"/>
  <c r="AK490" i="3"/>
  <c r="AM490" i="3"/>
  <c r="R490" i="3"/>
  <c r="C490" i="3"/>
  <c r="Q490" i="3"/>
  <c r="AD490" i="3"/>
  <c r="S490" i="3"/>
  <c r="P490" i="3"/>
  <c r="O490" i="3"/>
  <c r="AE490" i="3"/>
  <c r="AF490" i="3"/>
  <c r="V490" i="3"/>
  <c r="U490" i="3"/>
  <c r="M490" i="3"/>
  <c r="F490" i="3"/>
  <c r="G490" i="3"/>
  <c r="H490" i="3" s="1"/>
  <c r="BN490" i="3" s="1"/>
  <c r="T490" i="3"/>
  <c r="AN489" i="3"/>
  <c r="AW488" i="3"/>
  <c r="AU488" i="3"/>
  <c r="BG486" i="3" l="1"/>
  <c r="BH486" i="3" s="1"/>
  <c r="BI486" i="3" s="1"/>
  <c r="AU489" i="3"/>
  <c r="BC487" i="3"/>
  <c r="BD487" i="3" s="1"/>
  <c r="BM490" i="3"/>
  <c r="AT489" i="3"/>
  <c r="AY488" i="3"/>
  <c r="AO490" i="3"/>
  <c r="AX489" i="3"/>
  <c r="Y490" i="3"/>
  <c r="Z490" i="3" s="1"/>
  <c r="BA488" i="3"/>
  <c r="BQ488" i="3" s="1"/>
  <c r="AG490" i="3"/>
  <c r="AH490" i="3"/>
  <c r="X490" i="3"/>
  <c r="AN490" i="3"/>
  <c r="AV488" i="3"/>
  <c r="AR491" i="3"/>
  <c r="B491" i="3"/>
  <c r="AQ491" i="3"/>
  <c r="A492" i="3"/>
  <c r="D491" i="3"/>
  <c r="AK491" i="3"/>
  <c r="R491" i="3"/>
  <c r="AM491" i="3"/>
  <c r="C491" i="3"/>
  <c r="T491" i="3"/>
  <c r="S491" i="3"/>
  <c r="Q491" i="3"/>
  <c r="AD491" i="3"/>
  <c r="AE491" i="3"/>
  <c r="P491" i="3"/>
  <c r="O491" i="3"/>
  <c r="V491" i="3"/>
  <c r="M491" i="3"/>
  <c r="AF491" i="3"/>
  <c r="U491" i="3"/>
  <c r="F491" i="3"/>
  <c r="BM491" i="3" s="1"/>
  <c r="G491" i="3"/>
  <c r="H491" i="3" s="1"/>
  <c r="BQ487" i="3"/>
  <c r="BB487" i="3"/>
  <c r="BF487" i="3"/>
  <c r="BJ486" i="3" s="1"/>
  <c r="BK486" i="3" s="1"/>
  <c r="AW489" i="3"/>
  <c r="AN491" i="3" l="1"/>
  <c r="AV489" i="3"/>
  <c r="BC488" i="3"/>
  <c r="BG488" i="3" s="1"/>
  <c r="BH488" i="3" s="1"/>
  <c r="BI488" i="3" s="1"/>
  <c r="BG487" i="3"/>
  <c r="BH487" i="3" s="1"/>
  <c r="BI487" i="3" s="1"/>
  <c r="AY489" i="3"/>
  <c r="BN491" i="3"/>
  <c r="AU490" i="3"/>
  <c r="AT490" i="3"/>
  <c r="BB488" i="3"/>
  <c r="BF488" i="3"/>
  <c r="BJ487" i="3" s="1"/>
  <c r="BK487" i="3" s="1"/>
  <c r="B492" i="3"/>
  <c r="AQ492" i="3"/>
  <c r="AR492" i="3"/>
  <c r="A493" i="3"/>
  <c r="D492" i="3"/>
  <c r="C492" i="3"/>
  <c r="S492" i="3"/>
  <c r="R492" i="3"/>
  <c r="AM492" i="3"/>
  <c r="AK492" i="3"/>
  <c r="Q492" i="3"/>
  <c r="P492" i="3"/>
  <c r="AD492" i="3"/>
  <c r="O492" i="3"/>
  <c r="AE492" i="3"/>
  <c r="M492" i="3"/>
  <c r="U492" i="3"/>
  <c r="AF492" i="3"/>
  <c r="V492" i="3"/>
  <c r="G492" i="3"/>
  <c r="H492" i="3" s="1"/>
  <c r="F492" i="3"/>
  <c r="T492" i="3"/>
  <c r="AX490" i="3"/>
  <c r="AW490" i="3"/>
  <c r="AG491" i="3"/>
  <c r="AO491" i="3"/>
  <c r="Y491" i="3"/>
  <c r="Z491" i="3" s="1"/>
  <c r="BA489" i="3"/>
  <c r="AH491" i="3"/>
  <c r="X491" i="3"/>
  <c r="BD488" i="3" l="1"/>
  <c r="BC489" i="3"/>
  <c r="BG489" i="3" s="1"/>
  <c r="BH489" i="3" s="1"/>
  <c r="BI489" i="3" s="1"/>
  <c r="BN492" i="3"/>
  <c r="AV490" i="3"/>
  <c r="AO492" i="3"/>
  <c r="BA490" i="3"/>
  <c r="BQ490" i="3" s="1"/>
  <c r="AX491" i="3"/>
  <c r="AY490" i="3"/>
  <c r="BF489" i="3"/>
  <c r="BJ488" i="3" s="1"/>
  <c r="BK488" i="3" s="1"/>
  <c r="BQ489" i="3"/>
  <c r="BB489" i="3"/>
  <c r="Y492" i="3"/>
  <c r="Z492" i="3" s="1"/>
  <c r="AT491" i="3"/>
  <c r="BM492" i="3"/>
  <c r="AG492" i="3"/>
  <c r="AH492" i="3"/>
  <c r="AN492" i="3"/>
  <c r="AQ493" i="3"/>
  <c r="B493" i="3"/>
  <c r="A494" i="3"/>
  <c r="AR493" i="3"/>
  <c r="C493" i="3"/>
  <c r="D493" i="3"/>
  <c r="T493" i="3"/>
  <c r="S493" i="3"/>
  <c r="Q493" i="3"/>
  <c r="AM493" i="3"/>
  <c r="AK493" i="3"/>
  <c r="AD493" i="3"/>
  <c r="R493" i="3"/>
  <c r="P493" i="3"/>
  <c r="AE493" i="3"/>
  <c r="O493" i="3"/>
  <c r="AF493" i="3"/>
  <c r="V493" i="3"/>
  <c r="M493" i="3"/>
  <c r="U493" i="3"/>
  <c r="G493" i="3"/>
  <c r="H493" i="3" s="1"/>
  <c r="F493" i="3"/>
  <c r="AU491" i="3"/>
  <c r="AW491" i="3"/>
  <c r="X492" i="3"/>
  <c r="BD489" i="3" l="1"/>
  <c r="BB490" i="3"/>
  <c r="BC490" i="3"/>
  <c r="BD490" i="3" s="1"/>
  <c r="AO493" i="3"/>
  <c r="BN493" i="3"/>
  <c r="BM493" i="3"/>
  <c r="AY491" i="3"/>
  <c r="AT492" i="3"/>
  <c r="BF490" i="3"/>
  <c r="BJ489" i="3" s="1"/>
  <c r="BK489" i="3" s="1"/>
  <c r="AN493" i="3"/>
  <c r="BG490" i="3"/>
  <c r="BH490" i="3" s="1"/>
  <c r="BI490" i="3" s="1"/>
  <c r="B494" i="3"/>
  <c r="A495" i="3"/>
  <c r="AQ494" i="3"/>
  <c r="AR494" i="3"/>
  <c r="C494" i="3"/>
  <c r="D494" i="3"/>
  <c r="AM494" i="3"/>
  <c r="AK494" i="3"/>
  <c r="T494" i="3"/>
  <c r="S494" i="3"/>
  <c r="R494" i="3"/>
  <c r="Q494" i="3"/>
  <c r="AD494" i="3"/>
  <c r="P494" i="3"/>
  <c r="AE494" i="3"/>
  <c r="O494" i="3"/>
  <c r="V494" i="3"/>
  <c r="AF494" i="3"/>
  <c r="M494" i="3"/>
  <c r="U494" i="3"/>
  <c r="F494" i="3"/>
  <c r="BM494" i="3" s="1"/>
  <c r="G494" i="3"/>
  <c r="H494" i="3" s="1"/>
  <c r="BN494" i="3" s="1"/>
  <c r="AV491" i="3"/>
  <c r="BA491" i="3"/>
  <c r="AG493" i="3"/>
  <c r="X493" i="3"/>
  <c r="AW492" i="3"/>
  <c r="Y493" i="3"/>
  <c r="Z493" i="3" s="1"/>
  <c r="AU492" i="3"/>
  <c r="AX492" i="3"/>
  <c r="AH493" i="3"/>
  <c r="AV492" i="3" l="1"/>
  <c r="AO494" i="3"/>
  <c r="BC491" i="3"/>
  <c r="BD491" i="3" s="1"/>
  <c r="AX493" i="3"/>
  <c r="AH494" i="3"/>
  <c r="AY492" i="3"/>
  <c r="BA492" i="3"/>
  <c r="AT493" i="3"/>
  <c r="AU493" i="3"/>
  <c r="AW493" i="3"/>
  <c r="AG494" i="3"/>
  <c r="AN494" i="3"/>
  <c r="X494" i="3"/>
  <c r="BQ491" i="3"/>
  <c r="BB491" i="3"/>
  <c r="BF491" i="3"/>
  <c r="BJ490" i="3" s="1"/>
  <c r="BK490" i="3" s="1"/>
  <c r="Y494" i="3"/>
  <c r="Z494" i="3" s="1"/>
  <c r="AR495" i="3"/>
  <c r="B495" i="3"/>
  <c r="AQ495" i="3"/>
  <c r="A496" i="3"/>
  <c r="D495" i="3"/>
  <c r="C495" i="3"/>
  <c r="AK495" i="3"/>
  <c r="R495" i="3"/>
  <c r="Q495" i="3"/>
  <c r="AM495" i="3"/>
  <c r="T495" i="3"/>
  <c r="S495" i="3"/>
  <c r="AD495" i="3"/>
  <c r="O495" i="3"/>
  <c r="AE495" i="3"/>
  <c r="M495" i="3"/>
  <c r="V495" i="3"/>
  <c r="P495" i="3"/>
  <c r="AF495" i="3"/>
  <c r="U495" i="3"/>
  <c r="G495" i="3"/>
  <c r="H495" i="3" s="1"/>
  <c r="F495" i="3"/>
  <c r="BM495" i="3" l="1"/>
  <c r="BN495" i="3"/>
  <c r="BC492" i="3"/>
  <c r="BD492" i="3" s="1"/>
  <c r="BG491" i="3"/>
  <c r="BH491" i="3" s="1"/>
  <c r="BI491" i="3" s="1"/>
  <c r="AY493" i="3"/>
  <c r="AO495" i="3"/>
  <c r="AX494" i="3"/>
  <c r="AT494" i="3"/>
  <c r="Y495" i="3"/>
  <c r="Z495" i="3" s="1"/>
  <c r="B496" i="3"/>
  <c r="AQ496" i="3"/>
  <c r="AR496" i="3"/>
  <c r="A497" i="3"/>
  <c r="C496" i="3"/>
  <c r="S496" i="3"/>
  <c r="AM496" i="3"/>
  <c r="D496" i="3"/>
  <c r="AK496" i="3"/>
  <c r="T496" i="3"/>
  <c r="AD496" i="3"/>
  <c r="Q496" i="3"/>
  <c r="R496" i="3"/>
  <c r="P496" i="3"/>
  <c r="O496" i="3"/>
  <c r="AE496" i="3"/>
  <c r="M496" i="3"/>
  <c r="AF496" i="3"/>
  <c r="V496" i="3"/>
  <c r="U496" i="3"/>
  <c r="F496" i="3"/>
  <c r="BM496" i="3" s="1"/>
  <c r="G496" i="3"/>
  <c r="H496" i="3" s="1"/>
  <c r="AV493" i="3"/>
  <c r="BA493" i="3"/>
  <c r="AH495" i="3"/>
  <c r="AN495" i="3"/>
  <c r="X495" i="3"/>
  <c r="AU494" i="3"/>
  <c r="AW494" i="3"/>
  <c r="BB492" i="3"/>
  <c r="BQ492" i="3"/>
  <c r="BF492" i="3"/>
  <c r="BJ491" i="3" s="1"/>
  <c r="BK491" i="3" s="1"/>
  <c r="AG495" i="3"/>
  <c r="BN496" i="3" l="1"/>
  <c r="AO496" i="3"/>
  <c r="BG492" i="3"/>
  <c r="BH492" i="3" s="1"/>
  <c r="BI492" i="3" s="1"/>
  <c r="BC493" i="3"/>
  <c r="BD493" i="3" s="1"/>
  <c r="AW495" i="3"/>
  <c r="AY494" i="3"/>
  <c r="AH496" i="3"/>
  <c r="BA494" i="3"/>
  <c r="BQ494" i="3" s="1"/>
  <c r="AT495" i="3"/>
  <c r="AX495" i="3"/>
  <c r="AN496" i="3"/>
  <c r="X496" i="3"/>
  <c r="AV494" i="3"/>
  <c r="BF493" i="3"/>
  <c r="BJ492" i="3" s="1"/>
  <c r="BK492" i="3" s="1"/>
  <c r="BQ493" i="3"/>
  <c r="BB493" i="3"/>
  <c r="Y496" i="3"/>
  <c r="Z496" i="3" s="1"/>
  <c r="AQ497" i="3"/>
  <c r="B497" i="3"/>
  <c r="A498" i="3"/>
  <c r="AR497" i="3"/>
  <c r="C497" i="3"/>
  <c r="AM497" i="3"/>
  <c r="R497" i="3"/>
  <c r="D497" i="3"/>
  <c r="AK497" i="3"/>
  <c r="Q497" i="3"/>
  <c r="AD497" i="3"/>
  <c r="P497" i="3"/>
  <c r="S497" i="3"/>
  <c r="O497" i="3"/>
  <c r="AE497" i="3"/>
  <c r="AF497" i="3"/>
  <c r="V497" i="3"/>
  <c r="M497" i="3"/>
  <c r="U497" i="3"/>
  <c r="F497" i="3"/>
  <c r="G497" i="3"/>
  <c r="H497" i="3" s="1"/>
  <c r="T497" i="3"/>
  <c r="AU495" i="3"/>
  <c r="AG496" i="3"/>
  <c r="BG493" i="3" l="1"/>
  <c r="BH493" i="3" s="1"/>
  <c r="BI493" i="3" s="1"/>
  <c r="AG497" i="3"/>
  <c r="BN497" i="3"/>
  <c r="AO497" i="3"/>
  <c r="AY495" i="3"/>
  <c r="AW496" i="3"/>
  <c r="BC494" i="3"/>
  <c r="BD494" i="3" s="1"/>
  <c r="BB494" i="3"/>
  <c r="AU496" i="3"/>
  <c r="AX496" i="3"/>
  <c r="BF494" i="3"/>
  <c r="BJ493" i="3" s="1"/>
  <c r="BK493" i="3" s="1"/>
  <c r="Y497" i="3"/>
  <c r="Z497" i="3" s="1"/>
  <c r="BM497" i="3"/>
  <c r="AN497" i="3"/>
  <c r="AT496" i="3"/>
  <c r="AV495" i="3"/>
  <c r="B498" i="3"/>
  <c r="A499" i="3"/>
  <c r="AQ498" i="3"/>
  <c r="AR498" i="3"/>
  <c r="C498" i="3"/>
  <c r="AM498" i="3"/>
  <c r="AK498" i="3"/>
  <c r="T498" i="3"/>
  <c r="S498" i="3"/>
  <c r="D498" i="3"/>
  <c r="Q498" i="3"/>
  <c r="AD498" i="3"/>
  <c r="P498" i="3"/>
  <c r="M498" i="3"/>
  <c r="AF498" i="3"/>
  <c r="AE498" i="3"/>
  <c r="V498" i="3"/>
  <c r="O498" i="3"/>
  <c r="G498" i="3"/>
  <c r="H498" i="3" s="1"/>
  <c r="U498" i="3"/>
  <c r="R498" i="3"/>
  <c r="F498" i="3"/>
  <c r="AH497" i="3"/>
  <c r="X497" i="3"/>
  <c r="BA495" i="3"/>
  <c r="AY496" i="3" l="1"/>
  <c r="BC495" i="3"/>
  <c r="BD495" i="3" s="1"/>
  <c r="BM498" i="3"/>
  <c r="AW497" i="3"/>
  <c r="BG494" i="3"/>
  <c r="BH494" i="3" s="1"/>
  <c r="BI494" i="3" s="1"/>
  <c r="AU497" i="3"/>
  <c r="AN498" i="3"/>
  <c r="AV496" i="3"/>
  <c r="BF495" i="3"/>
  <c r="BJ494" i="3" s="1"/>
  <c r="BK494" i="3" s="1"/>
  <c r="BB495" i="3"/>
  <c r="BQ495" i="3"/>
  <c r="Y498" i="3"/>
  <c r="Z498" i="3" s="1"/>
  <c r="AX497" i="3"/>
  <c r="BN498" i="3"/>
  <c r="AO498" i="3"/>
  <c r="X498" i="3"/>
  <c r="AT497" i="3"/>
  <c r="BA496" i="3"/>
  <c r="AH498" i="3"/>
  <c r="AG498" i="3"/>
  <c r="AR499" i="3"/>
  <c r="B499" i="3"/>
  <c r="AQ499" i="3"/>
  <c r="A500" i="3"/>
  <c r="D499" i="3"/>
  <c r="C499" i="3"/>
  <c r="AM499" i="3"/>
  <c r="AK499" i="3"/>
  <c r="Q499" i="3"/>
  <c r="P499" i="3"/>
  <c r="S499" i="3"/>
  <c r="R499" i="3"/>
  <c r="AD499" i="3"/>
  <c r="O499" i="3"/>
  <c r="M499" i="3"/>
  <c r="U499" i="3"/>
  <c r="AE499" i="3"/>
  <c r="AF499" i="3"/>
  <c r="V499" i="3"/>
  <c r="F499" i="3"/>
  <c r="G499" i="3"/>
  <c r="H499" i="3" s="1"/>
  <c r="BN499" i="3" s="1"/>
  <c r="T499" i="3"/>
  <c r="BM499" i="3" l="1"/>
  <c r="BC496" i="3"/>
  <c r="BD496" i="3" s="1"/>
  <c r="BG495" i="3"/>
  <c r="BH495" i="3" s="1"/>
  <c r="BI495" i="3" s="1"/>
  <c r="AY497" i="3"/>
  <c r="AG499" i="3"/>
  <c r="AO499" i="3"/>
  <c r="AN499" i="3"/>
  <c r="AW498" i="3"/>
  <c r="AT498" i="3"/>
  <c r="AU498" i="3"/>
  <c r="B500" i="3"/>
  <c r="AQ500" i="3"/>
  <c r="AR500" i="3"/>
  <c r="A501" i="3"/>
  <c r="D500" i="3"/>
  <c r="C500" i="3"/>
  <c r="AM500" i="3"/>
  <c r="S500" i="3"/>
  <c r="AK500" i="3"/>
  <c r="R500" i="3"/>
  <c r="Q500" i="3"/>
  <c r="P500" i="3"/>
  <c r="AD500" i="3"/>
  <c r="M500" i="3"/>
  <c r="AE500" i="3"/>
  <c r="O500" i="3"/>
  <c r="AF500" i="3"/>
  <c r="U500" i="3"/>
  <c r="V500" i="3"/>
  <c r="G500" i="3"/>
  <c r="H500" i="3" s="1"/>
  <c r="F500" i="3"/>
  <c r="T500" i="3"/>
  <c r="BF496" i="3"/>
  <c r="BJ495" i="3" s="1"/>
  <c r="BK495" i="3" s="1"/>
  <c r="BB496" i="3"/>
  <c r="BQ496" i="3"/>
  <c r="Y499" i="3"/>
  <c r="Z499" i="3" s="1"/>
  <c r="X499" i="3"/>
  <c r="BA497" i="3"/>
  <c r="AV497" i="3"/>
  <c r="AH499" i="3"/>
  <c r="AX498" i="3"/>
  <c r="AO500" i="3" l="1"/>
  <c r="BC497" i="3"/>
  <c r="BG497" i="3" s="1"/>
  <c r="BH497" i="3" s="1"/>
  <c r="BI497" i="3" s="1"/>
  <c r="BG496" i="3"/>
  <c r="BH496" i="3" s="1"/>
  <c r="BI496" i="3" s="1"/>
  <c r="AX499" i="3"/>
  <c r="BN500" i="3"/>
  <c r="AH500" i="3"/>
  <c r="AY498" i="3"/>
  <c r="BA498" i="3"/>
  <c r="BB498" i="3" s="1"/>
  <c r="Y500" i="3"/>
  <c r="Z500" i="3" s="1"/>
  <c r="AV498" i="3"/>
  <c r="AU499" i="3"/>
  <c r="AW499" i="3"/>
  <c r="AT499" i="3"/>
  <c r="BD497" i="3"/>
  <c r="BM500" i="3"/>
  <c r="AG500" i="3"/>
  <c r="AN500" i="3"/>
  <c r="BF497" i="3"/>
  <c r="BJ496" i="3" s="1"/>
  <c r="BK496" i="3" s="1"/>
  <c r="BB497" i="3"/>
  <c r="BQ497" i="3"/>
  <c r="AQ501" i="3"/>
  <c r="B501" i="3"/>
  <c r="A502" i="3"/>
  <c r="AR501" i="3"/>
  <c r="C501" i="3"/>
  <c r="AK501" i="3"/>
  <c r="AM501" i="3"/>
  <c r="D501" i="3"/>
  <c r="T501" i="3"/>
  <c r="S501" i="3"/>
  <c r="R501" i="3"/>
  <c r="AD501" i="3"/>
  <c r="Q501" i="3"/>
  <c r="P501" i="3"/>
  <c r="AF501" i="3"/>
  <c r="AE501" i="3"/>
  <c r="U501" i="3"/>
  <c r="V501" i="3"/>
  <c r="O501" i="3"/>
  <c r="M501" i="3"/>
  <c r="F501" i="3"/>
  <c r="BM501" i="3" s="1"/>
  <c r="G501" i="3"/>
  <c r="H501" i="3" s="1"/>
  <c r="X500" i="3"/>
  <c r="BN501" i="3" l="1"/>
  <c r="AY499" i="3"/>
  <c r="AU500" i="3"/>
  <c r="AV499" i="3"/>
  <c r="AT500" i="3"/>
  <c r="AG501" i="3"/>
  <c r="BC498" i="3"/>
  <c r="BG498" i="3" s="1"/>
  <c r="BH498" i="3" s="1"/>
  <c r="BI498" i="3" s="1"/>
  <c r="BQ498" i="3"/>
  <c r="BF498" i="3"/>
  <c r="BJ497" i="3" s="1"/>
  <c r="BK497" i="3" s="1"/>
  <c r="BA499" i="3"/>
  <c r="BQ499" i="3" s="1"/>
  <c r="AX500" i="3"/>
  <c r="B502" i="3"/>
  <c r="A503" i="3"/>
  <c r="AQ502" i="3"/>
  <c r="AR502" i="3"/>
  <c r="C502" i="3"/>
  <c r="D502" i="3"/>
  <c r="AK502" i="3"/>
  <c r="AM502" i="3"/>
  <c r="S502" i="3"/>
  <c r="R502" i="3"/>
  <c r="AD502" i="3"/>
  <c r="P502" i="3"/>
  <c r="M502" i="3"/>
  <c r="O502" i="3"/>
  <c r="U502" i="3"/>
  <c r="V502" i="3"/>
  <c r="AF502" i="3"/>
  <c r="AE502" i="3"/>
  <c r="G502" i="3"/>
  <c r="H502" i="3" s="1"/>
  <c r="F502" i="3"/>
  <c r="Q502" i="3"/>
  <c r="T502" i="3"/>
  <c r="X501" i="3"/>
  <c r="AW500" i="3"/>
  <c r="Y501" i="3"/>
  <c r="Z501" i="3" s="1"/>
  <c r="AN501" i="3"/>
  <c r="AO501" i="3"/>
  <c r="AH501" i="3"/>
  <c r="BC499" i="3" l="1"/>
  <c r="BG499" i="3" s="1"/>
  <c r="BH499" i="3" s="1"/>
  <c r="BI499" i="3" s="1"/>
  <c r="AV500" i="3"/>
  <c r="BF499" i="3"/>
  <c r="BJ498" i="3" s="1"/>
  <c r="BK498" i="3" s="1"/>
  <c r="BD498" i="3"/>
  <c r="BM502" i="3"/>
  <c r="AU501" i="3"/>
  <c r="BB499" i="3"/>
  <c r="AY500" i="3"/>
  <c r="AN502" i="3"/>
  <c r="AW501" i="3"/>
  <c r="AT501" i="3"/>
  <c r="AG502" i="3"/>
  <c r="BA500" i="3"/>
  <c r="BF500" i="3" s="1"/>
  <c r="Y502" i="3"/>
  <c r="Z502" i="3" s="1"/>
  <c r="AX501" i="3"/>
  <c r="BN502" i="3"/>
  <c r="AH502" i="3"/>
  <c r="AO502" i="3"/>
  <c r="X502" i="3"/>
  <c r="AR503" i="3"/>
  <c r="B503" i="3"/>
  <c r="AQ503" i="3"/>
  <c r="A504" i="3"/>
  <c r="C503" i="3"/>
  <c r="T503" i="3"/>
  <c r="S503" i="3"/>
  <c r="AK503" i="3"/>
  <c r="D503" i="3"/>
  <c r="AM503" i="3"/>
  <c r="Q503" i="3"/>
  <c r="R503" i="3"/>
  <c r="AD503" i="3"/>
  <c r="P503" i="3"/>
  <c r="O503" i="3"/>
  <c r="M503" i="3"/>
  <c r="AF503" i="3"/>
  <c r="U503" i="3"/>
  <c r="AE503" i="3"/>
  <c r="V503" i="3"/>
  <c r="G503" i="3"/>
  <c r="H503" i="3" s="1"/>
  <c r="BN503" i="3" s="1"/>
  <c r="F503" i="3"/>
  <c r="BD499" i="3" l="1"/>
  <c r="BC500" i="3"/>
  <c r="BG500" i="3" s="1"/>
  <c r="BH500" i="3" s="1"/>
  <c r="BI500" i="3" s="1"/>
  <c r="AU502" i="3"/>
  <c r="AV501" i="3"/>
  <c r="BJ499" i="3"/>
  <c r="BK499" i="3" s="1"/>
  <c r="AN503" i="3"/>
  <c r="BM503" i="3"/>
  <c r="AG503" i="3"/>
  <c r="BA501" i="3"/>
  <c r="BB501" i="3" s="1"/>
  <c r="AT502" i="3"/>
  <c r="AW502" i="3"/>
  <c r="BQ500" i="3"/>
  <c r="AY501" i="3"/>
  <c r="BB500" i="3"/>
  <c r="Y503" i="3"/>
  <c r="Z503" i="3" s="1"/>
  <c r="AH503" i="3"/>
  <c r="X503" i="3"/>
  <c r="AX502" i="3"/>
  <c r="B504" i="3"/>
  <c r="AQ504" i="3"/>
  <c r="AR504" i="3"/>
  <c r="A505" i="3"/>
  <c r="D504" i="3"/>
  <c r="AM504" i="3"/>
  <c r="T504" i="3"/>
  <c r="C504" i="3"/>
  <c r="AK504" i="3"/>
  <c r="R504" i="3"/>
  <c r="Q504" i="3"/>
  <c r="AD504" i="3"/>
  <c r="P504" i="3"/>
  <c r="S504" i="3"/>
  <c r="M504" i="3"/>
  <c r="AE504" i="3"/>
  <c r="O504" i="3"/>
  <c r="U504" i="3"/>
  <c r="AF504" i="3"/>
  <c r="V504" i="3"/>
  <c r="G504" i="3"/>
  <c r="H504" i="3" s="1"/>
  <c r="F504" i="3"/>
  <c r="AO503" i="3"/>
  <c r="BN504" i="3" l="1"/>
  <c r="BM504" i="3"/>
  <c r="BD500" i="3"/>
  <c r="BF501" i="3"/>
  <c r="BJ500" i="3" s="1"/>
  <c r="BK500" i="3" s="1"/>
  <c r="AV502" i="3"/>
  <c r="BC501" i="3"/>
  <c r="BD501" i="3" s="1"/>
  <c r="AU503" i="3"/>
  <c r="AT503" i="3"/>
  <c r="BQ501" i="3"/>
  <c r="BA502" i="3"/>
  <c r="BQ502" i="3" s="1"/>
  <c r="AW503" i="3"/>
  <c r="AY502" i="3"/>
  <c r="AO504" i="3"/>
  <c r="AQ505" i="3"/>
  <c r="B505" i="3"/>
  <c r="A506" i="3"/>
  <c r="AR505" i="3"/>
  <c r="D505" i="3"/>
  <c r="C505" i="3"/>
  <c r="AK505" i="3"/>
  <c r="AM505" i="3"/>
  <c r="T505" i="3"/>
  <c r="P505" i="3"/>
  <c r="S505" i="3"/>
  <c r="Q505" i="3"/>
  <c r="AD505" i="3"/>
  <c r="M505" i="3"/>
  <c r="AE505" i="3"/>
  <c r="V505" i="3"/>
  <c r="U505" i="3"/>
  <c r="O505" i="3"/>
  <c r="AF505" i="3"/>
  <c r="G505" i="3"/>
  <c r="H505" i="3" s="1"/>
  <c r="F505" i="3"/>
  <c r="R505" i="3"/>
  <c r="AG504" i="3"/>
  <c r="AH504" i="3"/>
  <c r="X504" i="3"/>
  <c r="AN504" i="3"/>
  <c r="AX503" i="3"/>
  <c r="Y504" i="3"/>
  <c r="Z504" i="3" s="1"/>
  <c r="BG501" i="3" l="1"/>
  <c r="BH501" i="3" s="1"/>
  <c r="BI501" i="3" s="1"/>
  <c r="BC502" i="3"/>
  <c r="BD502" i="3" s="1"/>
  <c r="AV503" i="3"/>
  <c r="BM505" i="3"/>
  <c r="BF502" i="3"/>
  <c r="BJ501" i="3" s="1"/>
  <c r="BK501" i="3" s="1"/>
  <c r="BB502" i="3"/>
  <c r="AY503" i="3"/>
  <c r="AT504" i="3"/>
  <c r="AO505" i="3"/>
  <c r="BA503" i="3"/>
  <c r="BF503" i="3" s="1"/>
  <c r="AX504" i="3"/>
  <c r="AH505" i="3"/>
  <c r="AU504" i="3"/>
  <c r="AW504" i="3"/>
  <c r="BN505" i="3"/>
  <c r="AN505" i="3"/>
  <c r="X505" i="3"/>
  <c r="Y505" i="3"/>
  <c r="Z505" i="3" s="1"/>
  <c r="B506" i="3"/>
  <c r="A507" i="3"/>
  <c r="AQ506" i="3"/>
  <c r="AR506" i="3"/>
  <c r="C506" i="3"/>
  <c r="D506" i="3"/>
  <c r="S506" i="3"/>
  <c r="Q506" i="3"/>
  <c r="AM506" i="3"/>
  <c r="AK506" i="3"/>
  <c r="T506" i="3"/>
  <c r="R506" i="3"/>
  <c r="AD506" i="3"/>
  <c r="P506" i="3"/>
  <c r="AE506" i="3"/>
  <c r="AF506" i="3"/>
  <c r="M506" i="3"/>
  <c r="U506" i="3"/>
  <c r="O506" i="3"/>
  <c r="V506" i="3"/>
  <c r="G506" i="3"/>
  <c r="H506" i="3" s="1"/>
  <c r="F506" i="3"/>
  <c r="AG505" i="3"/>
  <c r="BC503" i="3" l="1"/>
  <c r="BG503" i="3" s="1"/>
  <c r="BH503" i="3" s="1"/>
  <c r="BI503" i="3" s="1"/>
  <c r="BG502" i="3"/>
  <c r="BH502" i="3" s="1"/>
  <c r="BI502" i="3" s="1"/>
  <c r="BN506" i="3"/>
  <c r="BJ502" i="3"/>
  <c r="BK502" i="3" s="1"/>
  <c r="AW505" i="3"/>
  <c r="AV504" i="3"/>
  <c r="AG506" i="3"/>
  <c r="AU505" i="3"/>
  <c r="AN506" i="3"/>
  <c r="BQ503" i="3"/>
  <c r="BB503" i="3"/>
  <c r="Y506" i="3"/>
  <c r="Z506" i="3" s="1"/>
  <c r="AR507" i="3"/>
  <c r="B507" i="3"/>
  <c r="AQ507" i="3"/>
  <c r="A508" i="3"/>
  <c r="D507" i="3"/>
  <c r="C507" i="3"/>
  <c r="AK507" i="3"/>
  <c r="S507" i="3"/>
  <c r="AM507" i="3"/>
  <c r="R507" i="3"/>
  <c r="Q507" i="3"/>
  <c r="AD507" i="3"/>
  <c r="P507" i="3"/>
  <c r="M507" i="3"/>
  <c r="U507" i="3"/>
  <c r="O507" i="3"/>
  <c r="AF507" i="3"/>
  <c r="AE507" i="3"/>
  <c r="V507" i="3"/>
  <c r="F507" i="3"/>
  <c r="G507" i="3"/>
  <c r="H507" i="3" s="1"/>
  <c r="BN507" i="3" s="1"/>
  <c r="T507" i="3"/>
  <c r="BA504" i="3"/>
  <c r="AY504" i="3"/>
  <c r="X506" i="3"/>
  <c r="BM506" i="3"/>
  <c r="AO506" i="3"/>
  <c r="AT505" i="3"/>
  <c r="AX505" i="3"/>
  <c r="AH506" i="3"/>
  <c r="AV505" i="3" l="1"/>
  <c r="BD503" i="3"/>
  <c r="BM507" i="3"/>
  <c r="AN507" i="3"/>
  <c r="AW506" i="3"/>
  <c r="AY505" i="3"/>
  <c r="BC505" i="3" s="1"/>
  <c r="BG505" i="3" s="1"/>
  <c r="BH505" i="3" s="1"/>
  <c r="BI505" i="3" s="1"/>
  <c r="BC504" i="3"/>
  <c r="BD504" i="3" s="1"/>
  <c r="AU506" i="3"/>
  <c r="AX506" i="3"/>
  <c r="BB504" i="3"/>
  <c r="BQ504" i="3"/>
  <c r="BF504" i="3"/>
  <c r="BJ503" i="3" s="1"/>
  <c r="BK503" i="3" s="1"/>
  <c r="AT506" i="3"/>
  <c r="AO507" i="3"/>
  <c r="B508" i="3"/>
  <c r="AQ508" i="3"/>
  <c r="AR508" i="3"/>
  <c r="A509" i="3"/>
  <c r="D508" i="3"/>
  <c r="AM508" i="3"/>
  <c r="T508" i="3"/>
  <c r="C508" i="3"/>
  <c r="AK508" i="3"/>
  <c r="S508" i="3"/>
  <c r="Q508" i="3"/>
  <c r="AD508" i="3"/>
  <c r="P508" i="3"/>
  <c r="O508" i="3"/>
  <c r="AF508" i="3"/>
  <c r="V508" i="3"/>
  <c r="U508" i="3"/>
  <c r="AE508" i="3"/>
  <c r="M508" i="3"/>
  <c r="R508" i="3"/>
  <c r="G508" i="3"/>
  <c r="H508" i="3" s="1"/>
  <c r="BN508" i="3" s="1"/>
  <c r="F508" i="3"/>
  <c r="BA505" i="3"/>
  <c r="Y507" i="3"/>
  <c r="Z507" i="3" s="1"/>
  <c r="AG507" i="3"/>
  <c r="AH507" i="3"/>
  <c r="X507" i="3"/>
  <c r="BM508" i="3" l="1"/>
  <c r="AY506" i="3"/>
  <c r="AG508" i="3"/>
  <c r="BG504" i="3"/>
  <c r="BH504" i="3" s="1"/>
  <c r="BI504" i="3" s="1"/>
  <c r="BD505" i="3"/>
  <c r="AX507" i="3"/>
  <c r="AO508" i="3"/>
  <c r="AN508" i="3"/>
  <c r="AQ509" i="3"/>
  <c r="B509" i="3"/>
  <c r="A510" i="3"/>
  <c r="AR509" i="3"/>
  <c r="C509" i="3"/>
  <c r="AM509" i="3"/>
  <c r="S509" i="3"/>
  <c r="AK509" i="3"/>
  <c r="D509" i="3"/>
  <c r="R509" i="3"/>
  <c r="P509" i="3"/>
  <c r="Q509" i="3"/>
  <c r="AD509" i="3"/>
  <c r="O509" i="3"/>
  <c r="AE509" i="3"/>
  <c r="U509" i="3"/>
  <c r="M509" i="3"/>
  <c r="AF509" i="3"/>
  <c r="V509" i="3"/>
  <c r="G509" i="3"/>
  <c r="H509" i="3" s="1"/>
  <c r="F509" i="3"/>
  <c r="T509" i="3"/>
  <c r="BQ505" i="3"/>
  <c r="BF505" i="3"/>
  <c r="BJ504" i="3" s="1"/>
  <c r="BK504" i="3" s="1"/>
  <c r="BB505" i="3"/>
  <c r="Y508" i="3"/>
  <c r="Z508" i="3" s="1"/>
  <c r="AW507" i="3"/>
  <c r="AU507" i="3"/>
  <c r="BA506" i="3"/>
  <c r="AV506" i="3"/>
  <c r="BC506" i="3" s="1"/>
  <c r="AH508" i="3"/>
  <c r="AU508" i="3" s="1"/>
  <c r="X508" i="3"/>
  <c r="AT507" i="3"/>
  <c r="BM509" i="3" l="1"/>
  <c r="AO509" i="3"/>
  <c r="BN509" i="3"/>
  <c r="AY507" i="3"/>
  <c r="AV507" i="3"/>
  <c r="BA507" i="3"/>
  <c r="BB506" i="3"/>
  <c r="BQ506" i="3"/>
  <c r="BF506" i="3"/>
  <c r="BJ505" i="3" s="1"/>
  <c r="BK505" i="3" s="1"/>
  <c r="B510" i="3"/>
  <c r="A511" i="3"/>
  <c r="AQ510" i="3"/>
  <c r="AR510" i="3"/>
  <c r="D510" i="3"/>
  <c r="C510" i="3"/>
  <c r="AM510" i="3"/>
  <c r="R510" i="3"/>
  <c r="AK510" i="3"/>
  <c r="S510" i="3"/>
  <c r="Q510" i="3"/>
  <c r="AD510" i="3"/>
  <c r="P510" i="3"/>
  <c r="O510" i="3"/>
  <c r="M510" i="3"/>
  <c r="AF510" i="3"/>
  <c r="AE510" i="3"/>
  <c r="U510" i="3"/>
  <c r="V510" i="3"/>
  <c r="G510" i="3"/>
  <c r="H510" i="3" s="1"/>
  <c r="F510" i="3"/>
  <c r="T510" i="3"/>
  <c r="Y509" i="3"/>
  <c r="Z509" i="3" s="1"/>
  <c r="AW508" i="3"/>
  <c r="AT508" i="3"/>
  <c r="AG509" i="3"/>
  <c r="AH509" i="3"/>
  <c r="X509" i="3"/>
  <c r="AX508" i="3"/>
  <c r="BD506" i="3"/>
  <c r="BG506" i="3"/>
  <c r="BH506" i="3" s="1"/>
  <c r="BI506" i="3" s="1"/>
  <c r="AN509" i="3"/>
  <c r="AO510" i="3" l="1"/>
  <c r="BM510" i="3"/>
  <c r="BN510" i="3"/>
  <c r="BC507" i="3"/>
  <c r="BD507" i="3" s="1"/>
  <c r="AU509" i="3"/>
  <c r="AG510" i="3"/>
  <c r="AY508" i="3"/>
  <c r="AV508" i="3"/>
  <c r="BA508" i="3"/>
  <c r="AR511" i="3"/>
  <c r="B511" i="3"/>
  <c r="AQ511" i="3"/>
  <c r="A512" i="3"/>
  <c r="D511" i="3"/>
  <c r="C511" i="3"/>
  <c r="AM511" i="3"/>
  <c r="AK511" i="3"/>
  <c r="S511" i="3"/>
  <c r="AD511" i="3"/>
  <c r="P511" i="3"/>
  <c r="AE511" i="3"/>
  <c r="U511" i="3"/>
  <c r="O511" i="3"/>
  <c r="M511" i="3"/>
  <c r="AF511" i="3"/>
  <c r="V511" i="3"/>
  <c r="Q511" i="3"/>
  <c r="G511" i="3"/>
  <c r="H511" i="3" s="1"/>
  <c r="F511" i="3"/>
  <c r="R511" i="3"/>
  <c r="T511" i="3"/>
  <c r="AW509" i="3"/>
  <c r="AT509" i="3"/>
  <c r="AX509" i="3"/>
  <c r="Y510" i="3"/>
  <c r="Z510" i="3" s="1"/>
  <c r="AH510" i="3"/>
  <c r="X510" i="3"/>
  <c r="BQ507" i="3"/>
  <c r="BF507" i="3"/>
  <c r="BJ506" i="3" s="1"/>
  <c r="BK506" i="3" s="1"/>
  <c r="BB507" i="3"/>
  <c r="AN510" i="3"/>
  <c r="BN511" i="3" l="1"/>
  <c r="BM511" i="3"/>
  <c r="AU510" i="3"/>
  <c r="BG507" i="3"/>
  <c r="BH507" i="3" s="1"/>
  <c r="BI507" i="3" s="1"/>
  <c r="AT510" i="3"/>
  <c r="AW510" i="3"/>
  <c r="AO511" i="3"/>
  <c r="BC508" i="3"/>
  <c r="BD508" i="3" s="1"/>
  <c r="BA509" i="3"/>
  <c r="BQ509" i="3" s="1"/>
  <c r="Y511" i="3"/>
  <c r="Z511" i="3" s="1"/>
  <c r="AV509" i="3"/>
  <c r="AX510" i="3"/>
  <c r="AY509" i="3"/>
  <c r="AN511" i="3"/>
  <c r="B512" i="3"/>
  <c r="AQ512" i="3"/>
  <c r="AR512" i="3"/>
  <c r="A513" i="3"/>
  <c r="C512" i="3"/>
  <c r="AM512" i="3"/>
  <c r="AK512" i="3"/>
  <c r="S512" i="3"/>
  <c r="D512" i="3"/>
  <c r="R512" i="3"/>
  <c r="Q512" i="3"/>
  <c r="AD512" i="3"/>
  <c r="P512" i="3"/>
  <c r="O512" i="3"/>
  <c r="M512" i="3"/>
  <c r="V512" i="3"/>
  <c r="AF512" i="3"/>
  <c r="AE512" i="3"/>
  <c r="U512" i="3"/>
  <c r="G512" i="3"/>
  <c r="H512" i="3" s="1"/>
  <c r="F512" i="3"/>
  <c r="BM512" i="3" s="1"/>
  <c r="T512" i="3"/>
  <c r="BB508" i="3"/>
  <c r="BF508" i="3"/>
  <c r="BJ507" i="3" s="1"/>
  <c r="BK507" i="3" s="1"/>
  <c r="BQ508" i="3"/>
  <c r="AG511" i="3"/>
  <c r="AH511" i="3"/>
  <c r="X511" i="3"/>
  <c r="AV510" i="3" l="1"/>
  <c r="BF509" i="3"/>
  <c r="BJ508" i="3" s="1"/>
  <c r="BK508" i="3" s="1"/>
  <c r="BN512" i="3"/>
  <c r="AY510" i="3"/>
  <c r="BC509" i="3"/>
  <c r="BG509" i="3" s="1"/>
  <c r="BH509" i="3" s="1"/>
  <c r="BI509" i="3" s="1"/>
  <c r="BA510" i="3"/>
  <c r="BF510" i="3" s="1"/>
  <c r="AG512" i="3"/>
  <c r="BG508" i="3"/>
  <c r="BH508" i="3" s="1"/>
  <c r="BI508" i="3" s="1"/>
  <c r="AN512" i="3"/>
  <c r="AX511" i="3"/>
  <c r="Y512" i="3"/>
  <c r="Z512" i="3" s="1"/>
  <c r="BB509" i="3"/>
  <c r="AW511" i="3"/>
  <c r="AO512" i="3"/>
  <c r="X512" i="3"/>
  <c r="AU511" i="3"/>
  <c r="AQ513" i="3"/>
  <c r="B513" i="3"/>
  <c r="A514" i="3"/>
  <c r="AR513" i="3"/>
  <c r="C513" i="3"/>
  <c r="D513" i="3"/>
  <c r="AK513" i="3"/>
  <c r="AM513" i="3"/>
  <c r="T513" i="3"/>
  <c r="S513" i="3"/>
  <c r="Q513" i="3"/>
  <c r="R513" i="3"/>
  <c r="AD513" i="3"/>
  <c r="P513" i="3"/>
  <c r="O513" i="3"/>
  <c r="AE513" i="3"/>
  <c r="M513" i="3"/>
  <c r="AF513" i="3"/>
  <c r="V513" i="3"/>
  <c r="U513" i="3"/>
  <c r="G513" i="3"/>
  <c r="H513" i="3" s="1"/>
  <c r="F513" i="3"/>
  <c r="AH512" i="3"/>
  <c r="AT511" i="3"/>
  <c r="BJ509" i="3" l="1"/>
  <c r="BK509" i="3" s="1"/>
  <c r="BC510" i="3"/>
  <c r="BD510" i="3" s="1"/>
  <c r="BD509" i="3"/>
  <c r="AN513" i="3"/>
  <c r="AY511" i="3"/>
  <c r="BM513" i="3"/>
  <c r="BQ510" i="3"/>
  <c r="BB510" i="3"/>
  <c r="AX512" i="3"/>
  <c r="AU512" i="3"/>
  <c r="AG513" i="3"/>
  <c r="Y513" i="3"/>
  <c r="Z513" i="3" s="1"/>
  <c r="AT512" i="3"/>
  <c r="AV511" i="3"/>
  <c r="BA511" i="3"/>
  <c r="B514" i="3"/>
  <c r="A515" i="3"/>
  <c r="AQ514" i="3"/>
  <c r="AR514" i="3"/>
  <c r="C514" i="3"/>
  <c r="S514" i="3"/>
  <c r="AM514" i="3"/>
  <c r="D514" i="3"/>
  <c r="AK514" i="3"/>
  <c r="R514" i="3"/>
  <c r="Q514" i="3"/>
  <c r="AD514" i="3"/>
  <c r="P514" i="3"/>
  <c r="O514" i="3"/>
  <c r="AE514" i="3"/>
  <c r="AF514" i="3"/>
  <c r="M514" i="3"/>
  <c r="U514" i="3"/>
  <c r="V514" i="3"/>
  <c r="G514" i="3"/>
  <c r="H514" i="3" s="1"/>
  <c r="BN514" i="3" s="1"/>
  <c r="F514" i="3"/>
  <c r="BM514" i="3" s="1"/>
  <c r="T514" i="3"/>
  <c r="BN513" i="3"/>
  <c r="AH513" i="3"/>
  <c r="AO513" i="3"/>
  <c r="X513" i="3"/>
  <c r="AW512" i="3"/>
  <c r="BG510" i="3" l="1"/>
  <c r="BH510" i="3" s="1"/>
  <c r="BI510" i="3" s="1"/>
  <c r="AU513" i="3"/>
  <c r="AO514" i="3"/>
  <c r="BC511" i="3"/>
  <c r="BG511" i="3" s="1"/>
  <c r="BH511" i="3" s="1"/>
  <c r="BI511" i="3" s="1"/>
  <c r="AY512" i="3"/>
  <c r="AG514" i="3"/>
  <c r="AR515" i="3"/>
  <c r="B515" i="3"/>
  <c r="AQ515" i="3"/>
  <c r="A516" i="3"/>
  <c r="D515" i="3"/>
  <c r="AK515" i="3"/>
  <c r="AM515" i="3"/>
  <c r="Q515" i="3"/>
  <c r="C515" i="3"/>
  <c r="T515" i="3"/>
  <c r="S515" i="3"/>
  <c r="R515" i="3"/>
  <c r="AD515" i="3"/>
  <c r="P515" i="3"/>
  <c r="O515" i="3"/>
  <c r="M515" i="3"/>
  <c r="AE515" i="3"/>
  <c r="AF515" i="3"/>
  <c r="V515" i="3"/>
  <c r="U515" i="3"/>
  <c r="F515" i="3"/>
  <c r="BM515" i="3" s="1"/>
  <c r="G515" i="3"/>
  <c r="H515" i="3" s="1"/>
  <c r="BF511" i="3"/>
  <c r="BJ510" i="3" s="1"/>
  <c r="BK510" i="3" s="1"/>
  <c r="BQ511" i="3"/>
  <c r="BB511" i="3"/>
  <c r="AV512" i="3"/>
  <c r="BA512" i="3"/>
  <c r="AX513" i="3"/>
  <c r="Y514" i="3"/>
  <c r="Z514" i="3" s="1"/>
  <c r="AH514" i="3"/>
  <c r="AW513" i="3"/>
  <c r="AN514" i="3"/>
  <c r="X514" i="3"/>
  <c r="AT513" i="3"/>
  <c r="BD511" i="3" l="1"/>
  <c r="AT514" i="3"/>
  <c r="BN515" i="3"/>
  <c r="BC512" i="3"/>
  <c r="BG512" i="3" s="1"/>
  <c r="BH512" i="3" s="1"/>
  <c r="BI512" i="3" s="1"/>
  <c r="AN515" i="3"/>
  <c r="AY513" i="3"/>
  <c r="AU514" i="3"/>
  <c r="AW514" i="3"/>
  <c r="AG515" i="3"/>
  <c r="Y515" i="3"/>
  <c r="Z515" i="3" s="1"/>
  <c r="X515" i="3"/>
  <c r="BF512" i="3"/>
  <c r="BQ512" i="3"/>
  <c r="BB512" i="3"/>
  <c r="BA513" i="3"/>
  <c r="AV513" i="3"/>
  <c r="B516" i="3"/>
  <c r="AQ516" i="3"/>
  <c r="AR516" i="3"/>
  <c r="A517" i="3"/>
  <c r="C516" i="3"/>
  <c r="D516" i="3"/>
  <c r="S516" i="3"/>
  <c r="Q516" i="3"/>
  <c r="AM516" i="3"/>
  <c r="AK516" i="3"/>
  <c r="T516" i="3"/>
  <c r="R516" i="3"/>
  <c r="AD516" i="3"/>
  <c r="P516" i="3"/>
  <c r="O516" i="3"/>
  <c r="M516" i="3"/>
  <c r="V516" i="3"/>
  <c r="AF516" i="3"/>
  <c r="AE516" i="3"/>
  <c r="U516" i="3"/>
  <c r="G516" i="3"/>
  <c r="H516" i="3" s="1"/>
  <c r="F516" i="3"/>
  <c r="AX514" i="3"/>
  <c r="AH515" i="3"/>
  <c r="AO515" i="3"/>
  <c r="BC513" i="3" l="1"/>
  <c r="BG513" i="3" s="1"/>
  <c r="BH513" i="3" s="1"/>
  <c r="BI513" i="3" s="1"/>
  <c r="BD512" i="3"/>
  <c r="AV514" i="3"/>
  <c r="AY514" i="3"/>
  <c r="BN516" i="3"/>
  <c r="AG516" i="3"/>
  <c r="AN516" i="3"/>
  <c r="Y516" i="3"/>
  <c r="Z516" i="3" s="1"/>
  <c r="AQ517" i="3"/>
  <c r="B517" i="3"/>
  <c r="A518" i="3"/>
  <c r="AR517" i="3"/>
  <c r="D517" i="3"/>
  <c r="C517" i="3"/>
  <c r="AK517" i="3"/>
  <c r="AM517" i="3"/>
  <c r="R517" i="3"/>
  <c r="S517" i="3"/>
  <c r="AD517" i="3"/>
  <c r="P517" i="3"/>
  <c r="AE517" i="3"/>
  <c r="O517" i="3"/>
  <c r="M517" i="3"/>
  <c r="AF517" i="3"/>
  <c r="U517" i="3"/>
  <c r="V517" i="3"/>
  <c r="Q517" i="3"/>
  <c r="G517" i="3"/>
  <c r="H517" i="3" s="1"/>
  <c r="F517" i="3"/>
  <c r="T517" i="3"/>
  <c r="BJ511" i="3"/>
  <c r="BK511" i="3" s="1"/>
  <c r="AH516" i="3"/>
  <c r="X516" i="3"/>
  <c r="AX515" i="3"/>
  <c r="BM516" i="3"/>
  <c r="AO516" i="3"/>
  <c r="BA514" i="3"/>
  <c r="AU515" i="3"/>
  <c r="AW515" i="3"/>
  <c r="BB513" i="3"/>
  <c r="BQ513" i="3"/>
  <c r="BF513" i="3"/>
  <c r="BJ512" i="3" s="1"/>
  <c r="BK512" i="3" s="1"/>
  <c r="AT515" i="3"/>
  <c r="BD513" i="3" l="1"/>
  <c r="AU516" i="3"/>
  <c r="BC514" i="3"/>
  <c r="BD514" i="3" s="1"/>
  <c r="AW516" i="3"/>
  <c r="Y517" i="3"/>
  <c r="Z517" i="3" s="1"/>
  <c r="BN517" i="3"/>
  <c r="AN517" i="3"/>
  <c r="AT516" i="3"/>
  <c r="AY515" i="3"/>
  <c r="BQ514" i="3"/>
  <c r="BF514" i="3"/>
  <c r="BJ513" i="3" s="1"/>
  <c r="BK513" i="3" s="1"/>
  <c r="BB514" i="3"/>
  <c r="B518" i="3"/>
  <c r="A519" i="3"/>
  <c r="AQ518" i="3"/>
  <c r="AR518" i="3"/>
  <c r="C518" i="3"/>
  <c r="D518" i="3"/>
  <c r="T518" i="3"/>
  <c r="S518" i="3"/>
  <c r="AK518" i="3"/>
  <c r="AM518" i="3"/>
  <c r="Q518" i="3"/>
  <c r="R518" i="3"/>
  <c r="AD518" i="3"/>
  <c r="P518" i="3"/>
  <c r="O518" i="3"/>
  <c r="M518" i="3"/>
  <c r="AE518" i="3"/>
  <c r="U518" i="3"/>
  <c r="AF518" i="3"/>
  <c r="V518" i="3"/>
  <c r="F518" i="3"/>
  <c r="BM518" i="3" s="1"/>
  <c r="G518" i="3"/>
  <c r="H518" i="3" s="1"/>
  <c r="AX516" i="3"/>
  <c r="BM517" i="3"/>
  <c r="AG517" i="3"/>
  <c r="AH517" i="3"/>
  <c r="AO517" i="3"/>
  <c r="AV515" i="3"/>
  <c r="BA515" i="3"/>
  <c r="X517" i="3"/>
  <c r="BN518" i="3" l="1"/>
  <c r="AV516" i="3"/>
  <c r="BG514" i="3"/>
  <c r="BH514" i="3" s="1"/>
  <c r="BI514" i="3" s="1"/>
  <c r="BA516" i="3"/>
  <c r="BB516" i="3" s="1"/>
  <c r="AU517" i="3"/>
  <c r="BC515" i="3"/>
  <c r="BG515" i="3" s="1"/>
  <c r="BH515" i="3" s="1"/>
  <c r="BI515" i="3" s="1"/>
  <c r="AO518" i="3"/>
  <c r="BF515" i="3"/>
  <c r="BJ514" i="3" s="1"/>
  <c r="BK514" i="3" s="1"/>
  <c r="BB515" i="3"/>
  <c r="BQ515" i="3"/>
  <c r="AH518" i="3"/>
  <c r="AG518" i="3"/>
  <c r="Y518" i="3"/>
  <c r="Z518" i="3" s="1"/>
  <c r="AR519" i="3"/>
  <c r="B519" i="3"/>
  <c r="AQ519" i="3"/>
  <c r="A520" i="3"/>
  <c r="D519" i="3"/>
  <c r="C519" i="3"/>
  <c r="S519" i="3"/>
  <c r="AK519" i="3"/>
  <c r="AM519" i="3"/>
  <c r="R519" i="3"/>
  <c r="Q519" i="3"/>
  <c r="AD519" i="3"/>
  <c r="P519" i="3"/>
  <c r="O519" i="3"/>
  <c r="AE519" i="3"/>
  <c r="M519" i="3"/>
  <c r="AF519" i="3"/>
  <c r="V519" i="3"/>
  <c r="U519" i="3"/>
  <c r="G519" i="3"/>
  <c r="H519" i="3" s="1"/>
  <c r="F519" i="3"/>
  <c r="T519" i="3"/>
  <c r="AW517" i="3"/>
  <c r="AY516" i="3"/>
  <c r="AT517" i="3"/>
  <c r="AX517" i="3"/>
  <c r="AN518" i="3"/>
  <c r="X518" i="3"/>
  <c r="BC516" i="3" l="1"/>
  <c r="BD516" i="3" s="1"/>
  <c r="BD515" i="3"/>
  <c r="BM519" i="3"/>
  <c r="BN519" i="3"/>
  <c r="BF516" i="3"/>
  <c r="BJ515" i="3" s="1"/>
  <c r="BK515" i="3" s="1"/>
  <c r="BQ516" i="3"/>
  <c r="AU518" i="3"/>
  <c r="AN519" i="3"/>
  <c r="Y519" i="3"/>
  <c r="Z519" i="3" s="1"/>
  <c r="AY517" i="3"/>
  <c r="AT518" i="3"/>
  <c r="AX518" i="3"/>
  <c r="AG519" i="3"/>
  <c r="BA517" i="3"/>
  <c r="AV517" i="3"/>
  <c r="B520" i="3"/>
  <c r="AQ520" i="3"/>
  <c r="AR520" i="3"/>
  <c r="A521" i="3"/>
  <c r="C520" i="3"/>
  <c r="AM520" i="3"/>
  <c r="S520" i="3"/>
  <c r="R520" i="3"/>
  <c r="D520" i="3"/>
  <c r="AK520" i="3"/>
  <c r="Q520" i="3"/>
  <c r="AD520" i="3"/>
  <c r="P520" i="3"/>
  <c r="O520" i="3"/>
  <c r="AF520" i="3"/>
  <c r="V520" i="3"/>
  <c r="AE520" i="3"/>
  <c r="M520" i="3"/>
  <c r="U520" i="3"/>
  <c r="F520" i="3"/>
  <c r="G520" i="3"/>
  <c r="H520" i="3" s="1"/>
  <c r="BN520" i="3" s="1"/>
  <c r="T520" i="3"/>
  <c r="AH519" i="3"/>
  <c r="AO519" i="3"/>
  <c r="X519" i="3"/>
  <c r="AW518" i="3"/>
  <c r="AV518" i="3" l="1"/>
  <c r="BG516" i="3"/>
  <c r="BH516" i="3" s="1"/>
  <c r="BI516" i="3" s="1"/>
  <c r="AO520" i="3"/>
  <c r="AY518" i="3"/>
  <c r="AG520" i="3"/>
  <c r="AX519" i="3"/>
  <c r="BC517" i="3"/>
  <c r="BD517" i="3" s="1"/>
  <c r="AQ521" i="3"/>
  <c r="B521" i="3"/>
  <c r="A522" i="3"/>
  <c r="AR521" i="3"/>
  <c r="C521" i="3"/>
  <c r="AM521" i="3"/>
  <c r="AK521" i="3"/>
  <c r="S521" i="3"/>
  <c r="D521" i="3"/>
  <c r="R521" i="3"/>
  <c r="Q521" i="3"/>
  <c r="AD521" i="3"/>
  <c r="P521" i="3"/>
  <c r="O521" i="3"/>
  <c r="M521" i="3"/>
  <c r="AF521" i="3"/>
  <c r="AE521" i="3"/>
  <c r="V521" i="3"/>
  <c r="U521" i="3"/>
  <c r="F521" i="3"/>
  <c r="G521" i="3"/>
  <c r="H521" i="3" s="1"/>
  <c r="BN521" i="3" s="1"/>
  <c r="T521" i="3"/>
  <c r="BA518" i="3"/>
  <c r="Y520" i="3"/>
  <c r="Z520" i="3" s="1"/>
  <c r="BM520" i="3"/>
  <c r="AH520" i="3"/>
  <c r="AN520" i="3"/>
  <c r="AT519" i="3"/>
  <c r="AW519" i="3"/>
  <c r="BB517" i="3"/>
  <c r="BF517" i="3"/>
  <c r="BJ516" i="3" s="1"/>
  <c r="BK516" i="3" s="1"/>
  <c r="BQ517" i="3"/>
  <c r="X520" i="3"/>
  <c r="AU519" i="3"/>
  <c r="AU520" i="3" l="1"/>
  <c r="BC518" i="3"/>
  <c r="BG518" i="3" s="1"/>
  <c r="BH518" i="3" s="1"/>
  <c r="BI518" i="3" s="1"/>
  <c r="AY519" i="3"/>
  <c r="BM521" i="3"/>
  <c r="AT520" i="3"/>
  <c r="BG517" i="3"/>
  <c r="BH517" i="3" s="1"/>
  <c r="BI517" i="3" s="1"/>
  <c r="AN521" i="3"/>
  <c r="AW520" i="3"/>
  <c r="Y521" i="3"/>
  <c r="Z521" i="3" s="1"/>
  <c r="AV519" i="3"/>
  <c r="BA519" i="3"/>
  <c r="BQ518" i="3"/>
  <c r="BF518" i="3"/>
  <c r="BJ517" i="3" s="1"/>
  <c r="BK517" i="3" s="1"/>
  <c r="BB518" i="3"/>
  <c r="B522" i="3"/>
  <c r="A523" i="3"/>
  <c r="AQ522" i="3"/>
  <c r="AR522" i="3"/>
  <c r="C522" i="3"/>
  <c r="AM522" i="3"/>
  <c r="R522" i="3"/>
  <c r="D522" i="3"/>
  <c r="AK522" i="3"/>
  <c r="S522" i="3"/>
  <c r="Q522" i="3"/>
  <c r="AD522" i="3"/>
  <c r="P522" i="3"/>
  <c r="O522" i="3"/>
  <c r="V522" i="3"/>
  <c r="M522" i="3"/>
  <c r="AF522" i="3"/>
  <c r="AE522" i="3"/>
  <c r="U522" i="3"/>
  <c r="F522" i="3"/>
  <c r="G522" i="3"/>
  <c r="H522" i="3" s="1"/>
  <c r="T522" i="3"/>
  <c r="AX520" i="3"/>
  <c r="AG521" i="3"/>
  <c r="AO521" i="3"/>
  <c r="X521" i="3"/>
  <c r="AH521" i="3"/>
  <c r="AV520" i="3" l="1"/>
  <c r="BD518" i="3"/>
  <c r="BC519" i="3"/>
  <c r="BD519" i="3" s="1"/>
  <c r="AY520" i="3"/>
  <c r="BM522" i="3"/>
  <c r="AG522" i="3"/>
  <c r="AX521" i="3"/>
  <c r="AN522" i="3"/>
  <c r="Y522" i="3"/>
  <c r="Z522" i="3" s="1"/>
  <c r="BB519" i="3"/>
  <c r="BQ519" i="3"/>
  <c r="BF519" i="3"/>
  <c r="BJ518" i="3" s="1"/>
  <c r="BK518" i="3" s="1"/>
  <c r="AH522" i="3"/>
  <c r="AT521" i="3"/>
  <c r="AU521" i="3"/>
  <c r="AW521" i="3"/>
  <c r="BN522" i="3"/>
  <c r="AO522" i="3"/>
  <c r="X522" i="3"/>
  <c r="BA520" i="3"/>
  <c r="AR523" i="3"/>
  <c r="B523" i="3"/>
  <c r="AQ523" i="3"/>
  <c r="A524" i="3"/>
  <c r="C523" i="3"/>
  <c r="D523" i="3"/>
  <c r="T523" i="3"/>
  <c r="S523" i="3"/>
  <c r="R523" i="3"/>
  <c r="AK523" i="3"/>
  <c r="AM523" i="3"/>
  <c r="Q523" i="3"/>
  <c r="AD523" i="3"/>
  <c r="O523" i="3"/>
  <c r="AE523" i="3"/>
  <c r="M523" i="3"/>
  <c r="V523" i="3"/>
  <c r="P523" i="3"/>
  <c r="AF523" i="3"/>
  <c r="U523" i="3"/>
  <c r="F523" i="3"/>
  <c r="BM523" i="3" s="1"/>
  <c r="G523" i="3"/>
  <c r="H523" i="3" s="1"/>
  <c r="BN523" i="3" s="1"/>
  <c r="BC520" i="3" l="1"/>
  <c r="BD520" i="3" s="1"/>
  <c r="BG519" i="3"/>
  <c r="BH519" i="3" s="1"/>
  <c r="BI519" i="3" s="1"/>
  <c r="AU522" i="3"/>
  <c r="AY521" i="3"/>
  <c r="AN523" i="3"/>
  <c r="AW522" i="3"/>
  <c r="Y523" i="3"/>
  <c r="Z523" i="3" s="1"/>
  <c r="B524" i="3"/>
  <c r="AQ524" i="3"/>
  <c r="AR524" i="3"/>
  <c r="A525" i="3"/>
  <c r="C524" i="3"/>
  <c r="AM524" i="3"/>
  <c r="AK524" i="3"/>
  <c r="D524" i="3"/>
  <c r="S524" i="3"/>
  <c r="R524" i="3"/>
  <c r="Q524" i="3"/>
  <c r="P524" i="3"/>
  <c r="AD524" i="3"/>
  <c r="O524" i="3"/>
  <c r="M524" i="3"/>
  <c r="AF524" i="3"/>
  <c r="AE524" i="3"/>
  <c r="V524" i="3"/>
  <c r="U524" i="3"/>
  <c r="G524" i="3"/>
  <c r="H524" i="3" s="1"/>
  <c r="BN524" i="3" s="1"/>
  <c r="F524" i="3"/>
  <c r="T524" i="3"/>
  <c r="BQ520" i="3"/>
  <c r="BF520" i="3"/>
  <c r="BJ519" i="3" s="1"/>
  <c r="BK519" i="3" s="1"/>
  <c r="BB520" i="3"/>
  <c r="AG523" i="3"/>
  <c r="AH523" i="3"/>
  <c r="X523" i="3"/>
  <c r="AX522" i="3"/>
  <c r="AT522" i="3"/>
  <c r="AO523" i="3"/>
  <c r="AV521" i="3"/>
  <c r="BA521" i="3"/>
  <c r="BM524" i="3" l="1"/>
  <c r="BG520" i="3"/>
  <c r="BH520" i="3" s="1"/>
  <c r="BI520" i="3" s="1"/>
  <c r="AY522" i="3"/>
  <c r="AO524" i="3"/>
  <c r="Y524" i="3"/>
  <c r="Z524" i="3" s="1"/>
  <c r="AU523" i="3"/>
  <c r="AG524" i="3"/>
  <c r="BC521" i="3"/>
  <c r="BG521" i="3" s="1"/>
  <c r="BH521" i="3" s="1"/>
  <c r="BI521" i="3" s="1"/>
  <c r="AT523" i="3"/>
  <c r="BA522" i="3"/>
  <c r="AV522" i="3"/>
  <c r="AX523" i="3"/>
  <c r="AH524" i="3"/>
  <c r="X524" i="3"/>
  <c r="BB521" i="3"/>
  <c r="BF521" i="3"/>
  <c r="BJ520" i="3" s="1"/>
  <c r="BK520" i="3" s="1"/>
  <c r="BQ521" i="3"/>
  <c r="AQ525" i="3"/>
  <c r="B525" i="3"/>
  <c r="A526" i="3"/>
  <c r="AR525" i="3"/>
  <c r="C525" i="3"/>
  <c r="D525" i="3"/>
  <c r="AM525" i="3"/>
  <c r="AK525" i="3"/>
  <c r="S525" i="3"/>
  <c r="Q525" i="3"/>
  <c r="R525" i="3"/>
  <c r="T525" i="3"/>
  <c r="AD525" i="3"/>
  <c r="P525" i="3"/>
  <c r="M525" i="3"/>
  <c r="AE525" i="3"/>
  <c r="O525" i="3"/>
  <c r="AF525" i="3"/>
  <c r="V525" i="3"/>
  <c r="U525" i="3"/>
  <c r="G525" i="3"/>
  <c r="H525" i="3" s="1"/>
  <c r="F525" i="3"/>
  <c r="AW523" i="3"/>
  <c r="AN524" i="3"/>
  <c r="BD521" i="3" l="1"/>
  <c r="BC522" i="3"/>
  <c r="BG522" i="3" s="1"/>
  <c r="BH522" i="3" s="1"/>
  <c r="BI522" i="3" s="1"/>
  <c r="AN525" i="3"/>
  <c r="AV523" i="3"/>
  <c r="BN525" i="3"/>
  <c r="BM525" i="3"/>
  <c r="AT524" i="3"/>
  <c r="AY523" i="3"/>
  <c r="AU524" i="3"/>
  <c r="AH525" i="3"/>
  <c r="B526" i="3"/>
  <c r="A527" i="3"/>
  <c r="AQ526" i="3"/>
  <c r="AR526" i="3"/>
  <c r="C526" i="3"/>
  <c r="AM526" i="3"/>
  <c r="Q526" i="3"/>
  <c r="D526" i="3"/>
  <c r="AK526" i="3"/>
  <c r="T526" i="3"/>
  <c r="S526" i="3"/>
  <c r="R526" i="3"/>
  <c r="AD526" i="3"/>
  <c r="P526" i="3"/>
  <c r="O526" i="3"/>
  <c r="M526" i="3"/>
  <c r="AE526" i="3"/>
  <c r="V526" i="3"/>
  <c r="AF526" i="3"/>
  <c r="U526" i="3"/>
  <c r="G526" i="3"/>
  <c r="H526" i="3" s="1"/>
  <c r="F526" i="3"/>
  <c r="BB522" i="3"/>
  <c r="BQ522" i="3"/>
  <c r="BF522" i="3"/>
  <c r="BJ521" i="3" s="1"/>
  <c r="BK521" i="3" s="1"/>
  <c r="X525" i="3"/>
  <c r="BA523" i="3"/>
  <c r="AX524" i="3"/>
  <c r="Y525" i="3"/>
  <c r="Z525" i="3" s="1"/>
  <c r="AG525" i="3"/>
  <c r="AO525" i="3"/>
  <c r="AW524" i="3"/>
  <c r="BD522" i="3" l="1"/>
  <c r="AV524" i="3"/>
  <c r="AT525" i="3"/>
  <c r="BC523" i="3"/>
  <c r="BD523" i="3" s="1"/>
  <c r="BM526" i="3"/>
  <c r="AH526" i="3"/>
  <c r="AN526" i="3"/>
  <c r="AU525" i="3"/>
  <c r="AW525" i="3"/>
  <c r="AY524" i="3"/>
  <c r="BA524" i="3"/>
  <c r="BN526" i="3"/>
  <c r="AG526" i="3"/>
  <c r="AO526" i="3"/>
  <c r="X526" i="3"/>
  <c r="BF523" i="3"/>
  <c r="BJ522" i="3" s="1"/>
  <c r="BK522" i="3" s="1"/>
  <c r="BQ523" i="3"/>
  <c r="BB523" i="3"/>
  <c r="Y526" i="3"/>
  <c r="Z526" i="3" s="1"/>
  <c r="AR527" i="3"/>
  <c r="B527" i="3"/>
  <c r="AQ527" i="3"/>
  <c r="A528" i="3"/>
  <c r="C527" i="3"/>
  <c r="AM527" i="3"/>
  <c r="T527" i="3"/>
  <c r="AK527" i="3"/>
  <c r="D527" i="3"/>
  <c r="R527" i="3"/>
  <c r="S527" i="3"/>
  <c r="Q527" i="3"/>
  <c r="AD527" i="3"/>
  <c r="O527" i="3"/>
  <c r="P527" i="3"/>
  <c r="U527" i="3"/>
  <c r="V527" i="3"/>
  <c r="AF527" i="3"/>
  <c r="AE527" i="3"/>
  <c r="M527" i="3"/>
  <c r="G527" i="3"/>
  <c r="H527" i="3" s="1"/>
  <c r="BN527" i="3" s="1"/>
  <c r="F527" i="3"/>
  <c r="AX525" i="3"/>
  <c r="BC524" i="3" l="1"/>
  <c r="BD524" i="3" s="1"/>
  <c r="AO527" i="3"/>
  <c r="AV525" i="3"/>
  <c r="AU526" i="3"/>
  <c r="BG523" i="3"/>
  <c r="BH523" i="3" s="1"/>
  <c r="BI523" i="3" s="1"/>
  <c r="AG527" i="3"/>
  <c r="AT526" i="3"/>
  <c r="AW526" i="3"/>
  <c r="BA525" i="3"/>
  <c r="BF525" i="3" s="1"/>
  <c r="B528" i="3"/>
  <c r="AQ528" i="3"/>
  <c r="AR528" i="3"/>
  <c r="A529" i="3"/>
  <c r="C528" i="3"/>
  <c r="D528" i="3"/>
  <c r="AK528" i="3"/>
  <c r="AM528" i="3"/>
  <c r="T528" i="3"/>
  <c r="S528" i="3"/>
  <c r="R528" i="3"/>
  <c r="AD528" i="3"/>
  <c r="Q528" i="3"/>
  <c r="O528" i="3"/>
  <c r="AF528" i="3"/>
  <c r="M528" i="3"/>
  <c r="P528" i="3"/>
  <c r="AE528" i="3"/>
  <c r="V528" i="3"/>
  <c r="U528" i="3"/>
  <c r="F528" i="3"/>
  <c r="BM528" i="3" s="1"/>
  <c r="G528" i="3"/>
  <c r="H528" i="3" s="1"/>
  <c r="BN528" i="3" s="1"/>
  <c r="X527" i="3"/>
  <c r="BM527" i="3"/>
  <c r="AN527" i="3"/>
  <c r="Y527" i="3"/>
  <c r="Z527" i="3" s="1"/>
  <c r="BQ524" i="3"/>
  <c r="BB524" i="3"/>
  <c r="BF524" i="3"/>
  <c r="BJ523" i="3" s="1"/>
  <c r="BK523" i="3" s="1"/>
  <c r="AH527" i="3"/>
  <c r="AX526" i="3"/>
  <c r="AY525" i="3"/>
  <c r="BG524" i="3" l="1"/>
  <c r="BH524" i="3" s="1"/>
  <c r="BI524" i="3" s="1"/>
  <c r="BC525" i="3"/>
  <c r="BG525" i="3" s="1"/>
  <c r="BH525" i="3" s="1"/>
  <c r="BI525" i="3" s="1"/>
  <c r="AV526" i="3"/>
  <c r="AX527" i="3"/>
  <c r="AO528" i="3"/>
  <c r="BA526" i="3"/>
  <c r="BB526" i="3" s="1"/>
  <c r="BQ525" i="3"/>
  <c r="AY526" i="3"/>
  <c r="BB525" i="3"/>
  <c r="Y528" i="3"/>
  <c r="Z528" i="3" s="1"/>
  <c r="AQ529" i="3"/>
  <c r="B529" i="3"/>
  <c r="A530" i="3"/>
  <c r="AR529" i="3"/>
  <c r="D529" i="3"/>
  <c r="C529" i="3"/>
  <c r="AM529" i="3"/>
  <c r="R529" i="3"/>
  <c r="AK529" i="3"/>
  <c r="Q529" i="3"/>
  <c r="AD529" i="3"/>
  <c r="P529" i="3"/>
  <c r="S529" i="3"/>
  <c r="AE529" i="3"/>
  <c r="M529" i="3"/>
  <c r="O529" i="3"/>
  <c r="AF529" i="3"/>
  <c r="V529" i="3"/>
  <c r="U529" i="3"/>
  <c r="G529" i="3"/>
  <c r="H529" i="3" s="1"/>
  <c r="F529" i="3"/>
  <c r="T529" i="3"/>
  <c r="AU527" i="3"/>
  <c r="AW527" i="3"/>
  <c r="AT527" i="3"/>
  <c r="AG528" i="3"/>
  <c r="AH528" i="3"/>
  <c r="AN528" i="3"/>
  <c r="BJ524" i="3"/>
  <c r="BK524" i="3" s="1"/>
  <c r="X528" i="3"/>
  <c r="BD525" i="3" l="1"/>
  <c r="AO529" i="3"/>
  <c r="BQ526" i="3"/>
  <c r="BC526" i="3"/>
  <c r="BG526" i="3" s="1"/>
  <c r="BH526" i="3" s="1"/>
  <c r="BI526" i="3" s="1"/>
  <c r="BM529" i="3"/>
  <c r="AY527" i="3"/>
  <c r="BF526" i="3"/>
  <c r="BJ525" i="3" s="1"/>
  <c r="BK525" i="3" s="1"/>
  <c r="AU528" i="3"/>
  <c r="AX528" i="3"/>
  <c r="AH529" i="3"/>
  <c r="AT528" i="3"/>
  <c r="AW528" i="3"/>
  <c r="Y529" i="3"/>
  <c r="Z529" i="3" s="1"/>
  <c r="BN529" i="3"/>
  <c r="AG529" i="3"/>
  <c r="X529" i="3"/>
  <c r="AV527" i="3"/>
  <c r="BA527" i="3"/>
  <c r="B530" i="3"/>
  <c r="A531" i="3"/>
  <c r="AQ530" i="3"/>
  <c r="AR530" i="3"/>
  <c r="D530" i="3"/>
  <c r="C530" i="3"/>
  <c r="AK530" i="3"/>
  <c r="AM530" i="3"/>
  <c r="T530" i="3"/>
  <c r="Q530" i="3"/>
  <c r="S530" i="3"/>
  <c r="AD530" i="3"/>
  <c r="P530" i="3"/>
  <c r="O530" i="3"/>
  <c r="M530" i="3"/>
  <c r="U530" i="3"/>
  <c r="V530" i="3"/>
  <c r="AE530" i="3"/>
  <c r="AF530" i="3"/>
  <c r="R530" i="3"/>
  <c r="G530" i="3"/>
  <c r="H530" i="3" s="1"/>
  <c r="F530" i="3"/>
  <c r="AN529" i="3"/>
  <c r="BM530" i="3" l="1"/>
  <c r="BN530" i="3"/>
  <c r="BD526" i="3"/>
  <c r="AN530" i="3"/>
  <c r="BC527" i="3"/>
  <c r="BG527" i="3" s="1"/>
  <c r="BH527" i="3" s="1"/>
  <c r="BI527" i="3" s="1"/>
  <c r="AG530" i="3"/>
  <c r="AY528" i="3"/>
  <c r="AT529" i="3"/>
  <c r="AU529" i="3"/>
  <c r="AX529" i="3"/>
  <c r="BA528" i="3"/>
  <c r="BQ528" i="3" s="1"/>
  <c r="Y530" i="3"/>
  <c r="Z530" i="3" s="1"/>
  <c r="AH530" i="3"/>
  <c r="AO530" i="3"/>
  <c r="AV528" i="3"/>
  <c r="AR531" i="3"/>
  <c r="B531" i="3"/>
  <c r="AQ531" i="3"/>
  <c r="A532" i="3"/>
  <c r="C531" i="3"/>
  <c r="AK531" i="3"/>
  <c r="S531" i="3"/>
  <c r="Q531" i="3"/>
  <c r="AM531" i="3"/>
  <c r="D531" i="3"/>
  <c r="R531" i="3"/>
  <c r="P531" i="3"/>
  <c r="AD531" i="3"/>
  <c r="AE531" i="3"/>
  <c r="M531" i="3"/>
  <c r="O531" i="3"/>
  <c r="AF531" i="3"/>
  <c r="U531" i="3"/>
  <c r="V531" i="3"/>
  <c r="G531" i="3"/>
  <c r="H531" i="3" s="1"/>
  <c r="F531" i="3"/>
  <c r="T531" i="3"/>
  <c r="BB527" i="3"/>
  <c r="BF527" i="3"/>
  <c r="BJ526" i="3" s="1"/>
  <c r="BK526" i="3" s="1"/>
  <c r="BQ527" i="3"/>
  <c r="X530" i="3"/>
  <c r="AW529" i="3"/>
  <c r="BD527" i="3" l="1"/>
  <c r="BM531" i="3"/>
  <c r="BN531" i="3"/>
  <c r="AO531" i="3"/>
  <c r="BC528" i="3"/>
  <c r="BD528" i="3" s="1"/>
  <c r="AV529" i="3"/>
  <c r="AY529" i="3"/>
  <c r="AG531" i="3"/>
  <c r="Y531" i="3"/>
  <c r="Z531" i="3" s="1"/>
  <c r="BF528" i="3"/>
  <c r="BJ527" i="3" s="1"/>
  <c r="BK527" i="3" s="1"/>
  <c r="BB528" i="3"/>
  <c r="AU530" i="3"/>
  <c r="AT530" i="3"/>
  <c r="BA529" i="3"/>
  <c r="AH531" i="3"/>
  <c r="AN531" i="3"/>
  <c r="X531" i="3"/>
  <c r="AX530" i="3"/>
  <c r="AW530" i="3"/>
  <c r="B532" i="3"/>
  <c r="AQ532" i="3"/>
  <c r="AR532" i="3"/>
  <c r="A533" i="3"/>
  <c r="D532" i="3"/>
  <c r="AK532" i="3"/>
  <c r="C532" i="3"/>
  <c r="AM532" i="3"/>
  <c r="S532" i="3"/>
  <c r="AD532" i="3"/>
  <c r="P532" i="3"/>
  <c r="R532" i="3"/>
  <c r="M532" i="3"/>
  <c r="U532" i="3"/>
  <c r="O532" i="3"/>
  <c r="AE532" i="3"/>
  <c r="AF532" i="3"/>
  <c r="V532" i="3"/>
  <c r="Q532" i="3"/>
  <c r="G532" i="3"/>
  <c r="H532" i="3" s="1"/>
  <c r="F532" i="3"/>
  <c r="T532" i="3"/>
  <c r="BM532" i="3" l="1"/>
  <c r="AN532" i="3"/>
  <c r="BG528" i="3"/>
  <c r="BH528" i="3" s="1"/>
  <c r="BI528" i="3" s="1"/>
  <c r="BN532" i="3"/>
  <c r="BC529" i="3"/>
  <c r="BD529" i="3" s="1"/>
  <c r="AV530" i="3"/>
  <c r="AG532" i="3"/>
  <c r="AX531" i="3"/>
  <c r="AW531" i="3"/>
  <c r="AT531" i="3"/>
  <c r="Y532" i="3"/>
  <c r="Z532" i="3" s="1"/>
  <c r="BA530" i="3"/>
  <c r="BF530" i="3" s="1"/>
  <c r="BB529" i="3"/>
  <c r="BF529" i="3"/>
  <c r="BJ528" i="3" s="1"/>
  <c r="BK528" i="3" s="1"/>
  <c r="BQ529" i="3"/>
  <c r="X532" i="3"/>
  <c r="AY530" i="3"/>
  <c r="AU531" i="3"/>
  <c r="AQ533" i="3"/>
  <c r="B533" i="3"/>
  <c r="A534" i="3"/>
  <c r="AR533" i="3"/>
  <c r="C533" i="3"/>
  <c r="D533" i="3"/>
  <c r="T533" i="3"/>
  <c r="S533" i="3"/>
  <c r="AK533" i="3"/>
  <c r="AM533" i="3"/>
  <c r="R533" i="3"/>
  <c r="Q533" i="3"/>
  <c r="AD533" i="3"/>
  <c r="M533" i="3"/>
  <c r="AE533" i="3"/>
  <c r="U533" i="3"/>
  <c r="V533" i="3"/>
  <c r="P533" i="3"/>
  <c r="O533" i="3"/>
  <c r="AF533" i="3"/>
  <c r="F533" i="3"/>
  <c r="G533" i="3"/>
  <c r="H533" i="3" s="1"/>
  <c r="AH532" i="3"/>
  <c r="AO532" i="3"/>
  <c r="BN533" i="3" l="1"/>
  <c r="BM533" i="3"/>
  <c r="BC530" i="3"/>
  <c r="BD530" i="3" s="1"/>
  <c r="BG529" i="3"/>
  <c r="BH529" i="3" s="1"/>
  <c r="BI529" i="3" s="1"/>
  <c r="AG533" i="3"/>
  <c r="AU532" i="3"/>
  <c r="AY531" i="3"/>
  <c r="BB530" i="3"/>
  <c r="AO533" i="3"/>
  <c r="AV531" i="3"/>
  <c r="AW532" i="3"/>
  <c r="BA531" i="3"/>
  <c r="BQ531" i="3" s="1"/>
  <c r="BQ530" i="3"/>
  <c r="B534" i="3"/>
  <c r="A535" i="3"/>
  <c r="AQ534" i="3"/>
  <c r="AR534" i="3"/>
  <c r="D534" i="3"/>
  <c r="C534" i="3"/>
  <c r="AK534" i="3"/>
  <c r="AM534" i="3"/>
  <c r="S534" i="3"/>
  <c r="R534" i="3"/>
  <c r="Q534" i="3"/>
  <c r="AD534" i="3"/>
  <c r="P534" i="3"/>
  <c r="O534" i="3"/>
  <c r="AE534" i="3"/>
  <c r="AF534" i="3"/>
  <c r="V534" i="3"/>
  <c r="M534" i="3"/>
  <c r="U534" i="3"/>
  <c r="F534" i="3"/>
  <c r="G534" i="3"/>
  <c r="H534" i="3" s="1"/>
  <c r="BN534" i="3" s="1"/>
  <c r="T534" i="3"/>
  <c r="AH533" i="3"/>
  <c r="X533" i="3"/>
  <c r="BJ529" i="3"/>
  <c r="BK529" i="3" s="1"/>
  <c r="Y533" i="3"/>
  <c r="Z533" i="3" s="1"/>
  <c r="AX532" i="3"/>
  <c r="AN533" i="3"/>
  <c r="AT532" i="3"/>
  <c r="BM534" i="3" l="1"/>
  <c r="BG530" i="3"/>
  <c r="BH530" i="3" s="1"/>
  <c r="BI530" i="3" s="1"/>
  <c r="AT533" i="3"/>
  <c r="BC531" i="3"/>
  <c r="BD531" i="3" s="1"/>
  <c r="AU533" i="3"/>
  <c r="AY532" i="3"/>
  <c r="BF531" i="3"/>
  <c r="BJ530" i="3" s="1"/>
  <c r="BK530" i="3" s="1"/>
  <c r="BB531" i="3"/>
  <c r="AO534" i="3"/>
  <c r="AW533" i="3"/>
  <c r="AG534" i="3"/>
  <c r="BA532" i="3"/>
  <c r="BF532" i="3" s="1"/>
  <c r="AR535" i="3"/>
  <c r="B535" i="3"/>
  <c r="AQ535" i="3"/>
  <c r="A536" i="3"/>
  <c r="D535" i="3"/>
  <c r="C535" i="3"/>
  <c r="AM535" i="3"/>
  <c r="AK535" i="3"/>
  <c r="S535" i="3"/>
  <c r="Q535" i="3"/>
  <c r="T535" i="3"/>
  <c r="R535" i="3"/>
  <c r="AD535" i="3"/>
  <c r="P535" i="3"/>
  <c r="M535" i="3"/>
  <c r="O535" i="3"/>
  <c r="AE535" i="3"/>
  <c r="AF535" i="3"/>
  <c r="V535" i="3"/>
  <c r="U535" i="3"/>
  <c r="F535" i="3"/>
  <c r="G535" i="3"/>
  <c r="H535" i="3" s="1"/>
  <c r="AV532" i="3"/>
  <c r="AX533" i="3"/>
  <c r="Y534" i="3"/>
  <c r="Z534" i="3" s="1"/>
  <c r="AH534" i="3"/>
  <c r="AN534" i="3"/>
  <c r="X534" i="3"/>
  <c r="BG531" i="3" l="1"/>
  <c r="BH531" i="3" s="1"/>
  <c r="BI531" i="3" s="1"/>
  <c r="BC532" i="3"/>
  <c r="BD532" i="3" s="1"/>
  <c r="BJ531" i="3"/>
  <c r="BK531" i="3" s="1"/>
  <c r="AV533" i="3"/>
  <c r="BN535" i="3"/>
  <c r="BM535" i="3"/>
  <c r="BQ532" i="3"/>
  <c r="BA533" i="3"/>
  <c r="BF533" i="3" s="1"/>
  <c r="BJ532" i="3" s="1"/>
  <c r="BK532" i="3" s="1"/>
  <c r="AO535" i="3"/>
  <c r="BB532" i="3"/>
  <c r="AX534" i="3"/>
  <c r="AH535" i="3"/>
  <c r="Y535" i="3"/>
  <c r="Z535" i="3" s="1"/>
  <c r="AU534" i="3"/>
  <c r="AW534" i="3"/>
  <c r="AT534" i="3"/>
  <c r="AG535" i="3"/>
  <c r="AN535" i="3"/>
  <c r="AY533" i="3"/>
  <c r="B536" i="3"/>
  <c r="AQ536" i="3"/>
  <c r="AR536" i="3"/>
  <c r="A537" i="3"/>
  <c r="D536" i="3"/>
  <c r="AM536" i="3"/>
  <c r="S536" i="3"/>
  <c r="Q536" i="3"/>
  <c r="C536" i="3"/>
  <c r="AK536" i="3"/>
  <c r="T536" i="3"/>
  <c r="AD536" i="3"/>
  <c r="P536" i="3"/>
  <c r="R536" i="3"/>
  <c r="M536" i="3"/>
  <c r="O536" i="3"/>
  <c r="AF536" i="3"/>
  <c r="U536" i="3"/>
  <c r="AE536" i="3"/>
  <c r="V536" i="3"/>
  <c r="F536" i="3"/>
  <c r="BM536" i="3" s="1"/>
  <c r="G536" i="3"/>
  <c r="H536" i="3" s="1"/>
  <c r="X535" i="3"/>
  <c r="BG532" i="3" l="1"/>
  <c r="BH532" i="3" s="1"/>
  <c r="BI532" i="3" s="1"/>
  <c r="BC533" i="3"/>
  <c r="BD533" i="3" s="1"/>
  <c r="AO536" i="3"/>
  <c r="BN536" i="3"/>
  <c r="BQ533" i="3"/>
  <c r="BB533" i="3"/>
  <c r="AW535" i="3"/>
  <c r="AY534" i="3"/>
  <c r="Y536" i="3"/>
  <c r="Z536" i="3" s="1"/>
  <c r="AU535" i="3"/>
  <c r="AG536" i="3"/>
  <c r="AH536" i="3"/>
  <c r="X536" i="3"/>
  <c r="AT535" i="3"/>
  <c r="BA534" i="3"/>
  <c r="AV534" i="3"/>
  <c r="AQ537" i="3"/>
  <c r="B537" i="3"/>
  <c r="A538" i="3"/>
  <c r="AR537" i="3"/>
  <c r="D537" i="3"/>
  <c r="T537" i="3"/>
  <c r="S537" i="3"/>
  <c r="C537" i="3"/>
  <c r="AK537" i="3"/>
  <c r="AM537" i="3"/>
  <c r="P537" i="3"/>
  <c r="Q537" i="3"/>
  <c r="AD537" i="3"/>
  <c r="M537" i="3"/>
  <c r="O537" i="3"/>
  <c r="AF537" i="3"/>
  <c r="V537" i="3"/>
  <c r="AE537" i="3"/>
  <c r="U537" i="3"/>
  <c r="R537" i="3"/>
  <c r="G537" i="3"/>
  <c r="H537" i="3" s="1"/>
  <c r="F537" i="3"/>
  <c r="AN536" i="3"/>
  <c r="AX535" i="3"/>
  <c r="BN537" i="3" l="1"/>
  <c r="BM537" i="3"/>
  <c r="BC534" i="3"/>
  <c r="BG534" i="3" s="1"/>
  <c r="BH534" i="3" s="1"/>
  <c r="BI534" i="3" s="1"/>
  <c r="BG533" i="3"/>
  <c r="BH533" i="3" s="1"/>
  <c r="BI533" i="3" s="1"/>
  <c r="AY535" i="3"/>
  <c r="AO537" i="3"/>
  <c r="AT536" i="3"/>
  <c r="AN537" i="3"/>
  <c r="AX536" i="3"/>
  <c r="AU536" i="3"/>
  <c r="AG537" i="3"/>
  <c r="BA535" i="3"/>
  <c r="AV535" i="3"/>
  <c r="AH537" i="3"/>
  <c r="X537" i="3"/>
  <c r="AW536" i="3"/>
  <c r="Y537" i="3"/>
  <c r="Z537" i="3" s="1"/>
  <c r="B538" i="3"/>
  <c r="A539" i="3"/>
  <c r="AQ538" i="3"/>
  <c r="AR538" i="3"/>
  <c r="C538" i="3"/>
  <c r="AM538" i="3"/>
  <c r="T538" i="3"/>
  <c r="Q538" i="3"/>
  <c r="AK538" i="3"/>
  <c r="D538" i="3"/>
  <c r="S538" i="3"/>
  <c r="R538" i="3"/>
  <c r="AD538" i="3"/>
  <c r="AE538" i="3"/>
  <c r="M538" i="3"/>
  <c r="P538" i="3"/>
  <c r="O538" i="3"/>
  <c r="AF538" i="3"/>
  <c r="V538" i="3"/>
  <c r="U538" i="3"/>
  <c r="G538" i="3"/>
  <c r="H538" i="3" s="1"/>
  <c r="F538" i="3"/>
  <c r="BB534" i="3"/>
  <c r="BF534" i="3"/>
  <c r="BJ533" i="3" s="1"/>
  <c r="BK533" i="3" s="1"/>
  <c r="BQ534" i="3"/>
  <c r="BC535" i="3" l="1"/>
  <c r="BG535" i="3" s="1"/>
  <c r="BH535" i="3" s="1"/>
  <c r="BI535" i="3" s="1"/>
  <c r="BD534" i="3"/>
  <c r="BM538" i="3"/>
  <c r="BN538" i="3"/>
  <c r="AO538" i="3"/>
  <c r="AY536" i="3"/>
  <c r="AX537" i="3"/>
  <c r="AV536" i="3"/>
  <c r="AT537" i="3"/>
  <c r="AN538" i="3"/>
  <c r="AU537" i="3"/>
  <c r="BA536" i="3"/>
  <c r="BQ536" i="3" s="1"/>
  <c r="AH538" i="3"/>
  <c r="X538" i="3"/>
  <c r="Y538" i="3"/>
  <c r="Z538" i="3" s="1"/>
  <c r="AR539" i="3"/>
  <c r="B539" i="3"/>
  <c r="AQ539" i="3"/>
  <c r="A540" i="3"/>
  <c r="C539" i="3"/>
  <c r="AM539" i="3"/>
  <c r="S539" i="3"/>
  <c r="Q539" i="3"/>
  <c r="D539" i="3"/>
  <c r="AK539" i="3"/>
  <c r="AD539" i="3"/>
  <c r="R539" i="3"/>
  <c r="P539" i="3"/>
  <c r="O539" i="3"/>
  <c r="M539" i="3"/>
  <c r="AE539" i="3"/>
  <c r="AF539" i="3"/>
  <c r="U539" i="3"/>
  <c r="V539" i="3"/>
  <c r="F539" i="3"/>
  <c r="G539" i="3"/>
  <c r="H539" i="3" s="1"/>
  <c r="T539" i="3"/>
  <c r="BF535" i="3"/>
  <c r="BJ534" i="3" s="1"/>
  <c r="BK534" i="3" s="1"/>
  <c r="BQ535" i="3"/>
  <c r="BB535" i="3"/>
  <c r="AG538" i="3"/>
  <c r="AW537" i="3"/>
  <c r="BD535" i="3" l="1"/>
  <c r="AO539" i="3"/>
  <c r="BC536" i="3"/>
  <c r="BG536" i="3" s="1"/>
  <c r="BH536" i="3" s="1"/>
  <c r="BI536" i="3" s="1"/>
  <c r="BN539" i="3"/>
  <c r="AV537" i="3"/>
  <c r="AY537" i="3"/>
  <c r="AW538" i="3"/>
  <c r="BM539" i="3"/>
  <c r="BB536" i="3"/>
  <c r="BF536" i="3"/>
  <c r="BJ535" i="3" s="1"/>
  <c r="BK535" i="3" s="1"/>
  <c r="AG539" i="3"/>
  <c r="Y539" i="3"/>
  <c r="Z539" i="3" s="1"/>
  <c r="AT538" i="3"/>
  <c r="AH539" i="3"/>
  <c r="X539" i="3"/>
  <c r="AU538" i="3"/>
  <c r="AX538" i="3"/>
  <c r="B540" i="3"/>
  <c r="AQ540" i="3"/>
  <c r="AR540" i="3"/>
  <c r="A541" i="3"/>
  <c r="C540" i="3"/>
  <c r="D540" i="3"/>
  <c r="S540" i="3"/>
  <c r="Q540" i="3"/>
  <c r="AM540" i="3"/>
  <c r="AK540" i="3"/>
  <c r="T540" i="3"/>
  <c r="AD540" i="3"/>
  <c r="P540" i="3"/>
  <c r="O540" i="3"/>
  <c r="AE540" i="3"/>
  <c r="AF540" i="3"/>
  <c r="M540" i="3"/>
  <c r="V540" i="3"/>
  <c r="U540" i="3"/>
  <c r="R540" i="3"/>
  <c r="F540" i="3"/>
  <c r="G540" i="3"/>
  <c r="H540" i="3" s="1"/>
  <c r="AN539" i="3"/>
  <c r="BA537" i="3"/>
  <c r="BN540" i="3" l="1"/>
  <c r="BM540" i="3"/>
  <c r="BD536" i="3"/>
  <c r="BC537" i="3"/>
  <c r="AY538" i="3"/>
  <c r="AT539" i="3"/>
  <c r="AO540" i="3"/>
  <c r="AU539" i="3"/>
  <c r="AW539" i="3"/>
  <c r="BB537" i="3"/>
  <c r="BF537" i="3"/>
  <c r="BQ537" i="3"/>
  <c r="AV538" i="3"/>
  <c r="BA538" i="3"/>
  <c r="AH540" i="3"/>
  <c r="AG540" i="3"/>
  <c r="AN540" i="3"/>
  <c r="X540" i="3"/>
  <c r="Y540" i="3"/>
  <c r="Z540" i="3" s="1"/>
  <c r="AQ541" i="3"/>
  <c r="B541" i="3"/>
  <c r="A542" i="3"/>
  <c r="AR541" i="3"/>
  <c r="C541" i="3"/>
  <c r="D541" i="3"/>
  <c r="AM541" i="3"/>
  <c r="S541" i="3"/>
  <c r="Q541" i="3"/>
  <c r="AK541" i="3"/>
  <c r="R541" i="3"/>
  <c r="P541" i="3"/>
  <c r="AD541" i="3"/>
  <c r="O541" i="3"/>
  <c r="AE541" i="3"/>
  <c r="U541" i="3"/>
  <c r="M541" i="3"/>
  <c r="AF541" i="3"/>
  <c r="V541" i="3"/>
  <c r="G541" i="3"/>
  <c r="H541" i="3" s="1"/>
  <c r="F541" i="3"/>
  <c r="T541" i="3"/>
  <c r="AX539" i="3"/>
  <c r="BM541" i="3" l="1"/>
  <c r="BN541" i="3"/>
  <c r="BC538" i="3"/>
  <c r="BD538" i="3" s="1"/>
  <c r="BG537" i="3"/>
  <c r="BH537" i="3" s="1"/>
  <c r="BI537" i="3" s="1"/>
  <c r="BD537" i="3"/>
  <c r="AV539" i="3"/>
  <c r="AO541" i="3"/>
  <c r="AU540" i="3"/>
  <c r="AY539" i="3"/>
  <c r="B542" i="3"/>
  <c r="A543" i="3"/>
  <c r="AQ542" i="3"/>
  <c r="AR542" i="3"/>
  <c r="C542" i="3"/>
  <c r="D542" i="3"/>
  <c r="AM542" i="3"/>
  <c r="AK542" i="3"/>
  <c r="Q542" i="3"/>
  <c r="R542" i="3"/>
  <c r="S542" i="3"/>
  <c r="AD542" i="3"/>
  <c r="P542" i="3"/>
  <c r="O542" i="3"/>
  <c r="AE542" i="3"/>
  <c r="AF542" i="3"/>
  <c r="M542" i="3"/>
  <c r="V542" i="3"/>
  <c r="U542" i="3"/>
  <c r="G542" i="3"/>
  <c r="H542" i="3" s="1"/>
  <c r="F542" i="3"/>
  <c r="BM542" i="3" s="1"/>
  <c r="T542" i="3"/>
  <c r="BJ536" i="3"/>
  <c r="BK536" i="3" s="1"/>
  <c r="Y541" i="3"/>
  <c r="Z541" i="3" s="1"/>
  <c r="BA539" i="3"/>
  <c r="AG541" i="3"/>
  <c r="AH541" i="3"/>
  <c r="AN541" i="3"/>
  <c r="X541" i="3"/>
  <c r="AT540" i="3"/>
  <c r="AW540" i="3"/>
  <c r="BQ538" i="3"/>
  <c r="BF538" i="3"/>
  <c r="BJ537" i="3" s="1"/>
  <c r="BK537" i="3" s="1"/>
  <c r="BB538" i="3"/>
  <c r="AX540" i="3"/>
  <c r="BN542" i="3" l="1"/>
  <c r="BG538" i="3"/>
  <c r="BH538" i="3" s="1"/>
  <c r="BI538" i="3" s="1"/>
  <c r="AO542" i="3"/>
  <c r="BC539" i="3"/>
  <c r="BD539" i="3" s="1"/>
  <c r="AV540" i="3"/>
  <c r="AU541" i="3"/>
  <c r="Y542" i="3"/>
  <c r="Z542" i="3" s="1"/>
  <c r="BA540" i="3"/>
  <c r="AY540" i="3"/>
  <c r="BQ539" i="3"/>
  <c r="BB539" i="3"/>
  <c r="BF539" i="3"/>
  <c r="BJ538" i="3" s="1"/>
  <c r="BK538" i="3" s="1"/>
  <c r="AX541" i="3"/>
  <c r="AG542" i="3"/>
  <c r="AN542" i="3"/>
  <c r="X542" i="3"/>
  <c r="AR543" i="3"/>
  <c r="B543" i="3"/>
  <c r="AQ543" i="3"/>
  <c r="A544" i="3"/>
  <c r="C543" i="3"/>
  <c r="AM543" i="3"/>
  <c r="AK543" i="3"/>
  <c r="D543" i="3"/>
  <c r="S543" i="3"/>
  <c r="AD543" i="3"/>
  <c r="Q543" i="3"/>
  <c r="P543" i="3"/>
  <c r="AF543" i="3"/>
  <c r="U543" i="3"/>
  <c r="O543" i="3"/>
  <c r="M543" i="3"/>
  <c r="AE543" i="3"/>
  <c r="V543" i="3"/>
  <c r="R543" i="3"/>
  <c r="F543" i="3"/>
  <c r="G543" i="3"/>
  <c r="H543" i="3" s="1"/>
  <c r="T543" i="3"/>
  <c r="AW541" i="3"/>
  <c r="AT541" i="3"/>
  <c r="AH542" i="3"/>
  <c r="AY541" i="3" l="1"/>
  <c r="BG539" i="3"/>
  <c r="BH539" i="3" s="1"/>
  <c r="BI539" i="3" s="1"/>
  <c r="BN543" i="3"/>
  <c r="BC540" i="3"/>
  <c r="BD540" i="3" s="1"/>
  <c r="AO543" i="3"/>
  <c r="AX542" i="3"/>
  <c r="AT542" i="3"/>
  <c r="AV541" i="3"/>
  <c r="BA541" i="3"/>
  <c r="B544" i="3"/>
  <c r="AQ544" i="3"/>
  <c r="AR544" i="3"/>
  <c r="A545" i="3"/>
  <c r="C544" i="3"/>
  <c r="D544" i="3"/>
  <c r="AK544" i="3"/>
  <c r="S544" i="3"/>
  <c r="AM544" i="3"/>
  <c r="R544" i="3"/>
  <c r="Q544" i="3"/>
  <c r="AD544" i="3"/>
  <c r="P544" i="3"/>
  <c r="M544" i="3"/>
  <c r="AE544" i="3"/>
  <c r="AF544" i="3"/>
  <c r="V544" i="3"/>
  <c r="O544" i="3"/>
  <c r="U544" i="3"/>
  <c r="F544" i="3"/>
  <c r="G544" i="3"/>
  <c r="H544" i="3" s="1"/>
  <c r="T544" i="3"/>
  <c r="BF540" i="3"/>
  <c r="BJ539" i="3" s="1"/>
  <c r="BK539" i="3" s="1"/>
  <c r="BB540" i="3"/>
  <c r="BQ540" i="3"/>
  <c r="AG543" i="3"/>
  <c r="Y543" i="3"/>
  <c r="Z543" i="3" s="1"/>
  <c r="BM543" i="3"/>
  <c r="AH543" i="3"/>
  <c r="AN543" i="3"/>
  <c r="AU542" i="3"/>
  <c r="X543" i="3"/>
  <c r="AW542" i="3"/>
  <c r="BC541" i="3" l="1"/>
  <c r="BG541" i="3" s="1"/>
  <c r="BH541" i="3" s="1"/>
  <c r="BI541" i="3" s="1"/>
  <c r="AN544" i="3"/>
  <c r="BM544" i="3"/>
  <c r="AY542" i="3"/>
  <c r="BG540" i="3"/>
  <c r="BH540" i="3" s="1"/>
  <c r="BI540" i="3" s="1"/>
  <c r="AT543" i="3"/>
  <c r="BA542" i="3"/>
  <c r="BF542" i="3" s="1"/>
  <c r="Y544" i="3"/>
  <c r="Z544" i="3" s="1"/>
  <c r="AX543" i="3"/>
  <c r="AU543" i="3"/>
  <c r="AW543" i="3"/>
  <c r="BN544" i="3"/>
  <c r="AG544" i="3"/>
  <c r="AO544" i="3"/>
  <c r="X544" i="3"/>
  <c r="AV542" i="3"/>
  <c r="AQ545" i="3"/>
  <c r="B545" i="3"/>
  <c r="A546" i="3"/>
  <c r="AR545" i="3"/>
  <c r="D545" i="3"/>
  <c r="AM545" i="3"/>
  <c r="C545" i="3"/>
  <c r="AK545" i="3"/>
  <c r="T545" i="3"/>
  <c r="S545" i="3"/>
  <c r="R545" i="3"/>
  <c r="AD545" i="3"/>
  <c r="Q545" i="3"/>
  <c r="P545" i="3"/>
  <c r="U545" i="3"/>
  <c r="O545" i="3"/>
  <c r="AF545" i="3"/>
  <c r="M545" i="3"/>
  <c r="AE545" i="3"/>
  <c r="V545" i="3"/>
  <c r="F545" i="3"/>
  <c r="G545" i="3"/>
  <c r="H545" i="3" s="1"/>
  <c r="BQ541" i="3"/>
  <c r="BB541" i="3"/>
  <c r="BF541" i="3"/>
  <c r="BJ540" i="3" s="1"/>
  <c r="BK540" i="3" s="1"/>
  <c r="AH544" i="3"/>
  <c r="BD541" i="3" l="1"/>
  <c r="BM545" i="3"/>
  <c r="AV543" i="3"/>
  <c r="BC542" i="3"/>
  <c r="BG542" i="3" s="1"/>
  <c r="BH542" i="3" s="1"/>
  <c r="BI542" i="3" s="1"/>
  <c r="AO545" i="3"/>
  <c r="BQ542" i="3"/>
  <c r="AX544" i="3"/>
  <c r="BB542" i="3"/>
  <c r="AU544" i="3"/>
  <c r="AG545" i="3"/>
  <c r="BA543" i="3"/>
  <c r="BF543" i="3" s="1"/>
  <c r="BN545" i="3"/>
  <c r="AH545" i="3"/>
  <c r="AN545" i="3"/>
  <c r="AW544" i="3"/>
  <c r="AY543" i="3"/>
  <c r="Y545" i="3"/>
  <c r="Z545" i="3" s="1"/>
  <c r="B546" i="3"/>
  <c r="A547" i="3"/>
  <c r="AQ546" i="3"/>
  <c r="AR546" i="3"/>
  <c r="C546" i="3"/>
  <c r="AM546" i="3"/>
  <c r="AK546" i="3"/>
  <c r="R546" i="3"/>
  <c r="D546" i="3"/>
  <c r="S546" i="3"/>
  <c r="Q546" i="3"/>
  <c r="P546" i="3"/>
  <c r="AD546" i="3"/>
  <c r="AE546" i="3"/>
  <c r="AF546" i="3"/>
  <c r="O546" i="3"/>
  <c r="M546" i="3"/>
  <c r="U546" i="3"/>
  <c r="V546" i="3"/>
  <c r="F546" i="3"/>
  <c r="G546" i="3"/>
  <c r="H546" i="3" s="1"/>
  <c r="BN546" i="3" s="1"/>
  <c r="T546" i="3"/>
  <c r="X545" i="3"/>
  <c r="AT544" i="3"/>
  <c r="BJ541" i="3"/>
  <c r="BK541" i="3" s="1"/>
  <c r="BD542" i="3" l="1"/>
  <c r="BC543" i="3"/>
  <c r="BD543" i="3" s="1"/>
  <c r="AO546" i="3"/>
  <c r="AT545" i="3"/>
  <c r="AY544" i="3"/>
  <c r="BB543" i="3"/>
  <c r="BQ543" i="3"/>
  <c r="AX545" i="3"/>
  <c r="BA544" i="3"/>
  <c r="BF544" i="3" s="1"/>
  <c r="BJ543" i="3" s="1"/>
  <c r="BK543" i="3" s="1"/>
  <c r="AU545" i="3"/>
  <c r="AR547" i="3"/>
  <c r="B547" i="3"/>
  <c r="AQ547" i="3"/>
  <c r="A548" i="3"/>
  <c r="D547" i="3"/>
  <c r="AM547" i="3"/>
  <c r="T547" i="3"/>
  <c r="C547" i="3"/>
  <c r="AK547" i="3"/>
  <c r="S547" i="3"/>
  <c r="R547" i="3"/>
  <c r="AD547" i="3"/>
  <c r="Q547" i="3"/>
  <c r="P547" i="3"/>
  <c r="M547" i="3"/>
  <c r="AE547" i="3"/>
  <c r="V547" i="3"/>
  <c r="U547" i="3"/>
  <c r="O547" i="3"/>
  <c r="AF547" i="3"/>
  <c r="G547" i="3"/>
  <c r="H547" i="3" s="1"/>
  <c r="BN547" i="3" s="1"/>
  <c r="F547" i="3"/>
  <c r="BJ542" i="3"/>
  <c r="BK542" i="3" s="1"/>
  <c r="AH546" i="3"/>
  <c r="X546" i="3"/>
  <c r="Y546" i="3"/>
  <c r="Z546" i="3" s="1"/>
  <c r="BM546" i="3"/>
  <c r="AG546" i="3"/>
  <c r="AN546" i="3"/>
  <c r="AW545" i="3"/>
  <c r="AV544" i="3"/>
  <c r="BM547" i="3" l="1"/>
  <c r="BG543" i="3"/>
  <c r="BH543" i="3" s="1"/>
  <c r="BI543" i="3" s="1"/>
  <c r="BB544" i="3"/>
  <c r="AV545" i="3"/>
  <c r="AO547" i="3"/>
  <c r="BC544" i="3"/>
  <c r="BD544" i="3" s="1"/>
  <c r="AY545" i="3"/>
  <c r="BQ544" i="3"/>
  <c r="BA545" i="3"/>
  <c r="BQ545" i="3" s="1"/>
  <c r="AH547" i="3"/>
  <c r="AT546" i="3"/>
  <c r="B548" i="3"/>
  <c r="AQ548" i="3"/>
  <c r="AR548" i="3"/>
  <c r="A549" i="3"/>
  <c r="C548" i="3"/>
  <c r="D548" i="3"/>
  <c r="AK548" i="3"/>
  <c r="AM548" i="3"/>
  <c r="T548" i="3"/>
  <c r="R548" i="3"/>
  <c r="S548" i="3"/>
  <c r="AD548" i="3"/>
  <c r="P548" i="3"/>
  <c r="M548" i="3"/>
  <c r="AF548" i="3"/>
  <c r="V548" i="3"/>
  <c r="O548" i="3"/>
  <c r="AE548" i="3"/>
  <c r="U548" i="3"/>
  <c r="G548" i="3"/>
  <c r="H548" i="3" s="1"/>
  <c r="Q548" i="3"/>
  <c r="F548" i="3"/>
  <c r="AU546" i="3"/>
  <c r="AW546" i="3"/>
  <c r="AG547" i="3"/>
  <c r="X547" i="3"/>
  <c r="AN547" i="3"/>
  <c r="Y547" i="3"/>
  <c r="Z547" i="3" s="1"/>
  <c r="AX546" i="3"/>
  <c r="BN548" i="3" l="1"/>
  <c r="BC545" i="3"/>
  <c r="BD545" i="3" s="1"/>
  <c r="AV546" i="3"/>
  <c r="BB545" i="3"/>
  <c r="BG544" i="3"/>
  <c r="BH544" i="3" s="1"/>
  <c r="BI544" i="3" s="1"/>
  <c r="AO548" i="3"/>
  <c r="BF545" i="3"/>
  <c r="BJ544" i="3" s="1"/>
  <c r="BK544" i="3" s="1"/>
  <c r="AX547" i="3"/>
  <c r="AU547" i="3"/>
  <c r="AT547" i="3"/>
  <c r="Y548" i="3"/>
  <c r="Z548" i="3" s="1"/>
  <c r="AQ549" i="3"/>
  <c r="B549" i="3"/>
  <c r="A550" i="3"/>
  <c r="AR549" i="3"/>
  <c r="D549" i="3"/>
  <c r="C549" i="3"/>
  <c r="AM549" i="3"/>
  <c r="Q549" i="3"/>
  <c r="R549" i="3"/>
  <c r="AK549" i="3"/>
  <c r="S549" i="3"/>
  <c r="AD549" i="3"/>
  <c r="P549" i="3"/>
  <c r="O549" i="3"/>
  <c r="M549" i="3"/>
  <c r="AE549" i="3"/>
  <c r="AF549" i="3"/>
  <c r="U549" i="3"/>
  <c r="V549" i="3"/>
  <c r="F549" i="3"/>
  <c r="G549" i="3"/>
  <c r="H549" i="3" s="1"/>
  <c r="BN549" i="3" s="1"/>
  <c r="T549" i="3"/>
  <c r="AW547" i="3"/>
  <c r="AY546" i="3"/>
  <c r="BM548" i="3"/>
  <c r="AG548" i="3"/>
  <c r="AH548" i="3"/>
  <c r="AN548" i="3"/>
  <c r="BA546" i="3"/>
  <c r="X548" i="3"/>
  <c r="BM549" i="3" l="1"/>
  <c r="AY547" i="3"/>
  <c r="BG545" i="3"/>
  <c r="BH545" i="3" s="1"/>
  <c r="BI545" i="3" s="1"/>
  <c r="BC546" i="3"/>
  <c r="BG546" i="3" s="1"/>
  <c r="BH546" i="3" s="1"/>
  <c r="BI546" i="3" s="1"/>
  <c r="AV547" i="3"/>
  <c r="AN549" i="3"/>
  <c r="AW548" i="3"/>
  <c r="AX548" i="3"/>
  <c r="BF546" i="3"/>
  <c r="BJ545" i="3" s="1"/>
  <c r="BK545" i="3" s="1"/>
  <c r="BQ546" i="3"/>
  <c r="BB546" i="3"/>
  <c r="BA547" i="3"/>
  <c r="AT548" i="3"/>
  <c r="Y549" i="3"/>
  <c r="Z549" i="3" s="1"/>
  <c r="AG549" i="3"/>
  <c r="AH549" i="3"/>
  <c r="AO549" i="3"/>
  <c r="X549" i="3"/>
  <c r="B550" i="3"/>
  <c r="A551" i="3"/>
  <c r="AQ550" i="3"/>
  <c r="AR550" i="3"/>
  <c r="D550" i="3"/>
  <c r="C550" i="3"/>
  <c r="AK550" i="3"/>
  <c r="AM550" i="3"/>
  <c r="S550" i="3"/>
  <c r="Q550" i="3"/>
  <c r="T550" i="3"/>
  <c r="R550" i="3"/>
  <c r="AD550" i="3"/>
  <c r="P550" i="3"/>
  <c r="O550" i="3"/>
  <c r="AF550" i="3"/>
  <c r="AE550" i="3"/>
  <c r="M550" i="3"/>
  <c r="U550" i="3"/>
  <c r="V550" i="3"/>
  <c r="G550" i="3"/>
  <c r="H550" i="3" s="1"/>
  <c r="F550" i="3"/>
  <c r="AU548" i="3"/>
  <c r="BM550" i="3" l="1"/>
  <c r="BN550" i="3"/>
  <c r="BC547" i="3"/>
  <c r="BG547" i="3" s="1"/>
  <c r="BH547" i="3" s="1"/>
  <c r="BI547" i="3" s="1"/>
  <c r="BD546" i="3"/>
  <c r="AU549" i="3"/>
  <c r="AN550" i="3"/>
  <c r="AY548" i="3"/>
  <c r="AV548" i="3"/>
  <c r="AT549" i="3"/>
  <c r="Y550" i="3"/>
  <c r="Z550" i="3" s="1"/>
  <c r="BB547" i="3"/>
  <c r="BF547" i="3"/>
  <c r="BJ546" i="3" s="1"/>
  <c r="BK546" i="3" s="1"/>
  <c r="BQ547" i="3"/>
  <c r="AG550" i="3"/>
  <c r="AH550" i="3"/>
  <c r="AO550" i="3"/>
  <c r="AX549" i="3"/>
  <c r="AR551" i="3"/>
  <c r="B551" i="3"/>
  <c r="AQ551" i="3"/>
  <c r="A552" i="3"/>
  <c r="D551" i="3"/>
  <c r="AM551" i="3"/>
  <c r="S551" i="3"/>
  <c r="AK551" i="3"/>
  <c r="C551" i="3"/>
  <c r="R551" i="3"/>
  <c r="Q551" i="3"/>
  <c r="AD551" i="3"/>
  <c r="P551" i="3"/>
  <c r="AE551" i="3"/>
  <c r="M551" i="3"/>
  <c r="AF551" i="3"/>
  <c r="V551" i="3"/>
  <c r="U551" i="3"/>
  <c r="O551" i="3"/>
  <c r="F551" i="3"/>
  <c r="G551" i="3"/>
  <c r="H551" i="3" s="1"/>
  <c r="T551" i="3"/>
  <c r="X550" i="3"/>
  <c r="AW549" i="3"/>
  <c r="BA548" i="3"/>
  <c r="BN551" i="3" l="1"/>
  <c r="BD547" i="3"/>
  <c r="AO551" i="3"/>
  <c r="BM551" i="3"/>
  <c r="BA549" i="3"/>
  <c r="BQ549" i="3" s="1"/>
  <c r="AV549" i="3"/>
  <c r="AT550" i="3"/>
  <c r="BC548" i="3"/>
  <c r="BD548" i="3" s="1"/>
  <c r="AN551" i="3"/>
  <c r="AU550" i="3"/>
  <c r="Y551" i="3"/>
  <c r="Z551" i="3" s="1"/>
  <c r="B552" i="3"/>
  <c r="AQ552" i="3"/>
  <c r="AR552" i="3"/>
  <c r="A553" i="3"/>
  <c r="D552" i="3"/>
  <c r="C552" i="3"/>
  <c r="AM552" i="3"/>
  <c r="AK552" i="3"/>
  <c r="S552" i="3"/>
  <c r="R552" i="3"/>
  <c r="AD552" i="3"/>
  <c r="Q552" i="3"/>
  <c r="P552" i="3"/>
  <c r="O552" i="3"/>
  <c r="AE552" i="3"/>
  <c r="M552" i="3"/>
  <c r="V552" i="3"/>
  <c r="AF552" i="3"/>
  <c r="U552" i="3"/>
  <c r="G552" i="3"/>
  <c r="H552" i="3" s="1"/>
  <c r="F552" i="3"/>
  <c r="T552" i="3"/>
  <c r="AH551" i="3"/>
  <c r="AY549" i="3"/>
  <c r="X551" i="3"/>
  <c r="AX550" i="3"/>
  <c r="BF548" i="3"/>
  <c r="BJ547" i="3" s="1"/>
  <c r="BK547" i="3" s="1"/>
  <c r="BQ548" i="3"/>
  <c r="BB548" i="3"/>
  <c r="AG551" i="3"/>
  <c r="AW550" i="3"/>
  <c r="BG548" i="3" l="1"/>
  <c r="BH548" i="3" s="1"/>
  <c r="BI548" i="3" s="1"/>
  <c r="AV550" i="3"/>
  <c r="BA550" i="3"/>
  <c r="BQ550" i="3" s="1"/>
  <c r="AG552" i="3"/>
  <c r="BB549" i="3"/>
  <c r="BF549" i="3"/>
  <c r="BJ548" i="3" s="1"/>
  <c r="BK548" i="3" s="1"/>
  <c r="BM552" i="3"/>
  <c r="BC549" i="3"/>
  <c r="BD549" i="3" s="1"/>
  <c r="AW551" i="3"/>
  <c r="AN552" i="3"/>
  <c r="AY550" i="3"/>
  <c r="AQ553" i="3"/>
  <c r="B553" i="3"/>
  <c r="A554" i="3"/>
  <c r="AR553" i="3"/>
  <c r="D553" i="3"/>
  <c r="AK553" i="3"/>
  <c r="R553" i="3"/>
  <c r="C553" i="3"/>
  <c r="AM553" i="3"/>
  <c r="S553" i="3"/>
  <c r="Q553" i="3"/>
  <c r="AD553" i="3"/>
  <c r="P553" i="3"/>
  <c r="O553" i="3"/>
  <c r="M553" i="3"/>
  <c r="AE553" i="3"/>
  <c r="AF553" i="3"/>
  <c r="U553" i="3"/>
  <c r="V553" i="3"/>
  <c r="G553" i="3"/>
  <c r="H553" i="3" s="1"/>
  <c r="F553" i="3"/>
  <c r="T553" i="3"/>
  <c r="AU551" i="3"/>
  <c r="AX551" i="3"/>
  <c r="AT551" i="3"/>
  <c r="Y552" i="3"/>
  <c r="Z552" i="3" s="1"/>
  <c r="BN552" i="3"/>
  <c r="AH552" i="3"/>
  <c r="AO552" i="3"/>
  <c r="X552" i="3"/>
  <c r="BC550" i="3" l="1"/>
  <c r="BG550" i="3" s="1"/>
  <c r="BH550" i="3" s="1"/>
  <c r="BI550" i="3" s="1"/>
  <c r="BB550" i="3"/>
  <c r="BF550" i="3"/>
  <c r="BJ549" i="3" s="1"/>
  <c r="BK549" i="3" s="1"/>
  <c r="AU552" i="3"/>
  <c r="BG549" i="3"/>
  <c r="BH549" i="3" s="1"/>
  <c r="BI549" i="3" s="1"/>
  <c r="BM553" i="3"/>
  <c r="BN553" i="3"/>
  <c r="AG553" i="3"/>
  <c r="AT552" i="3"/>
  <c r="AW552" i="3"/>
  <c r="AY551" i="3"/>
  <c r="Y553" i="3"/>
  <c r="Z553" i="3" s="1"/>
  <c r="AO553" i="3"/>
  <c r="AN553" i="3"/>
  <c r="BA551" i="3"/>
  <c r="AV551" i="3"/>
  <c r="AH553" i="3"/>
  <c r="X553" i="3"/>
  <c r="B554" i="3"/>
  <c r="A555" i="3"/>
  <c r="AR554" i="3"/>
  <c r="AQ554" i="3"/>
  <c r="D554" i="3"/>
  <c r="AK554" i="3"/>
  <c r="AM554" i="3"/>
  <c r="R554" i="3"/>
  <c r="C554" i="3"/>
  <c r="Q554" i="3"/>
  <c r="AD554" i="3"/>
  <c r="S554" i="3"/>
  <c r="P554" i="3"/>
  <c r="O554" i="3"/>
  <c r="AF554" i="3"/>
  <c r="U554" i="3"/>
  <c r="V554" i="3"/>
  <c r="M554" i="3"/>
  <c r="AE554" i="3"/>
  <c r="F554" i="3"/>
  <c r="G554" i="3"/>
  <c r="H554" i="3" s="1"/>
  <c r="T554" i="3"/>
  <c r="AX552" i="3"/>
  <c r="BN554" i="3" l="1"/>
  <c r="BD550" i="3"/>
  <c r="AV552" i="3"/>
  <c r="BM554" i="3"/>
  <c r="AU553" i="3"/>
  <c r="AT553" i="3"/>
  <c r="AG554" i="3"/>
  <c r="BC551" i="3"/>
  <c r="BD551" i="3" s="1"/>
  <c r="AY552" i="3"/>
  <c r="AX553" i="3"/>
  <c r="AO554" i="3"/>
  <c r="Y554" i="3"/>
  <c r="Z554" i="3" s="1"/>
  <c r="BB551" i="3"/>
  <c r="BQ551" i="3"/>
  <c r="BF551" i="3"/>
  <c r="BJ550" i="3" s="1"/>
  <c r="BK550" i="3" s="1"/>
  <c r="AH554" i="3"/>
  <c r="X554" i="3"/>
  <c r="AN554" i="3"/>
  <c r="AW553" i="3"/>
  <c r="AR555" i="3"/>
  <c r="B555" i="3"/>
  <c r="AQ555" i="3"/>
  <c r="A556" i="3"/>
  <c r="D555" i="3"/>
  <c r="C555" i="3"/>
  <c r="AK555" i="3"/>
  <c r="AM555" i="3"/>
  <c r="R555" i="3"/>
  <c r="T555" i="3"/>
  <c r="Q555" i="3"/>
  <c r="S555" i="3"/>
  <c r="AD555" i="3"/>
  <c r="P555" i="3"/>
  <c r="O555" i="3"/>
  <c r="M555" i="3"/>
  <c r="AF555" i="3"/>
  <c r="V555" i="3"/>
  <c r="AE555" i="3"/>
  <c r="U555" i="3"/>
  <c r="F555" i="3"/>
  <c r="G555" i="3"/>
  <c r="H555" i="3" s="1"/>
  <c r="BA552" i="3"/>
  <c r="BC552" i="3" l="1"/>
  <c r="BD552" i="3" s="1"/>
  <c r="AY553" i="3"/>
  <c r="AV553" i="3"/>
  <c r="BM555" i="3"/>
  <c r="BA553" i="3"/>
  <c r="BF553" i="3" s="1"/>
  <c r="BN555" i="3"/>
  <c r="BG551" i="3"/>
  <c r="BH551" i="3" s="1"/>
  <c r="BI551" i="3" s="1"/>
  <c r="AT554" i="3"/>
  <c r="AU554" i="3"/>
  <c r="AG555" i="3"/>
  <c r="AN555" i="3"/>
  <c r="AO555" i="3"/>
  <c r="BQ552" i="3"/>
  <c r="BF552" i="3"/>
  <c r="BJ551" i="3" s="1"/>
  <c r="BK551" i="3" s="1"/>
  <c r="BB552" i="3"/>
  <c r="B556" i="3"/>
  <c r="AQ556" i="3"/>
  <c r="AR556" i="3"/>
  <c r="A557" i="3"/>
  <c r="D556" i="3"/>
  <c r="AK556" i="3"/>
  <c r="S556" i="3"/>
  <c r="R556" i="3"/>
  <c r="C556" i="3"/>
  <c r="AM556" i="3"/>
  <c r="Q556" i="3"/>
  <c r="P556" i="3"/>
  <c r="AD556" i="3"/>
  <c r="O556" i="3"/>
  <c r="M556" i="3"/>
  <c r="AE556" i="3"/>
  <c r="AF556" i="3"/>
  <c r="V556" i="3"/>
  <c r="U556" i="3"/>
  <c r="G556" i="3"/>
  <c r="H556" i="3" s="1"/>
  <c r="F556" i="3"/>
  <c r="BM556" i="3" s="1"/>
  <c r="T556" i="3"/>
  <c r="X555" i="3"/>
  <c r="AX554" i="3"/>
  <c r="Y555" i="3"/>
  <c r="Z555" i="3" s="1"/>
  <c r="AH555" i="3"/>
  <c r="AW554" i="3"/>
  <c r="BG552" i="3" l="1"/>
  <c r="BH552" i="3" s="1"/>
  <c r="BI552" i="3" s="1"/>
  <c r="BC553" i="3"/>
  <c r="BG553" i="3" s="1"/>
  <c r="BH553" i="3" s="1"/>
  <c r="BI553" i="3" s="1"/>
  <c r="BQ553" i="3"/>
  <c r="BN556" i="3"/>
  <c r="BB553" i="3"/>
  <c r="AV554" i="3"/>
  <c r="Y556" i="3"/>
  <c r="Z556" i="3" s="1"/>
  <c r="AT555" i="3"/>
  <c r="AX555" i="3"/>
  <c r="AG556" i="3"/>
  <c r="BA554" i="3"/>
  <c r="BB554" i="3" s="1"/>
  <c r="AO556" i="3"/>
  <c r="AN556" i="3"/>
  <c r="AY554" i="3"/>
  <c r="AU555" i="3"/>
  <c r="AW555" i="3"/>
  <c r="AH556" i="3"/>
  <c r="X556" i="3"/>
  <c r="BJ552" i="3"/>
  <c r="BK552" i="3" s="1"/>
  <c r="AQ557" i="3"/>
  <c r="B557" i="3"/>
  <c r="A558" i="3"/>
  <c r="AR557" i="3"/>
  <c r="D557" i="3"/>
  <c r="C557" i="3"/>
  <c r="T557" i="3"/>
  <c r="S557" i="3"/>
  <c r="AK557" i="3"/>
  <c r="AM557" i="3"/>
  <c r="R557" i="3"/>
  <c r="AD557" i="3"/>
  <c r="P557" i="3"/>
  <c r="O557" i="3"/>
  <c r="M557" i="3"/>
  <c r="AF557" i="3"/>
  <c r="V557" i="3"/>
  <c r="U557" i="3"/>
  <c r="AE557" i="3"/>
  <c r="Q557" i="3"/>
  <c r="G557" i="3"/>
  <c r="H557" i="3" s="1"/>
  <c r="F557" i="3"/>
  <c r="BM557" i="3" s="1"/>
  <c r="BN557" i="3" l="1"/>
  <c r="BD553" i="3"/>
  <c r="BC554" i="3"/>
  <c r="BG554" i="3" s="1"/>
  <c r="BH554" i="3" s="1"/>
  <c r="BI554" i="3" s="1"/>
  <c r="AV555" i="3"/>
  <c r="AT556" i="3"/>
  <c r="AU556" i="3"/>
  <c r="AO557" i="3"/>
  <c r="AG557" i="3"/>
  <c r="BF554" i="3"/>
  <c r="BJ553" i="3" s="1"/>
  <c r="BK553" i="3" s="1"/>
  <c r="BQ554" i="3"/>
  <c r="Y557" i="3"/>
  <c r="Z557" i="3" s="1"/>
  <c r="B558" i="3"/>
  <c r="A559" i="3"/>
  <c r="AQ558" i="3"/>
  <c r="AR558" i="3"/>
  <c r="D558" i="3"/>
  <c r="AM558" i="3"/>
  <c r="T558" i="3"/>
  <c r="S558" i="3"/>
  <c r="Q558" i="3"/>
  <c r="C558" i="3"/>
  <c r="AK558" i="3"/>
  <c r="AD558" i="3"/>
  <c r="R558" i="3"/>
  <c r="P558" i="3"/>
  <c r="O558" i="3"/>
  <c r="M558" i="3"/>
  <c r="AE558" i="3"/>
  <c r="V558" i="3"/>
  <c r="U558" i="3"/>
  <c r="AF558" i="3"/>
  <c r="G558" i="3"/>
  <c r="H558" i="3" s="1"/>
  <c r="BN558" i="3" s="1"/>
  <c r="F558" i="3"/>
  <c r="BM558" i="3" s="1"/>
  <c r="BA555" i="3"/>
  <c r="AY555" i="3"/>
  <c r="AH557" i="3"/>
  <c r="AN557" i="3"/>
  <c r="X557" i="3"/>
  <c r="AX556" i="3"/>
  <c r="AW556" i="3"/>
  <c r="BD554" i="3" l="1"/>
  <c r="AU557" i="3"/>
  <c r="AN558" i="3"/>
  <c r="BC555" i="3"/>
  <c r="BG555" i="3" s="1"/>
  <c r="BH555" i="3" s="1"/>
  <c r="BI555" i="3" s="1"/>
  <c r="AV556" i="3"/>
  <c r="AX557" i="3"/>
  <c r="AH558" i="3"/>
  <c r="BA556" i="3"/>
  <c r="BF556" i="3" s="1"/>
  <c r="BQ555" i="3"/>
  <c r="BB555" i="3"/>
  <c r="BF555" i="3"/>
  <c r="BJ554" i="3" s="1"/>
  <c r="BK554" i="3" s="1"/>
  <c r="Y558" i="3"/>
  <c r="Z558" i="3" s="1"/>
  <c r="AY556" i="3"/>
  <c r="AT557" i="3"/>
  <c r="AW557" i="3"/>
  <c r="AG558" i="3"/>
  <c r="AO558" i="3"/>
  <c r="AR559" i="3"/>
  <c r="B559" i="3"/>
  <c r="AQ559" i="3"/>
  <c r="A560" i="3"/>
  <c r="C559" i="3"/>
  <c r="D559" i="3"/>
  <c r="AK559" i="3"/>
  <c r="AM559" i="3"/>
  <c r="S559" i="3"/>
  <c r="R559" i="3"/>
  <c r="T559" i="3"/>
  <c r="AD559" i="3"/>
  <c r="Q559" i="3"/>
  <c r="O559" i="3"/>
  <c r="AE559" i="3"/>
  <c r="AF559" i="3"/>
  <c r="M559" i="3"/>
  <c r="V559" i="3"/>
  <c r="U559" i="3"/>
  <c r="P559" i="3"/>
  <c r="G559" i="3"/>
  <c r="H559" i="3" s="1"/>
  <c r="F559" i="3"/>
  <c r="X558" i="3"/>
  <c r="BC556" i="3" l="1"/>
  <c r="BD556" i="3" s="1"/>
  <c r="BD555" i="3"/>
  <c r="BN559" i="3"/>
  <c r="BM559" i="3"/>
  <c r="AY557" i="3"/>
  <c r="AO559" i="3"/>
  <c r="AU558" i="3"/>
  <c r="AG559" i="3"/>
  <c r="AT558" i="3"/>
  <c r="BB556" i="3"/>
  <c r="BQ556" i="3"/>
  <c r="Y559" i="3"/>
  <c r="Z559" i="3" s="1"/>
  <c r="B560" i="3"/>
  <c r="AQ560" i="3"/>
  <c r="AR560" i="3"/>
  <c r="A561" i="3"/>
  <c r="C560" i="3"/>
  <c r="AM560" i="3"/>
  <c r="AK560" i="3"/>
  <c r="D560" i="3"/>
  <c r="T560" i="3"/>
  <c r="S560" i="3"/>
  <c r="Q560" i="3"/>
  <c r="R560" i="3"/>
  <c r="AD560" i="3"/>
  <c r="O560" i="3"/>
  <c r="P560" i="3"/>
  <c r="AE560" i="3"/>
  <c r="U560" i="3"/>
  <c r="AF560" i="3"/>
  <c r="M560" i="3"/>
  <c r="V560" i="3"/>
  <c r="G560" i="3"/>
  <c r="H560" i="3" s="1"/>
  <c r="F560" i="3"/>
  <c r="AV557" i="3"/>
  <c r="BA557" i="3"/>
  <c r="AH559" i="3"/>
  <c r="AN559" i="3"/>
  <c r="AW558" i="3"/>
  <c r="AX558" i="3"/>
  <c r="BJ555" i="3"/>
  <c r="BK555" i="3" s="1"/>
  <c r="X559" i="3"/>
  <c r="BG556" i="3" l="1"/>
  <c r="BH556" i="3" s="1"/>
  <c r="BI556" i="3" s="1"/>
  <c r="AV558" i="3"/>
  <c r="BC557" i="3"/>
  <c r="BG557" i="3" s="1"/>
  <c r="BH557" i="3" s="1"/>
  <c r="BI557" i="3" s="1"/>
  <c r="BM560" i="3"/>
  <c r="AT559" i="3"/>
  <c r="AN560" i="3"/>
  <c r="AG560" i="3"/>
  <c r="AW559" i="3"/>
  <c r="AX559" i="3"/>
  <c r="BF557" i="3"/>
  <c r="BJ556" i="3" s="1"/>
  <c r="BK556" i="3" s="1"/>
  <c r="BQ557" i="3"/>
  <c r="BB557" i="3"/>
  <c r="AU559" i="3"/>
  <c r="AY558" i="3"/>
  <c r="BA558" i="3"/>
  <c r="BN560" i="3"/>
  <c r="AH560" i="3"/>
  <c r="AO560" i="3"/>
  <c r="X560" i="3"/>
  <c r="Y560" i="3"/>
  <c r="Z560" i="3" s="1"/>
  <c r="AQ561" i="3"/>
  <c r="B561" i="3"/>
  <c r="A562" i="3"/>
  <c r="AR561" i="3"/>
  <c r="D561" i="3"/>
  <c r="C561" i="3"/>
  <c r="S561" i="3"/>
  <c r="R561" i="3"/>
  <c r="AM561" i="3"/>
  <c r="AK561" i="3"/>
  <c r="Q561" i="3"/>
  <c r="P561" i="3"/>
  <c r="AD561" i="3"/>
  <c r="O561" i="3"/>
  <c r="M561" i="3"/>
  <c r="AE561" i="3"/>
  <c r="V561" i="3"/>
  <c r="U561" i="3"/>
  <c r="AF561" i="3"/>
  <c r="G561" i="3"/>
  <c r="H561" i="3" s="1"/>
  <c r="F561" i="3"/>
  <c r="T561" i="3"/>
  <c r="BC558" i="3" l="1"/>
  <c r="BD557" i="3"/>
  <c r="AV559" i="3"/>
  <c r="AU560" i="3"/>
  <c r="AO561" i="3"/>
  <c r="BN561" i="3"/>
  <c r="BM561" i="3"/>
  <c r="Y561" i="3"/>
  <c r="Z561" i="3" s="1"/>
  <c r="AG561" i="3"/>
  <c r="AT560" i="3"/>
  <c r="BA559" i="3"/>
  <c r="BQ559" i="3" s="1"/>
  <c r="BD558" i="3"/>
  <c r="BG558" i="3"/>
  <c r="BH558" i="3" s="1"/>
  <c r="BI558" i="3" s="1"/>
  <c r="B562" i="3"/>
  <c r="A563" i="3"/>
  <c r="AQ562" i="3"/>
  <c r="AR562" i="3"/>
  <c r="C562" i="3"/>
  <c r="AM562" i="3"/>
  <c r="T562" i="3"/>
  <c r="S562" i="3"/>
  <c r="D562" i="3"/>
  <c r="AK562" i="3"/>
  <c r="Q562" i="3"/>
  <c r="AD562" i="3"/>
  <c r="P562" i="3"/>
  <c r="O562" i="3"/>
  <c r="M562" i="3"/>
  <c r="AF562" i="3"/>
  <c r="V562" i="3"/>
  <c r="U562" i="3"/>
  <c r="AE562" i="3"/>
  <c r="R562" i="3"/>
  <c r="F562" i="3"/>
  <c r="BM562" i="3" s="1"/>
  <c r="G562" i="3"/>
  <c r="H562" i="3" s="1"/>
  <c r="BB558" i="3"/>
  <c r="BF558" i="3"/>
  <c r="BJ557" i="3" s="1"/>
  <c r="BK557" i="3" s="1"/>
  <c r="BQ558" i="3"/>
  <c r="AH561" i="3"/>
  <c r="AN561" i="3"/>
  <c r="AX560" i="3"/>
  <c r="AW560" i="3"/>
  <c r="AY559" i="3"/>
  <c r="BC559" i="3" s="1"/>
  <c r="X561" i="3"/>
  <c r="AV560" i="3" l="1"/>
  <c r="AO562" i="3"/>
  <c r="AT561" i="3"/>
  <c r="BN562" i="3"/>
  <c r="BA560" i="3"/>
  <c r="BQ560" i="3" s="1"/>
  <c r="AX561" i="3"/>
  <c r="BF559" i="3"/>
  <c r="BJ558" i="3" s="1"/>
  <c r="BK558" i="3" s="1"/>
  <c r="BB559" i="3"/>
  <c r="AY560" i="3"/>
  <c r="BD559" i="3"/>
  <c r="BG559" i="3"/>
  <c r="BH559" i="3" s="1"/>
  <c r="BI559" i="3" s="1"/>
  <c r="Y562" i="3"/>
  <c r="Z562" i="3" s="1"/>
  <c r="AW561" i="3"/>
  <c r="AU561" i="3"/>
  <c r="AG562" i="3"/>
  <c r="X562" i="3"/>
  <c r="AR563" i="3"/>
  <c r="B563" i="3"/>
  <c r="AQ563" i="3"/>
  <c r="A564" i="3"/>
  <c r="C563" i="3"/>
  <c r="S563" i="3"/>
  <c r="D563" i="3"/>
  <c r="AM563" i="3"/>
  <c r="AK563" i="3"/>
  <c r="AD563" i="3"/>
  <c r="P563" i="3"/>
  <c r="R563" i="3"/>
  <c r="O563" i="3"/>
  <c r="AE563" i="3"/>
  <c r="M563" i="3"/>
  <c r="AF563" i="3"/>
  <c r="V563" i="3"/>
  <c r="U563" i="3"/>
  <c r="F563" i="3"/>
  <c r="G563" i="3"/>
  <c r="H563" i="3" s="1"/>
  <c r="Q563" i="3"/>
  <c r="T563" i="3"/>
  <c r="AH562" i="3"/>
  <c r="AN562" i="3"/>
  <c r="BF560" i="3" l="1"/>
  <c r="BJ559" i="3" s="1"/>
  <c r="BK559" i="3" s="1"/>
  <c r="BC560" i="3"/>
  <c r="BG560" i="3" s="1"/>
  <c r="BH560" i="3" s="1"/>
  <c r="BI560" i="3" s="1"/>
  <c r="BM563" i="3"/>
  <c r="BN563" i="3"/>
  <c r="AY561" i="3"/>
  <c r="BB560" i="3"/>
  <c r="AX562" i="3"/>
  <c r="AO563" i="3"/>
  <c r="AH563" i="3"/>
  <c r="Y563" i="3"/>
  <c r="Z563" i="3" s="1"/>
  <c r="BA561" i="3"/>
  <c r="BQ561" i="3" s="1"/>
  <c r="AT562" i="3"/>
  <c r="X563" i="3"/>
  <c r="AU562" i="3"/>
  <c r="AW562" i="3"/>
  <c r="AV561" i="3"/>
  <c r="B564" i="3"/>
  <c r="AQ564" i="3"/>
  <c r="AR564" i="3"/>
  <c r="A565" i="3"/>
  <c r="C564" i="3"/>
  <c r="D564" i="3"/>
  <c r="AK564" i="3"/>
  <c r="AM564" i="3"/>
  <c r="S564" i="3"/>
  <c r="Q564" i="3"/>
  <c r="R564" i="3"/>
  <c r="P564" i="3"/>
  <c r="AD564" i="3"/>
  <c r="AE564" i="3"/>
  <c r="AF564" i="3"/>
  <c r="U564" i="3"/>
  <c r="O564" i="3"/>
  <c r="M564" i="3"/>
  <c r="V564" i="3"/>
  <c r="G564" i="3"/>
  <c r="H564" i="3" s="1"/>
  <c r="F564" i="3"/>
  <c r="T564" i="3"/>
  <c r="AG563" i="3"/>
  <c r="AN563" i="3"/>
  <c r="BM564" i="3" l="1"/>
  <c r="BC561" i="3"/>
  <c r="BG561" i="3" s="1"/>
  <c r="BH561" i="3" s="1"/>
  <c r="BI561" i="3" s="1"/>
  <c r="BD560" i="3"/>
  <c r="AY562" i="3"/>
  <c r="BN564" i="3"/>
  <c r="AV562" i="3"/>
  <c r="AN564" i="3"/>
  <c r="AW563" i="3"/>
  <c r="AX563" i="3"/>
  <c r="Y564" i="3"/>
  <c r="Z564" i="3" s="1"/>
  <c r="AG564" i="3"/>
  <c r="BF561" i="3"/>
  <c r="BJ560" i="3" s="1"/>
  <c r="BK560" i="3" s="1"/>
  <c r="BB561" i="3"/>
  <c r="AH564" i="3"/>
  <c r="AO564" i="3"/>
  <c r="X564" i="3"/>
  <c r="AU563" i="3"/>
  <c r="AQ565" i="3"/>
  <c r="B565" i="3"/>
  <c r="A566" i="3"/>
  <c r="AR565" i="3"/>
  <c r="D565" i="3"/>
  <c r="C565" i="3"/>
  <c r="AK565" i="3"/>
  <c r="AM565" i="3"/>
  <c r="S565" i="3"/>
  <c r="Q565" i="3"/>
  <c r="AD565" i="3"/>
  <c r="T565" i="3"/>
  <c r="R565" i="3"/>
  <c r="O565" i="3"/>
  <c r="P565" i="3"/>
  <c r="M565" i="3"/>
  <c r="V565" i="3"/>
  <c r="AE565" i="3"/>
  <c r="AF565" i="3"/>
  <c r="U565" i="3"/>
  <c r="F565" i="3"/>
  <c r="G565" i="3"/>
  <c r="H565" i="3" s="1"/>
  <c r="AT563" i="3"/>
  <c r="BA562" i="3"/>
  <c r="BD561" i="3" l="1"/>
  <c r="BC562" i="3"/>
  <c r="BD562" i="3" s="1"/>
  <c r="BN565" i="3"/>
  <c r="AU564" i="3"/>
  <c r="AN565" i="3"/>
  <c r="BM565" i="3"/>
  <c r="AY563" i="3"/>
  <c r="AO565" i="3"/>
  <c r="AX564" i="3"/>
  <c r="AG565" i="3"/>
  <c r="AW564" i="3"/>
  <c r="AT564" i="3"/>
  <c r="BB562" i="3"/>
  <c r="BF562" i="3"/>
  <c r="BJ561" i="3" s="1"/>
  <c r="BK561" i="3" s="1"/>
  <c r="BQ562" i="3"/>
  <c r="BA563" i="3"/>
  <c r="AV563" i="3"/>
  <c r="Y565" i="3"/>
  <c r="Z565" i="3" s="1"/>
  <c r="B566" i="3"/>
  <c r="A567" i="3"/>
  <c r="AQ566" i="3"/>
  <c r="AR566" i="3"/>
  <c r="D566" i="3"/>
  <c r="C566" i="3"/>
  <c r="AM566" i="3"/>
  <c r="AK566" i="3"/>
  <c r="R566" i="3"/>
  <c r="Q566" i="3"/>
  <c r="S566" i="3"/>
  <c r="P566" i="3"/>
  <c r="AD566" i="3"/>
  <c r="M566" i="3"/>
  <c r="AF566" i="3"/>
  <c r="V566" i="3"/>
  <c r="U566" i="3"/>
  <c r="O566" i="3"/>
  <c r="AE566" i="3"/>
  <c r="G566" i="3"/>
  <c r="H566" i="3" s="1"/>
  <c r="F566" i="3"/>
  <c r="T566" i="3"/>
  <c r="AH565" i="3"/>
  <c r="X565" i="3"/>
  <c r="BG562" i="3" l="1"/>
  <c r="BH562" i="3" s="1"/>
  <c r="BI562" i="3" s="1"/>
  <c r="AV564" i="3"/>
  <c r="AY564" i="3"/>
  <c r="AG566" i="3"/>
  <c r="BN566" i="3"/>
  <c r="AX565" i="3"/>
  <c r="BM566" i="3"/>
  <c r="BC563" i="3"/>
  <c r="BD563" i="3" s="1"/>
  <c r="BA564" i="3"/>
  <c r="BB564" i="3" s="1"/>
  <c r="AN566" i="3"/>
  <c r="Y566" i="3"/>
  <c r="Z566" i="3" s="1"/>
  <c r="AR567" i="3"/>
  <c r="B567" i="3"/>
  <c r="AQ567" i="3"/>
  <c r="A568" i="3"/>
  <c r="C567" i="3"/>
  <c r="D567" i="3"/>
  <c r="AK567" i="3"/>
  <c r="T567" i="3"/>
  <c r="AM567" i="3"/>
  <c r="S567" i="3"/>
  <c r="Q567" i="3"/>
  <c r="R567" i="3"/>
  <c r="AD567" i="3"/>
  <c r="P567" i="3"/>
  <c r="M567" i="3"/>
  <c r="AF567" i="3"/>
  <c r="U567" i="3"/>
  <c r="O567" i="3"/>
  <c r="AE567" i="3"/>
  <c r="V567" i="3"/>
  <c r="F567" i="3"/>
  <c r="BM567" i="3" s="1"/>
  <c r="G567" i="3"/>
  <c r="H567" i="3" s="1"/>
  <c r="BN567" i="3" s="1"/>
  <c r="AW565" i="3"/>
  <c r="AU565" i="3"/>
  <c r="AO566" i="3"/>
  <c r="X566" i="3"/>
  <c r="BQ563" i="3"/>
  <c r="BF563" i="3"/>
  <c r="BJ562" i="3" s="1"/>
  <c r="BK562" i="3" s="1"/>
  <c r="BB563" i="3"/>
  <c r="AT565" i="3"/>
  <c r="AH566" i="3"/>
  <c r="BC564" i="3" l="1"/>
  <c r="BG564" i="3" s="1"/>
  <c r="BH564" i="3" s="1"/>
  <c r="BI564" i="3" s="1"/>
  <c r="AV565" i="3"/>
  <c r="AN567" i="3"/>
  <c r="AX566" i="3"/>
  <c r="AY565" i="3"/>
  <c r="BG563" i="3"/>
  <c r="BH563" i="3" s="1"/>
  <c r="BI563" i="3" s="1"/>
  <c r="BQ564" i="3"/>
  <c r="AG567" i="3"/>
  <c r="BF564" i="3"/>
  <c r="BJ563" i="3" s="1"/>
  <c r="BK563" i="3" s="1"/>
  <c r="Y567" i="3"/>
  <c r="Z567" i="3" s="1"/>
  <c r="B568" i="3"/>
  <c r="AQ568" i="3"/>
  <c r="AR568" i="3"/>
  <c r="A569" i="3"/>
  <c r="C568" i="3"/>
  <c r="AM568" i="3"/>
  <c r="AK568" i="3"/>
  <c r="T568" i="3"/>
  <c r="D568" i="3"/>
  <c r="S568" i="3"/>
  <c r="R568" i="3"/>
  <c r="Q568" i="3"/>
  <c r="AD568" i="3"/>
  <c r="P568" i="3"/>
  <c r="AE568" i="3"/>
  <c r="O568" i="3"/>
  <c r="M568" i="3"/>
  <c r="U568" i="3"/>
  <c r="AF568" i="3"/>
  <c r="V568" i="3"/>
  <c r="G568" i="3"/>
  <c r="H568" i="3" s="1"/>
  <c r="BN568" i="3" s="1"/>
  <c r="F568" i="3"/>
  <c r="AT566" i="3"/>
  <c r="AW566" i="3"/>
  <c r="BA565" i="3"/>
  <c r="AU566" i="3"/>
  <c r="AH567" i="3"/>
  <c r="AO567" i="3"/>
  <c r="X567" i="3"/>
  <c r="BD564" i="3" l="1"/>
  <c r="BC565" i="3"/>
  <c r="BD565" i="3" s="1"/>
  <c r="AY566" i="3"/>
  <c r="BM568" i="3"/>
  <c r="AU567" i="3"/>
  <c r="AH568" i="3"/>
  <c r="AN568" i="3"/>
  <c r="AT567" i="3"/>
  <c r="AW567" i="3"/>
  <c r="AQ569" i="3"/>
  <c r="B569" i="3"/>
  <c r="A570" i="3"/>
  <c r="AR569" i="3"/>
  <c r="C569" i="3"/>
  <c r="S569" i="3"/>
  <c r="AK569" i="3"/>
  <c r="D569" i="3"/>
  <c r="AM569" i="3"/>
  <c r="Q569" i="3"/>
  <c r="T569" i="3"/>
  <c r="P569" i="3"/>
  <c r="AD569" i="3"/>
  <c r="O569" i="3"/>
  <c r="M569" i="3"/>
  <c r="V569" i="3"/>
  <c r="AF569" i="3"/>
  <c r="AE569" i="3"/>
  <c r="G569" i="3"/>
  <c r="H569" i="3" s="1"/>
  <c r="U569" i="3"/>
  <c r="R569" i="3"/>
  <c r="F569" i="3"/>
  <c r="BF565" i="3"/>
  <c r="BQ565" i="3"/>
  <c r="BB565" i="3"/>
  <c r="AV566" i="3"/>
  <c r="BA566" i="3"/>
  <c r="Y568" i="3"/>
  <c r="Z568" i="3" s="1"/>
  <c r="AX567" i="3"/>
  <c r="AG568" i="3"/>
  <c r="AO568" i="3"/>
  <c r="X568" i="3"/>
  <c r="BG565" i="3" l="1"/>
  <c r="BH565" i="3" s="1"/>
  <c r="BI565" i="3" s="1"/>
  <c r="AY567" i="3"/>
  <c r="AU568" i="3"/>
  <c r="AN569" i="3"/>
  <c r="BC566" i="3"/>
  <c r="BD566" i="3" s="1"/>
  <c r="AV567" i="3"/>
  <c r="BN569" i="3"/>
  <c r="AT568" i="3"/>
  <c r="AX568" i="3"/>
  <c r="AH569" i="3"/>
  <c r="BJ564" i="3"/>
  <c r="BK564" i="3" s="1"/>
  <c r="B570" i="3"/>
  <c r="A571" i="3"/>
  <c r="AQ570" i="3"/>
  <c r="AR570" i="3"/>
  <c r="C570" i="3"/>
  <c r="AK570" i="3"/>
  <c r="AM570" i="3"/>
  <c r="D570" i="3"/>
  <c r="T570" i="3"/>
  <c r="Q570" i="3"/>
  <c r="S570" i="3"/>
  <c r="R570" i="3"/>
  <c r="AD570" i="3"/>
  <c r="M570" i="3"/>
  <c r="P570" i="3"/>
  <c r="O570" i="3"/>
  <c r="AF570" i="3"/>
  <c r="AE570" i="3"/>
  <c r="V570" i="3"/>
  <c r="U570" i="3"/>
  <c r="G570" i="3"/>
  <c r="H570" i="3" s="1"/>
  <c r="F570" i="3"/>
  <c r="Y569" i="3"/>
  <c r="Z569" i="3" s="1"/>
  <c r="AO569" i="3"/>
  <c r="X569" i="3"/>
  <c r="AW568" i="3"/>
  <c r="BA567" i="3"/>
  <c r="BM569" i="3"/>
  <c r="AG569" i="3"/>
  <c r="BF566" i="3"/>
  <c r="BQ566" i="3"/>
  <c r="BB566" i="3"/>
  <c r="BC567" i="3" l="1"/>
  <c r="BG567" i="3" s="1"/>
  <c r="BH567" i="3" s="1"/>
  <c r="BI567" i="3" s="1"/>
  <c r="AV568" i="3"/>
  <c r="BG566" i="3"/>
  <c r="BH566" i="3" s="1"/>
  <c r="BI566" i="3" s="1"/>
  <c r="BM570" i="3"/>
  <c r="BN570" i="3"/>
  <c r="AW569" i="3"/>
  <c r="AN570" i="3"/>
  <c r="AY568" i="3"/>
  <c r="BF567" i="3"/>
  <c r="BJ566" i="3" s="1"/>
  <c r="BK566" i="3" s="1"/>
  <c r="BQ567" i="3"/>
  <c r="BB567" i="3"/>
  <c r="Y570" i="3"/>
  <c r="Z570" i="3" s="1"/>
  <c r="AR571" i="3"/>
  <c r="B571" i="3"/>
  <c r="AQ571" i="3"/>
  <c r="A572" i="3"/>
  <c r="D571" i="3"/>
  <c r="AK571" i="3"/>
  <c r="S571" i="3"/>
  <c r="AM571" i="3"/>
  <c r="C571" i="3"/>
  <c r="R571" i="3"/>
  <c r="Q571" i="3"/>
  <c r="AD571" i="3"/>
  <c r="P571" i="3"/>
  <c r="AE571" i="3"/>
  <c r="M571" i="3"/>
  <c r="O571" i="3"/>
  <c r="AF571" i="3"/>
  <c r="U571" i="3"/>
  <c r="V571" i="3"/>
  <c r="G571" i="3"/>
  <c r="H571" i="3" s="1"/>
  <c r="F571" i="3"/>
  <c r="BM571" i="3" s="1"/>
  <c r="T571" i="3"/>
  <c r="AX569" i="3"/>
  <c r="AT569" i="3"/>
  <c r="AG570" i="3"/>
  <c r="AO570" i="3"/>
  <c r="BA568" i="3"/>
  <c r="AU569" i="3"/>
  <c r="AH570" i="3"/>
  <c r="X570" i="3"/>
  <c r="BJ565" i="3"/>
  <c r="BK565" i="3" s="1"/>
  <c r="BD567" i="3" l="1"/>
  <c r="BC568" i="3"/>
  <c r="BD568" i="3" s="1"/>
  <c r="AY569" i="3"/>
  <c r="AX570" i="3"/>
  <c r="AV569" i="3"/>
  <c r="BB568" i="3"/>
  <c r="BF568" i="3"/>
  <c r="BJ567" i="3" s="1"/>
  <c r="BK567" i="3" s="1"/>
  <c r="BQ568" i="3"/>
  <c r="AO571" i="3"/>
  <c r="AN571" i="3"/>
  <c r="B572" i="3"/>
  <c r="AQ572" i="3"/>
  <c r="AR572" i="3"/>
  <c r="A573" i="3"/>
  <c r="C572" i="3"/>
  <c r="D572" i="3"/>
  <c r="AK572" i="3"/>
  <c r="AM572" i="3"/>
  <c r="T572" i="3"/>
  <c r="S572" i="3"/>
  <c r="Q572" i="3"/>
  <c r="AD572" i="3"/>
  <c r="P572" i="3"/>
  <c r="O572" i="3"/>
  <c r="M572" i="3"/>
  <c r="AE572" i="3"/>
  <c r="V572" i="3"/>
  <c r="AF572" i="3"/>
  <c r="U572" i="3"/>
  <c r="F572" i="3"/>
  <c r="R572" i="3"/>
  <c r="G572" i="3"/>
  <c r="H572" i="3" s="1"/>
  <c r="BN572" i="3" s="1"/>
  <c r="AU570" i="3"/>
  <c r="X571" i="3"/>
  <c r="BA569" i="3"/>
  <c r="AT570" i="3"/>
  <c r="AW570" i="3"/>
  <c r="Y571" i="3"/>
  <c r="Z571" i="3" s="1"/>
  <c r="BN571" i="3"/>
  <c r="AG571" i="3"/>
  <c r="AH571" i="3"/>
  <c r="BG568" i="3" l="1"/>
  <c r="BH568" i="3" s="1"/>
  <c r="BI568" i="3" s="1"/>
  <c r="BC569" i="3"/>
  <c r="BD569" i="3" s="1"/>
  <c r="AO572" i="3"/>
  <c r="AU571" i="3"/>
  <c r="AY570" i="3"/>
  <c r="AW571" i="3"/>
  <c r="BA570" i="3"/>
  <c r="AV570" i="3"/>
  <c r="BQ569" i="3"/>
  <c r="BF569" i="3"/>
  <c r="BJ568" i="3" s="1"/>
  <c r="BK568" i="3" s="1"/>
  <c r="BB569" i="3"/>
  <c r="Y572" i="3"/>
  <c r="Z572" i="3" s="1"/>
  <c r="AQ573" i="3"/>
  <c r="B573" i="3"/>
  <c r="A574" i="3"/>
  <c r="AR573" i="3"/>
  <c r="D573" i="3"/>
  <c r="C573" i="3"/>
  <c r="S573" i="3"/>
  <c r="Q573" i="3"/>
  <c r="AK573" i="3"/>
  <c r="AM573" i="3"/>
  <c r="R573" i="3"/>
  <c r="P573" i="3"/>
  <c r="AD573" i="3"/>
  <c r="M573" i="3"/>
  <c r="AE573" i="3"/>
  <c r="O573" i="3"/>
  <c r="AF573" i="3"/>
  <c r="V573" i="3"/>
  <c r="U573" i="3"/>
  <c r="G573" i="3"/>
  <c r="H573" i="3" s="1"/>
  <c r="F573" i="3"/>
  <c r="T573" i="3"/>
  <c r="AT571" i="3"/>
  <c r="AX571" i="3"/>
  <c r="BM572" i="3"/>
  <c r="AG572" i="3"/>
  <c r="AH572" i="3"/>
  <c r="AN572" i="3"/>
  <c r="X572" i="3"/>
  <c r="BG569" i="3" l="1"/>
  <c r="BH569" i="3" s="1"/>
  <c r="BI569" i="3" s="1"/>
  <c r="AY571" i="3"/>
  <c r="BM573" i="3"/>
  <c r="BC570" i="3"/>
  <c r="BD570" i="3" s="1"/>
  <c r="AG573" i="3"/>
  <c r="AO573" i="3"/>
  <c r="AU572" i="3"/>
  <c r="AX572" i="3"/>
  <c r="BA571" i="3"/>
  <c r="AV571" i="3"/>
  <c r="BQ570" i="3"/>
  <c r="BF570" i="3"/>
  <c r="BJ569" i="3" s="1"/>
  <c r="BK569" i="3" s="1"/>
  <c r="BB570" i="3"/>
  <c r="AH573" i="3"/>
  <c r="AT572" i="3"/>
  <c r="AW572" i="3"/>
  <c r="Y573" i="3"/>
  <c r="Z573" i="3" s="1"/>
  <c r="BN573" i="3"/>
  <c r="AN573" i="3"/>
  <c r="X573" i="3"/>
  <c r="B574" i="3"/>
  <c r="A575" i="3"/>
  <c r="AQ574" i="3"/>
  <c r="AR574" i="3"/>
  <c r="C574" i="3"/>
  <c r="D574" i="3"/>
  <c r="AK574" i="3"/>
  <c r="S574" i="3"/>
  <c r="R574" i="3"/>
  <c r="AM574" i="3"/>
  <c r="AD574" i="3"/>
  <c r="P574" i="3"/>
  <c r="Q574" i="3"/>
  <c r="AF574" i="3"/>
  <c r="M574" i="3"/>
  <c r="U574" i="3"/>
  <c r="O574" i="3"/>
  <c r="AE574" i="3"/>
  <c r="V574" i="3"/>
  <c r="F574" i="3"/>
  <c r="G574" i="3"/>
  <c r="H574" i="3" s="1"/>
  <c r="T574" i="3"/>
  <c r="BC571" i="3" l="1"/>
  <c r="BG571" i="3" s="1"/>
  <c r="BH571" i="3" s="1"/>
  <c r="BI571" i="3" s="1"/>
  <c r="AY572" i="3"/>
  <c r="AU573" i="3"/>
  <c r="BG570" i="3"/>
  <c r="BH570" i="3" s="1"/>
  <c r="BI570" i="3" s="1"/>
  <c r="BN574" i="3"/>
  <c r="AN574" i="3"/>
  <c r="BM574" i="3"/>
  <c r="AG574" i="3"/>
  <c r="AO574" i="3"/>
  <c r="AW573" i="3"/>
  <c r="Y574" i="3"/>
  <c r="Z574" i="3" s="1"/>
  <c r="AR575" i="3"/>
  <c r="AQ575" i="3"/>
  <c r="A576" i="3"/>
  <c r="B575" i="3"/>
  <c r="D575" i="3"/>
  <c r="C575" i="3"/>
  <c r="AK575" i="3"/>
  <c r="AM575" i="3"/>
  <c r="Q575" i="3"/>
  <c r="S575" i="3"/>
  <c r="AD575" i="3"/>
  <c r="P575" i="3"/>
  <c r="O575" i="3"/>
  <c r="AE575" i="3"/>
  <c r="AF575" i="3"/>
  <c r="M575" i="3"/>
  <c r="V575" i="3"/>
  <c r="U575" i="3"/>
  <c r="G575" i="3"/>
  <c r="H575" i="3" s="1"/>
  <c r="F575" i="3"/>
  <c r="R575" i="3"/>
  <c r="T575" i="3"/>
  <c r="AT573" i="3"/>
  <c r="AX573" i="3"/>
  <c r="BQ571" i="3"/>
  <c r="BF571" i="3"/>
  <c r="BJ570" i="3" s="1"/>
  <c r="BK570" i="3" s="1"/>
  <c r="BB571" i="3"/>
  <c r="AV572" i="3"/>
  <c r="BA572" i="3"/>
  <c r="AH574" i="3"/>
  <c r="X574" i="3"/>
  <c r="BD571" i="3" l="1"/>
  <c r="BC572" i="3"/>
  <c r="BD572" i="3" s="1"/>
  <c r="BN575" i="3"/>
  <c r="BM575" i="3"/>
  <c r="AU574" i="3"/>
  <c r="AX574" i="3"/>
  <c r="AO575" i="3"/>
  <c r="AY573" i="3"/>
  <c r="BA573" i="3"/>
  <c r="AV573" i="3"/>
  <c r="AH575" i="3"/>
  <c r="AT574" i="3"/>
  <c r="AW574" i="3"/>
  <c r="Y575" i="3"/>
  <c r="Z575" i="3" s="1"/>
  <c r="AG575" i="3"/>
  <c r="AN575" i="3"/>
  <c r="X575" i="3"/>
  <c r="BQ572" i="3"/>
  <c r="BF572" i="3"/>
  <c r="BJ571" i="3" s="1"/>
  <c r="BK571" i="3" s="1"/>
  <c r="BB572" i="3"/>
  <c r="A577" i="3"/>
  <c r="AR576" i="3"/>
  <c r="B576" i="3"/>
  <c r="AQ576" i="3"/>
  <c r="D576" i="3"/>
  <c r="AM576" i="3"/>
  <c r="S576" i="3"/>
  <c r="Q576" i="3"/>
  <c r="AK576" i="3"/>
  <c r="C576" i="3"/>
  <c r="R576" i="3"/>
  <c r="AD576" i="3"/>
  <c r="P576" i="3"/>
  <c r="O576" i="3"/>
  <c r="AE576" i="3"/>
  <c r="AF576" i="3"/>
  <c r="V576" i="3"/>
  <c r="M576" i="3"/>
  <c r="U576" i="3"/>
  <c r="G576" i="3"/>
  <c r="H576" i="3" s="1"/>
  <c r="F576" i="3"/>
  <c r="T576" i="3"/>
  <c r="BG572" i="3" l="1"/>
  <c r="BH572" i="3" s="1"/>
  <c r="BI572" i="3" s="1"/>
  <c r="AU575" i="3"/>
  <c r="BC573" i="3"/>
  <c r="BD573" i="3" s="1"/>
  <c r="AO576" i="3"/>
  <c r="AY574" i="3"/>
  <c r="BM576" i="3"/>
  <c r="AG576" i="3"/>
  <c r="AT575" i="3"/>
  <c r="AW575" i="3"/>
  <c r="BF573" i="3"/>
  <c r="BJ572" i="3" s="1"/>
  <c r="BK572" i="3" s="1"/>
  <c r="BQ573" i="3"/>
  <c r="BB573" i="3"/>
  <c r="Y576" i="3"/>
  <c r="Z576" i="3" s="1"/>
  <c r="BN576" i="3"/>
  <c r="AH576" i="3"/>
  <c r="X576" i="3"/>
  <c r="AN576" i="3"/>
  <c r="AX575" i="3"/>
  <c r="AR577" i="3"/>
  <c r="A578" i="3"/>
  <c r="AQ577" i="3"/>
  <c r="B577" i="3"/>
  <c r="C577" i="3"/>
  <c r="AK577" i="3"/>
  <c r="T577" i="3"/>
  <c r="S577" i="3"/>
  <c r="D577" i="3"/>
  <c r="AM577" i="3"/>
  <c r="R577" i="3"/>
  <c r="Q577" i="3"/>
  <c r="AD577" i="3"/>
  <c r="P577" i="3"/>
  <c r="O577" i="3"/>
  <c r="M577" i="3"/>
  <c r="U577" i="3"/>
  <c r="AE577" i="3"/>
  <c r="AF577" i="3"/>
  <c r="V577" i="3"/>
  <c r="F577" i="3"/>
  <c r="G577" i="3"/>
  <c r="H577" i="3" s="1"/>
  <c r="BA574" i="3"/>
  <c r="AV574" i="3"/>
  <c r="BG573" i="3"/>
  <c r="BH573" i="3" s="1"/>
  <c r="BI573" i="3" s="1"/>
  <c r="BM577" i="3" l="1"/>
  <c r="AU576" i="3"/>
  <c r="AN577" i="3"/>
  <c r="BC574" i="3"/>
  <c r="BD574" i="3" s="1"/>
  <c r="BN577" i="3"/>
  <c r="AW576" i="3"/>
  <c r="AT576" i="3"/>
  <c r="BQ574" i="3"/>
  <c r="BB574" i="3"/>
  <c r="BF574" i="3"/>
  <c r="BJ573" i="3" s="1"/>
  <c r="BK573" i="3" s="1"/>
  <c r="AR578" i="3"/>
  <c r="AQ578" i="3"/>
  <c r="B578" i="3"/>
  <c r="A579" i="3"/>
  <c r="C578" i="3"/>
  <c r="D578" i="3"/>
  <c r="AM578" i="3"/>
  <c r="AK578" i="3"/>
  <c r="S578" i="3"/>
  <c r="AD578" i="3"/>
  <c r="P578" i="3"/>
  <c r="R578" i="3"/>
  <c r="Q578" i="3"/>
  <c r="O578" i="3"/>
  <c r="M578" i="3"/>
  <c r="AE578" i="3"/>
  <c r="AF578" i="3"/>
  <c r="U578" i="3"/>
  <c r="V578" i="3"/>
  <c r="G578" i="3"/>
  <c r="H578" i="3" s="1"/>
  <c r="F578" i="3"/>
  <c r="BM578" i="3" s="1"/>
  <c r="T578" i="3"/>
  <c r="BA575" i="3"/>
  <c r="AV575" i="3"/>
  <c r="AG577" i="3"/>
  <c r="AO577" i="3"/>
  <c r="Y577" i="3"/>
  <c r="Z577" i="3" s="1"/>
  <c r="AH577" i="3"/>
  <c r="X577" i="3"/>
  <c r="AX576" i="3"/>
  <c r="AY575" i="3"/>
  <c r="BN578" i="3" l="1"/>
  <c r="AV576" i="3"/>
  <c r="BG574" i="3"/>
  <c r="BH574" i="3" s="1"/>
  <c r="BI574" i="3" s="1"/>
  <c r="AU577" i="3"/>
  <c r="BA576" i="3"/>
  <c r="BB576" i="3" s="1"/>
  <c r="AT577" i="3"/>
  <c r="AN578" i="3"/>
  <c r="AH578" i="3"/>
  <c r="A580" i="3"/>
  <c r="AQ579" i="3"/>
  <c r="AR579" i="3"/>
  <c r="B579" i="3"/>
  <c r="C579" i="3"/>
  <c r="AK579" i="3"/>
  <c r="AM579" i="3"/>
  <c r="S579" i="3"/>
  <c r="D579" i="3"/>
  <c r="R579" i="3"/>
  <c r="Q579" i="3"/>
  <c r="AD579" i="3"/>
  <c r="T579" i="3"/>
  <c r="P579" i="3"/>
  <c r="M579" i="3"/>
  <c r="AE579" i="3"/>
  <c r="AF579" i="3"/>
  <c r="V579" i="3"/>
  <c r="O579" i="3"/>
  <c r="U579" i="3"/>
  <c r="F579" i="3"/>
  <c r="BM579" i="3" s="1"/>
  <c r="G579" i="3"/>
  <c r="H579" i="3" s="1"/>
  <c r="AY576" i="3"/>
  <c r="AX577" i="3"/>
  <c r="AW577" i="3"/>
  <c r="BC575" i="3"/>
  <c r="Y578" i="3"/>
  <c r="Z578" i="3" s="1"/>
  <c r="AG578" i="3"/>
  <c r="AO578" i="3"/>
  <c r="BF575" i="3"/>
  <c r="BJ574" i="3" s="1"/>
  <c r="BK574" i="3" s="1"/>
  <c r="BB575" i="3"/>
  <c r="BQ575" i="3"/>
  <c r="X578" i="3"/>
  <c r="BC576" i="3" l="1"/>
  <c r="BG576" i="3" s="1"/>
  <c r="BH576" i="3" s="1"/>
  <c r="BI576" i="3" s="1"/>
  <c r="BQ576" i="3"/>
  <c r="AV577" i="3"/>
  <c r="BF576" i="3"/>
  <c r="BJ575" i="3" s="1"/>
  <c r="BK575" i="3" s="1"/>
  <c r="AU578" i="3"/>
  <c r="AN579" i="3"/>
  <c r="AT578" i="3"/>
  <c r="AX578" i="3"/>
  <c r="AY577" i="3"/>
  <c r="BA577" i="3"/>
  <c r="BQ577" i="3" s="1"/>
  <c r="Y579" i="3"/>
  <c r="Z579" i="3" s="1"/>
  <c r="BD575" i="3"/>
  <c r="BG575" i="3"/>
  <c r="BH575" i="3" s="1"/>
  <c r="BI575" i="3" s="1"/>
  <c r="AW578" i="3"/>
  <c r="BN579" i="3"/>
  <c r="AG579" i="3"/>
  <c r="AH579" i="3"/>
  <c r="AO579" i="3"/>
  <c r="A581" i="3"/>
  <c r="AR580" i="3"/>
  <c r="B580" i="3"/>
  <c r="AQ580" i="3"/>
  <c r="C580" i="3"/>
  <c r="AK580" i="3"/>
  <c r="S580" i="3"/>
  <c r="AM580" i="3"/>
  <c r="D580" i="3"/>
  <c r="Q580" i="3"/>
  <c r="R580" i="3"/>
  <c r="AD580" i="3"/>
  <c r="T580" i="3"/>
  <c r="P580" i="3"/>
  <c r="M580" i="3"/>
  <c r="AF580" i="3"/>
  <c r="U580" i="3"/>
  <c r="V580" i="3"/>
  <c r="O580" i="3"/>
  <c r="AE580" i="3"/>
  <c r="F580" i="3"/>
  <c r="G580" i="3"/>
  <c r="H580" i="3" s="1"/>
  <c r="X579" i="3"/>
  <c r="BM580" i="3" l="1"/>
  <c r="AG580" i="3"/>
  <c r="BD576" i="3"/>
  <c r="AY578" i="3"/>
  <c r="BC577" i="3"/>
  <c r="BD577" i="3" s="1"/>
  <c r="AV578" i="3"/>
  <c r="AN580" i="3"/>
  <c r="BN580" i="3"/>
  <c r="BA578" i="3"/>
  <c r="BQ578" i="3" s="1"/>
  <c r="AU579" i="3"/>
  <c r="AX579" i="3"/>
  <c r="BB577" i="3"/>
  <c r="BF577" i="3"/>
  <c r="BJ576" i="3" s="1"/>
  <c r="BK576" i="3" s="1"/>
  <c r="AR581" i="3"/>
  <c r="A582" i="3"/>
  <c r="AQ581" i="3"/>
  <c r="B581" i="3"/>
  <c r="C581" i="3"/>
  <c r="D581" i="3"/>
  <c r="R581" i="3"/>
  <c r="Q581" i="3"/>
  <c r="AM581" i="3"/>
  <c r="AK581" i="3"/>
  <c r="S581" i="3"/>
  <c r="AD581" i="3"/>
  <c r="P581" i="3"/>
  <c r="M581" i="3"/>
  <c r="AE581" i="3"/>
  <c r="O581" i="3"/>
  <c r="AF581" i="3"/>
  <c r="U581" i="3"/>
  <c r="V581" i="3"/>
  <c r="G581" i="3"/>
  <c r="H581" i="3" s="1"/>
  <c r="F581" i="3"/>
  <c r="BM581" i="3" s="1"/>
  <c r="T581" i="3"/>
  <c r="Y580" i="3"/>
  <c r="Z580" i="3" s="1"/>
  <c r="X580" i="3"/>
  <c r="AT579" i="3"/>
  <c r="AW579" i="3"/>
  <c r="AH580" i="3"/>
  <c r="AO580" i="3"/>
  <c r="BC578" i="3" l="1"/>
  <c r="BD578" i="3" s="1"/>
  <c r="BN581" i="3"/>
  <c r="BG577" i="3"/>
  <c r="BH577" i="3" s="1"/>
  <c r="BI577" i="3" s="1"/>
  <c r="BF578" i="3"/>
  <c r="BJ577" i="3" s="1"/>
  <c r="BK577" i="3" s="1"/>
  <c r="BB578" i="3"/>
  <c r="AY579" i="3"/>
  <c r="AX580" i="3"/>
  <c r="AN581" i="3"/>
  <c r="AV579" i="3"/>
  <c r="BA579" i="3"/>
  <c r="AR582" i="3"/>
  <c r="AQ582" i="3"/>
  <c r="B582" i="3"/>
  <c r="A583" i="3"/>
  <c r="C582" i="3"/>
  <c r="D582" i="3"/>
  <c r="AM582" i="3"/>
  <c r="T582" i="3"/>
  <c r="AK582" i="3"/>
  <c r="S582" i="3"/>
  <c r="R582" i="3"/>
  <c r="Q582" i="3"/>
  <c r="AD582" i="3"/>
  <c r="P582" i="3"/>
  <c r="AE582" i="3"/>
  <c r="M582" i="3"/>
  <c r="O582" i="3"/>
  <c r="AF582" i="3"/>
  <c r="U582" i="3"/>
  <c r="V582" i="3"/>
  <c r="G582" i="3"/>
  <c r="H582" i="3" s="1"/>
  <c r="F582" i="3"/>
  <c r="AW580" i="3"/>
  <c r="Y581" i="3"/>
  <c r="Z581" i="3" s="1"/>
  <c r="AH581" i="3"/>
  <c r="AO581" i="3"/>
  <c r="AT580" i="3"/>
  <c r="AU580" i="3"/>
  <c r="AG581" i="3"/>
  <c r="X581" i="3"/>
  <c r="AY580" i="3" l="1"/>
  <c r="BG578" i="3"/>
  <c r="BH578" i="3" s="1"/>
  <c r="BI578" i="3" s="1"/>
  <c r="AO582" i="3"/>
  <c r="BN582" i="3"/>
  <c r="BM582" i="3"/>
  <c r="BC579" i="3"/>
  <c r="BG579" i="3" s="1"/>
  <c r="BH579" i="3" s="1"/>
  <c r="BI579" i="3" s="1"/>
  <c r="AW581" i="3"/>
  <c r="AX581" i="3"/>
  <c r="AG582" i="3"/>
  <c r="AH582" i="3"/>
  <c r="AN582" i="3"/>
  <c r="X582" i="3"/>
  <c r="AV580" i="3"/>
  <c r="BA580" i="3"/>
  <c r="Y582" i="3"/>
  <c r="Z582" i="3" s="1"/>
  <c r="A584" i="3"/>
  <c r="AQ583" i="3"/>
  <c r="AR583" i="3"/>
  <c r="B583" i="3"/>
  <c r="C583" i="3"/>
  <c r="D583" i="3"/>
  <c r="AK583" i="3"/>
  <c r="AM583" i="3"/>
  <c r="S583" i="3"/>
  <c r="R583" i="3"/>
  <c r="P583" i="3"/>
  <c r="Q583" i="3"/>
  <c r="AD583" i="3"/>
  <c r="O583" i="3"/>
  <c r="V583" i="3"/>
  <c r="AF583" i="3"/>
  <c r="AE583" i="3"/>
  <c r="M583" i="3"/>
  <c r="U583" i="3"/>
  <c r="G583" i="3"/>
  <c r="H583" i="3" s="1"/>
  <c r="F583" i="3"/>
  <c r="T583" i="3"/>
  <c r="BQ579" i="3"/>
  <c r="BF579" i="3"/>
  <c r="BJ578" i="3" s="1"/>
  <c r="BK578" i="3" s="1"/>
  <c r="BB579" i="3"/>
  <c r="AU581" i="3"/>
  <c r="AT581" i="3"/>
  <c r="BC580" i="3" l="1"/>
  <c r="BD580" i="3" s="1"/>
  <c r="BM583" i="3"/>
  <c r="BN583" i="3"/>
  <c r="BD579" i="3"/>
  <c r="AO583" i="3"/>
  <c r="AG583" i="3"/>
  <c r="AT582" i="3"/>
  <c r="AY581" i="3"/>
  <c r="AU582" i="3"/>
  <c r="Y583" i="3"/>
  <c r="Z583" i="3" s="1"/>
  <c r="AX582" i="3"/>
  <c r="BQ580" i="3"/>
  <c r="BB580" i="3"/>
  <c r="BF580" i="3"/>
  <c r="BJ579" i="3" s="1"/>
  <c r="BK579" i="3" s="1"/>
  <c r="AN583" i="3"/>
  <c r="AW582" i="3"/>
  <c r="AV581" i="3"/>
  <c r="BA581" i="3"/>
  <c r="A585" i="3"/>
  <c r="AR584" i="3"/>
  <c r="B584" i="3"/>
  <c r="AQ584" i="3"/>
  <c r="D584" i="3"/>
  <c r="AM584" i="3"/>
  <c r="AK584" i="3"/>
  <c r="R584" i="3"/>
  <c r="C584" i="3"/>
  <c r="S584" i="3"/>
  <c r="Q584" i="3"/>
  <c r="AD584" i="3"/>
  <c r="P584" i="3"/>
  <c r="O584" i="3"/>
  <c r="AE584" i="3"/>
  <c r="AF584" i="3"/>
  <c r="U584" i="3"/>
  <c r="V584" i="3"/>
  <c r="M584" i="3"/>
  <c r="F584" i="3"/>
  <c r="G584" i="3"/>
  <c r="H584" i="3" s="1"/>
  <c r="T584" i="3"/>
  <c r="AH583" i="3"/>
  <c r="X583" i="3"/>
  <c r="BN584" i="3" l="1"/>
  <c r="BG580" i="3"/>
  <c r="BH580" i="3" s="1"/>
  <c r="BI580" i="3" s="1"/>
  <c r="BC581" i="3"/>
  <c r="BG581" i="3" s="1"/>
  <c r="BH581" i="3" s="1"/>
  <c r="BI581" i="3" s="1"/>
  <c r="AV582" i="3"/>
  <c r="AY582" i="3"/>
  <c r="BM584" i="3"/>
  <c r="AX583" i="3"/>
  <c r="AN584" i="3"/>
  <c r="Y584" i="3"/>
  <c r="Z584" i="3" s="1"/>
  <c r="BB581" i="3"/>
  <c r="BF581" i="3"/>
  <c r="BJ580" i="3" s="1"/>
  <c r="BK580" i="3" s="1"/>
  <c r="BQ581" i="3"/>
  <c r="AT583" i="3"/>
  <c r="AH584" i="3"/>
  <c r="BA582" i="3"/>
  <c r="AR585" i="3"/>
  <c r="A586" i="3"/>
  <c r="AQ585" i="3"/>
  <c r="B585" i="3"/>
  <c r="D585" i="3"/>
  <c r="S585" i="3"/>
  <c r="C585" i="3"/>
  <c r="AM585" i="3"/>
  <c r="AK585" i="3"/>
  <c r="R585" i="3"/>
  <c r="Q585" i="3"/>
  <c r="AD585" i="3"/>
  <c r="P585" i="3"/>
  <c r="O585" i="3"/>
  <c r="AE585" i="3"/>
  <c r="M585" i="3"/>
  <c r="AF585" i="3"/>
  <c r="U585" i="3"/>
  <c r="V585" i="3"/>
  <c r="F585" i="3"/>
  <c r="G585" i="3"/>
  <c r="H585" i="3" s="1"/>
  <c r="BN585" i="3" s="1"/>
  <c r="T585" i="3"/>
  <c r="AW583" i="3"/>
  <c r="AG584" i="3"/>
  <c r="X584" i="3"/>
  <c r="AO584" i="3"/>
  <c r="AU583" i="3"/>
  <c r="BD581" i="3" l="1"/>
  <c r="BC582" i="3"/>
  <c r="BG582" i="3" s="1"/>
  <c r="BH582" i="3" s="1"/>
  <c r="BI582" i="3" s="1"/>
  <c r="AY583" i="3"/>
  <c r="BM585" i="3"/>
  <c r="AO585" i="3"/>
  <c r="AH585" i="3"/>
  <c r="AT584" i="3"/>
  <c r="AG585" i="3"/>
  <c r="X585" i="3"/>
  <c r="AX584" i="3"/>
  <c r="AR586" i="3"/>
  <c r="AQ586" i="3"/>
  <c r="B586" i="3"/>
  <c r="A587" i="3"/>
  <c r="D586" i="3"/>
  <c r="AK586" i="3"/>
  <c r="AM586" i="3"/>
  <c r="R586" i="3"/>
  <c r="C586" i="3"/>
  <c r="Q586" i="3"/>
  <c r="S586" i="3"/>
  <c r="AD586" i="3"/>
  <c r="P586" i="3"/>
  <c r="AE586" i="3"/>
  <c r="O586" i="3"/>
  <c r="M586" i="3"/>
  <c r="V586" i="3"/>
  <c r="AF586" i="3"/>
  <c r="U586" i="3"/>
  <c r="G586" i="3"/>
  <c r="H586" i="3" s="1"/>
  <c r="F586" i="3"/>
  <c r="BM586" i="3" s="1"/>
  <c r="T586" i="3"/>
  <c r="BB582" i="3"/>
  <c r="BQ582" i="3"/>
  <c r="BF582" i="3"/>
  <c r="BJ581" i="3" s="1"/>
  <c r="BK581" i="3" s="1"/>
  <c r="AV583" i="3"/>
  <c r="BA583" i="3"/>
  <c r="AW584" i="3"/>
  <c r="Y585" i="3"/>
  <c r="Z585" i="3" s="1"/>
  <c r="AN585" i="3"/>
  <c r="AU584" i="3"/>
  <c r="BD582" i="3" l="1"/>
  <c r="AT585" i="3"/>
  <c r="BC583" i="3"/>
  <c r="BD583" i="3" s="1"/>
  <c r="AU585" i="3"/>
  <c r="AH586" i="3"/>
  <c r="AV584" i="3"/>
  <c r="AN586" i="3"/>
  <c r="AX585" i="3"/>
  <c r="BA584" i="3"/>
  <c r="BQ584" i="3" s="1"/>
  <c r="BQ583" i="3"/>
  <c r="BF583" i="3"/>
  <c r="BJ582" i="3" s="1"/>
  <c r="BK582" i="3" s="1"/>
  <c r="BB583" i="3"/>
  <c r="A588" i="3"/>
  <c r="AQ587" i="3"/>
  <c r="AR587" i="3"/>
  <c r="B587" i="3"/>
  <c r="C587" i="3"/>
  <c r="D587" i="3"/>
  <c r="AK587" i="3"/>
  <c r="AM587" i="3"/>
  <c r="T587" i="3"/>
  <c r="R587" i="3"/>
  <c r="S587" i="3"/>
  <c r="Q587" i="3"/>
  <c r="AD587" i="3"/>
  <c r="O587" i="3"/>
  <c r="AF587" i="3"/>
  <c r="M587" i="3"/>
  <c r="U587" i="3"/>
  <c r="V587" i="3"/>
  <c r="P587" i="3"/>
  <c r="AE587" i="3"/>
  <c r="G587" i="3"/>
  <c r="H587" i="3" s="1"/>
  <c r="F587" i="3"/>
  <c r="X586" i="3"/>
  <c r="Y586" i="3"/>
  <c r="Z586" i="3" s="1"/>
  <c r="BN586" i="3"/>
  <c r="AG586" i="3"/>
  <c r="AO586" i="3"/>
  <c r="AY584" i="3"/>
  <c r="AW585" i="3"/>
  <c r="AV585" i="3" l="1"/>
  <c r="AY585" i="3"/>
  <c r="BG583" i="3"/>
  <c r="BH583" i="3" s="1"/>
  <c r="BI583" i="3" s="1"/>
  <c r="AW586" i="3"/>
  <c r="AN587" i="3"/>
  <c r="BC584" i="3"/>
  <c r="BD584" i="3" s="1"/>
  <c r="BM587" i="3"/>
  <c r="AU586" i="3"/>
  <c r="AG587" i="3"/>
  <c r="BF584" i="3"/>
  <c r="BJ583" i="3" s="1"/>
  <c r="BK583" i="3" s="1"/>
  <c r="BB584" i="3"/>
  <c r="Y587" i="3"/>
  <c r="Z587" i="3" s="1"/>
  <c r="A589" i="3"/>
  <c r="AR588" i="3"/>
  <c r="B588" i="3"/>
  <c r="AQ588" i="3"/>
  <c r="C588" i="3"/>
  <c r="D588" i="3"/>
  <c r="S588" i="3"/>
  <c r="AM588" i="3"/>
  <c r="AK588" i="3"/>
  <c r="Q588" i="3"/>
  <c r="P588" i="3"/>
  <c r="R588" i="3"/>
  <c r="AD588" i="3"/>
  <c r="O588" i="3"/>
  <c r="AE588" i="3"/>
  <c r="M588" i="3"/>
  <c r="U588" i="3"/>
  <c r="AF588" i="3"/>
  <c r="V588" i="3"/>
  <c r="G588" i="3"/>
  <c r="H588" i="3" s="1"/>
  <c r="F588" i="3"/>
  <c r="T588" i="3"/>
  <c r="BA585" i="3"/>
  <c r="AX586" i="3"/>
  <c r="AT586" i="3"/>
  <c r="BN587" i="3"/>
  <c r="AH587" i="3"/>
  <c r="AO587" i="3"/>
  <c r="X587" i="3"/>
  <c r="BM588" i="3" l="1"/>
  <c r="BN588" i="3"/>
  <c r="BC585" i="3"/>
  <c r="BD585" i="3" s="1"/>
  <c r="BG584" i="3"/>
  <c r="BH584" i="3" s="1"/>
  <c r="BI584" i="3" s="1"/>
  <c r="AY586" i="3"/>
  <c r="AN588" i="3"/>
  <c r="AX587" i="3"/>
  <c r="BB585" i="3"/>
  <c r="BF585" i="3"/>
  <c r="BJ584" i="3" s="1"/>
  <c r="BK584" i="3" s="1"/>
  <c r="BQ585" i="3"/>
  <c r="AR589" i="3"/>
  <c r="A590" i="3"/>
  <c r="AQ589" i="3"/>
  <c r="B589" i="3"/>
  <c r="C589" i="3"/>
  <c r="AM589" i="3"/>
  <c r="AK589" i="3"/>
  <c r="S589" i="3"/>
  <c r="Q589" i="3"/>
  <c r="D589" i="3"/>
  <c r="T589" i="3"/>
  <c r="R589" i="3"/>
  <c r="AD589" i="3"/>
  <c r="P589" i="3"/>
  <c r="O589" i="3"/>
  <c r="AE589" i="3"/>
  <c r="AF589" i="3"/>
  <c r="V589" i="3"/>
  <c r="M589" i="3"/>
  <c r="U589" i="3"/>
  <c r="G589" i="3"/>
  <c r="H589" i="3" s="1"/>
  <c r="F589" i="3"/>
  <c r="AW587" i="3"/>
  <c r="Y588" i="3"/>
  <c r="Z588" i="3" s="1"/>
  <c r="AT587" i="3"/>
  <c r="AU587" i="3"/>
  <c r="AG588" i="3"/>
  <c r="AH588" i="3"/>
  <c r="AO588" i="3"/>
  <c r="X588" i="3"/>
  <c r="AV586" i="3"/>
  <c r="BA586" i="3"/>
  <c r="AY587" i="3" l="1"/>
  <c r="BG585" i="3"/>
  <c r="BH585" i="3" s="1"/>
  <c r="BI585" i="3" s="1"/>
  <c r="BM589" i="3"/>
  <c r="BC586" i="3"/>
  <c r="BD586" i="3" s="1"/>
  <c r="AN589" i="3"/>
  <c r="AU588" i="3"/>
  <c r="AX588" i="3"/>
  <c r="AG589" i="3"/>
  <c r="AV587" i="3"/>
  <c r="BA587" i="3"/>
  <c r="AT588" i="3"/>
  <c r="AW588" i="3"/>
  <c r="BN589" i="3"/>
  <c r="AH589" i="3"/>
  <c r="AO589" i="3"/>
  <c r="X589" i="3"/>
  <c r="BQ586" i="3"/>
  <c r="BF586" i="3"/>
  <c r="BJ585" i="3" s="1"/>
  <c r="BK585" i="3" s="1"/>
  <c r="BB586" i="3"/>
  <c r="Y589" i="3"/>
  <c r="Z589" i="3" s="1"/>
  <c r="AR590" i="3"/>
  <c r="AQ590" i="3"/>
  <c r="B590" i="3"/>
  <c r="A591" i="3"/>
  <c r="D590" i="3"/>
  <c r="C590" i="3"/>
  <c r="AK590" i="3"/>
  <c r="AM590" i="3"/>
  <c r="S590" i="3"/>
  <c r="R590" i="3"/>
  <c r="Q590" i="3"/>
  <c r="T590" i="3"/>
  <c r="AD590" i="3"/>
  <c r="P590" i="3"/>
  <c r="O590" i="3"/>
  <c r="M590" i="3"/>
  <c r="V590" i="3"/>
  <c r="AE590" i="3"/>
  <c r="AF590" i="3"/>
  <c r="U590" i="3"/>
  <c r="F590" i="3"/>
  <c r="G590" i="3"/>
  <c r="H590" i="3" s="1"/>
  <c r="BC587" i="3" l="1"/>
  <c r="BG587" i="3" s="1"/>
  <c r="BH587" i="3" s="1"/>
  <c r="BI587" i="3" s="1"/>
  <c r="BG586" i="3"/>
  <c r="BH586" i="3" s="1"/>
  <c r="BI586" i="3" s="1"/>
  <c r="AN590" i="3"/>
  <c r="BN590" i="3"/>
  <c r="AU589" i="3"/>
  <c r="AW589" i="3"/>
  <c r="AY588" i="3"/>
  <c r="AT589" i="3"/>
  <c r="AG590" i="3"/>
  <c r="A592" i="3"/>
  <c r="AQ591" i="3"/>
  <c r="AR591" i="3"/>
  <c r="B591" i="3"/>
  <c r="C591" i="3"/>
  <c r="T591" i="3"/>
  <c r="D591" i="3"/>
  <c r="AM591" i="3"/>
  <c r="AK591" i="3"/>
  <c r="S591" i="3"/>
  <c r="R591" i="3"/>
  <c r="Q591" i="3"/>
  <c r="AD591" i="3"/>
  <c r="AE591" i="3"/>
  <c r="P591" i="3"/>
  <c r="O591" i="3"/>
  <c r="AF591" i="3"/>
  <c r="V591" i="3"/>
  <c r="U591" i="3"/>
  <c r="M591" i="3"/>
  <c r="F591" i="3"/>
  <c r="BM591" i="3" s="1"/>
  <c r="G591" i="3"/>
  <c r="H591" i="3" s="1"/>
  <c r="Y590" i="3"/>
  <c r="Z590" i="3" s="1"/>
  <c r="AV588" i="3"/>
  <c r="BA588" i="3"/>
  <c r="X590" i="3"/>
  <c r="BM590" i="3"/>
  <c r="AH590" i="3"/>
  <c r="AO590" i="3"/>
  <c r="AX589" i="3"/>
  <c r="BB587" i="3"/>
  <c r="BQ587" i="3"/>
  <c r="BF587" i="3"/>
  <c r="BJ586" i="3" s="1"/>
  <c r="BK586" i="3" s="1"/>
  <c r="BD587" i="3" l="1"/>
  <c r="BC588" i="3"/>
  <c r="BD588" i="3" s="1"/>
  <c r="AU590" i="3"/>
  <c r="AV589" i="3"/>
  <c r="BN591" i="3"/>
  <c r="AY589" i="3"/>
  <c r="AW590" i="3"/>
  <c r="AT590" i="3"/>
  <c r="AH591" i="3"/>
  <c r="AO591" i="3"/>
  <c r="BF588" i="3"/>
  <c r="BJ587" i="3" s="1"/>
  <c r="BK587" i="3" s="1"/>
  <c r="BB588" i="3"/>
  <c r="BQ588" i="3"/>
  <c r="AX590" i="3"/>
  <c r="BA589" i="3"/>
  <c r="AG591" i="3"/>
  <c r="AN591" i="3"/>
  <c r="Y591" i="3"/>
  <c r="Z591" i="3" s="1"/>
  <c r="A593" i="3"/>
  <c r="AR592" i="3"/>
  <c r="B592" i="3"/>
  <c r="AQ592" i="3"/>
  <c r="D592" i="3"/>
  <c r="C592" i="3"/>
  <c r="AK592" i="3"/>
  <c r="T592" i="3"/>
  <c r="S592" i="3"/>
  <c r="AM592" i="3"/>
  <c r="Q592" i="3"/>
  <c r="R592" i="3"/>
  <c r="AD592" i="3"/>
  <c r="O592" i="3"/>
  <c r="M592" i="3"/>
  <c r="AE592" i="3"/>
  <c r="AF592" i="3"/>
  <c r="U592" i="3"/>
  <c r="P592" i="3"/>
  <c r="V592" i="3"/>
  <c r="G592" i="3"/>
  <c r="H592" i="3" s="1"/>
  <c r="F592" i="3"/>
  <c r="X591" i="3"/>
  <c r="BN592" i="3" l="1"/>
  <c r="BM592" i="3"/>
  <c r="BG588" i="3"/>
  <c r="BH588" i="3" s="1"/>
  <c r="BI588" i="3" s="1"/>
  <c r="AV590" i="3"/>
  <c r="BC589" i="3"/>
  <c r="BD589" i="3" s="1"/>
  <c r="AU591" i="3"/>
  <c r="BA590" i="3"/>
  <c r="BF590" i="3" s="1"/>
  <c r="AX591" i="3"/>
  <c r="AT591" i="3"/>
  <c r="AO592" i="3"/>
  <c r="AY590" i="3"/>
  <c r="AG592" i="3"/>
  <c r="AN592" i="3"/>
  <c r="X592" i="3"/>
  <c r="AW591" i="3"/>
  <c r="Y592" i="3"/>
  <c r="Z592" i="3" s="1"/>
  <c r="AR593" i="3"/>
  <c r="A594" i="3"/>
  <c r="AQ593" i="3"/>
  <c r="B593" i="3"/>
  <c r="D593" i="3"/>
  <c r="AK593" i="3"/>
  <c r="R593" i="3"/>
  <c r="AM593" i="3"/>
  <c r="C593" i="3"/>
  <c r="Q593" i="3"/>
  <c r="P593" i="3"/>
  <c r="S593" i="3"/>
  <c r="AD593" i="3"/>
  <c r="O593" i="3"/>
  <c r="AF593" i="3"/>
  <c r="V593" i="3"/>
  <c r="AE593" i="3"/>
  <c r="M593" i="3"/>
  <c r="U593" i="3"/>
  <c r="F593" i="3"/>
  <c r="G593" i="3"/>
  <c r="H593" i="3" s="1"/>
  <c r="T593" i="3"/>
  <c r="BQ589" i="3"/>
  <c r="BF589" i="3"/>
  <c r="BJ588" i="3" s="1"/>
  <c r="BK588" i="3" s="1"/>
  <c r="BB589" i="3"/>
  <c r="AH592" i="3"/>
  <c r="BC590" i="3" l="1"/>
  <c r="BD590" i="3" s="1"/>
  <c r="AN593" i="3"/>
  <c r="BN593" i="3"/>
  <c r="BG589" i="3"/>
  <c r="BH589" i="3" s="1"/>
  <c r="BI589" i="3" s="1"/>
  <c r="AG593" i="3"/>
  <c r="BB590" i="3"/>
  <c r="AV591" i="3"/>
  <c r="BJ589" i="3"/>
  <c r="BK589" i="3" s="1"/>
  <c r="BQ590" i="3"/>
  <c r="AY591" i="3"/>
  <c r="AX592" i="3"/>
  <c r="AR594" i="3"/>
  <c r="AQ594" i="3"/>
  <c r="B594" i="3"/>
  <c r="A595" i="3"/>
  <c r="C594" i="3"/>
  <c r="D594" i="3"/>
  <c r="AK594" i="3"/>
  <c r="AM594" i="3"/>
  <c r="S594" i="3"/>
  <c r="AD594" i="3"/>
  <c r="T594" i="3"/>
  <c r="P594" i="3"/>
  <c r="AE594" i="3"/>
  <c r="M594" i="3"/>
  <c r="V594" i="3"/>
  <c r="O594" i="3"/>
  <c r="AF594" i="3"/>
  <c r="U594" i="3"/>
  <c r="R594" i="3"/>
  <c r="Q594" i="3"/>
  <c r="G594" i="3"/>
  <c r="H594" i="3" s="1"/>
  <c r="F594" i="3"/>
  <c r="AH593" i="3"/>
  <c r="Y593" i="3"/>
  <c r="Z593" i="3" s="1"/>
  <c r="BM593" i="3"/>
  <c r="AO593" i="3"/>
  <c r="AT592" i="3"/>
  <c r="AW592" i="3"/>
  <c r="X593" i="3"/>
  <c r="AU592" i="3"/>
  <c r="BA591" i="3"/>
  <c r="BG590" i="3" l="1"/>
  <c r="BH590" i="3" s="1"/>
  <c r="BI590" i="3" s="1"/>
  <c r="AU593" i="3"/>
  <c r="BM594" i="3"/>
  <c r="AV592" i="3"/>
  <c r="BC591" i="3"/>
  <c r="BG591" i="3" s="1"/>
  <c r="BH591" i="3" s="1"/>
  <c r="BI591" i="3" s="1"/>
  <c r="AW593" i="3"/>
  <c r="AN594" i="3"/>
  <c r="BA592" i="3"/>
  <c r="AY592" i="3"/>
  <c r="BB591" i="3"/>
  <c r="BF591" i="3"/>
  <c r="BJ590" i="3" s="1"/>
  <c r="BK590" i="3" s="1"/>
  <c r="BQ591" i="3"/>
  <c r="AT593" i="3"/>
  <c r="AX593" i="3"/>
  <c r="BN594" i="3"/>
  <c r="AH594" i="3"/>
  <c r="AG594" i="3"/>
  <c r="AO594" i="3"/>
  <c r="X594" i="3"/>
  <c r="Y594" i="3"/>
  <c r="Z594" i="3" s="1"/>
  <c r="A596" i="3"/>
  <c r="AQ595" i="3"/>
  <c r="AR595" i="3"/>
  <c r="B595" i="3"/>
  <c r="D595" i="3"/>
  <c r="AM595" i="3"/>
  <c r="C595" i="3"/>
  <c r="AK595" i="3"/>
  <c r="S595" i="3"/>
  <c r="Q595" i="3"/>
  <c r="R595" i="3"/>
  <c r="P595" i="3"/>
  <c r="AD595" i="3"/>
  <c r="M595" i="3"/>
  <c r="AE595" i="3"/>
  <c r="U595" i="3"/>
  <c r="O595" i="3"/>
  <c r="AF595" i="3"/>
  <c r="V595" i="3"/>
  <c r="G595" i="3"/>
  <c r="H595" i="3" s="1"/>
  <c r="F595" i="3"/>
  <c r="T595" i="3"/>
  <c r="BD591" i="3" l="1"/>
  <c r="BM595" i="3"/>
  <c r="BC592" i="3"/>
  <c r="BG592" i="3" s="1"/>
  <c r="BH592" i="3" s="1"/>
  <c r="BI592" i="3" s="1"/>
  <c r="BN595" i="3"/>
  <c r="AY593" i="3"/>
  <c r="AO595" i="3"/>
  <c r="AT594" i="3"/>
  <c r="AU594" i="3"/>
  <c r="A597" i="3"/>
  <c r="AR596" i="3"/>
  <c r="B596" i="3"/>
  <c r="AQ596" i="3"/>
  <c r="D596" i="3"/>
  <c r="C596" i="3"/>
  <c r="S596" i="3"/>
  <c r="AK596" i="3"/>
  <c r="AM596" i="3"/>
  <c r="Q596" i="3"/>
  <c r="AD596" i="3"/>
  <c r="P596" i="3"/>
  <c r="R596" i="3"/>
  <c r="O596" i="3"/>
  <c r="M596" i="3"/>
  <c r="U596" i="3"/>
  <c r="AE596" i="3"/>
  <c r="AF596" i="3"/>
  <c r="V596" i="3"/>
  <c r="G596" i="3"/>
  <c r="H596" i="3" s="1"/>
  <c r="F596" i="3"/>
  <c r="T596" i="3"/>
  <c r="AV593" i="3"/>
  <c r="BA593" i="3"/>
  <c r="AN595" i="3"/>
  <c r="AG595" i="3"/>
  <c r="AH595" i="3"/>
  <c r="X595" i="3"/>
  <c r="AW594" i="3"/>
  <c r="BQ592" i="3"/>
  <c r="BB592" i="3"/>
  <c r="BF592" i="3"/>
  <c r="BJ591" i="3" s="1"/>
  <c r="BK591" i="3" s="1"/>
  <c r="Y595" i="3"/>
  <c r="Z595" i="3" s="1"/>
  <c r="AX594" i="3"/>
  <c r="BD592" i="3" l="1"/>
  <c r="BC593" i="3"/>
  <c r="BG593" i="3" s="1"/>
  <c r="BH593" i="3" s="1"/>
  <c r="BI593" i="3" s="1"/>
  <c r="BM596" i="3"/>
  <c r="AG596" i="3"/>
  <c r="AV594" i="3"/>
  <c r="AU595" i="3"/>
  <c r="AX595" i="3"/>
  <c r="AN596" i="3"/>
  <c r="AY594" i="3"/>
  <c r="BB593" i="3"/>
  <c r="BF593" i="3"/>
  <c r="BJ592" i="3" s="1"/>
  <c r="BK592" i="3" s="1"/>
  <c r="BQ593" i="3"/>
  <c r="AW595" i="3"/>
  <c r="BA594" i="3"/>
  <c r="AT595" i="3"/>
  <c r="Y596" i="3"/>
  <c r="Z596" i="3" s="1"/>
  <c r="BN596" i="3"/>
  <c r="AH596" i="3"/>
  <c r="AO596" i="3"/>
  <c r="X596" i="3"/>
  <c r="AR597" i="3"/>
  <c r="A598" i="3"/>
  <c r="AQ597" i="3"/>
  <c r="B597" i="3"/>
  <c r="C597" i="3"/>
  <c r="AK597" i="3"/>
  <c r="AM597" i="3"/>
  <c r="T597" i="3"/>
  <c r="D597" i="3"/>
  <c r="R597" i="3"/>
  <c r="S597" i="3"/>
  <c r="AD597" i="3"/>
  <c r="O597" i="3"/>
  <c r="AE597" i="3"/>
  <c r="M597" i="3"/>
  <c r="AF597" i="3"/>
  <c r="V597" i="3"/>
  <c r="U597" i="3"/>
  <c r="P597" i="3"/>
  <c r="Q597" i="3"/>
  <c r="G597" i="3"/>
  <c r="H597" i="3" s="1"/>
  <c r="BN597" i="3" s="1"/>
  <c r="F597" i="3"/>
  <c r="BD593" i="3" l="1"/>
  <c r="BC594" i="3"/>
  <c r="BD594" i="3" s="1"/>
  <c r="AY595" i="3"/>
  <c r="BM597" i="3"/>
  <c r="AV595" i="3"/>
  <c r="AO597" i="3"/>
  <c r="AX596" i="3"/>
  <c r="AT596" i="3"/>
  <c r="BA595" i="3"/>
  <c r="BF595" i="3" s="1"/>
  <c r="Y597" i="3"/>
  <c r="Z597" i="3" s="1"/>
  <c r="AN597" i="3"/>
  <c r="X597" i="3"/>
  <c r="AU596" i="3"/>
  <c r="AR598" i="3"/>
  <c r="AQ598" i="3"/>
  <c r="B598" i="3"/>
  <c r="A599" i="3"/>
  <c r="C598" i="3"/>
  <c r="S598" i="3"/>
  <c r="Q598" i="3"/>
  <c r="D598" i="3"/>
  <c r="AM598" i="3"/>
  <c r="AK598" i="3"/>
  <c r="R598" i="3"/>
  <c r="AD598" i="3"/>
  <c r="P598" i="3"/>
  <c r="O598" i="3"/>
  <c r="M598" i="3"/>
  <c r="AE598" i="3"/>
  <c r="AF598" i="3"/>
  <c r="U598" i="3"/>
  <c r="V598" i="3"/>
  <c r="F598" i="3"/>
  <c r="G598" i="3"/>
  <c r="H598" i="3" s="1"/>
  <c r="T598" i="3"/>
  <c r="BQ594" i="3"/>
  <c r="BF594" i="3"/>
  <c r="BJ593" i="3" s="1"/>
  <c r="BK593" i="3" s="1"/>
  <c r="BB594" i="3"/>
  <c r="AG597" i="3"/>
  <c r="AH597" i="3"/>
  <c r="AW596" i="3"/>
  <c r="BG594" i="3" l="1"/>
  <c r="BH594" i="3" s="1"/>
  <c r="BI594" i="3" s="1"/>
  <c r="BC595" i="3"/>
  <c r="BD595" i="3" s="1"/>
  <c r="BN598" i="3"/>
  <c r="AV596" i="3"/>
  <c r="AN598" i="3"/>
  <c r="AX597" i="3"/>
  <c r="BB595" i="3"/>
  <c r="BQ595" i="3"/>
  <c r="A600" i="3"/>
  <c r="AQ599" i="3"/>
  <c r="AR599" i="3"/>
  <c r="B599" i="3"/>
  <c r="C599" i="3"/>
  <c r="D599" i="3"/>
  <c r="AM599" i="3"/>
  <c r="AK599" i="3"/>
  <c r="T599" i="3"/>
  <c r="S599" i="3"/>
  <c r="Q599" i="3"/>
  <c r="AD599" i="3"/>
  <c r="R599" i="3"/>
  <c r="P599" i="3"/>
  <c r="M599" i="3"/>
  <c r="AF599" i="3"/>
  <c r="AE599" i="3"/>
  <c r="U599" i="3"/>
  <c r="O599" i="3"/>
  <c r="V599" i="3"/>
  <c r="G599" i="3"/>
  <c r="H599" i="3" s="1"/>
  <c r="F599" i="3"/>
  <c r="AW597" i="3"/>
  <c r="Y598" i="3"/>
  <c r="Z598" i="3" s="1"/>
  <c r="BM598" i="3"/>
  <c r="AG598" i="3"/>
  <c r="AH598" i="3"/>
  <c r="AO598" i="3"/>
  <c r="AT597" i="3"/>
  <c r="BJ594" i="3"/>
  <c r="BK594" i="3" s="1"/>
  <c r="BA596" i="3"/>
  <c r="AY596" i="3"/>
  <c r="X598" i="3"/>
  <c r="AU597" i="3"/>
  <c r="BG595" i="3" l="1"/>
  <c r="BH595" i="3" s="1"/>
  <c r="BI595" i="3" s="1"/>
  <c r="BC596" i="3"/>
  <c r="BG596" i="3" s="1"/>
  <c r="BH596" i="3" s="1"/>
  <c r="BI596" i="3" s="1"/>
  <c r="BM599" i="3"/>
  <c r="AV597" i="3"/>
  <c r="AT598" i="3"/>
  <c r="AU598" i="3"/>
  <c r="AO599" i="3"/>
  <c r="BF596" i="3"/>
  <c r="BJ595" i="3" s="1"/>
  <c r="BK595" i="3" s="1"/>
  <c r="BQ596" i="3"/>
  <c r="BB596" i="3"/>
  <c r="BA597" i="3"/>
  <c r="AY597" i="3"/>
  <c r="A601" i="3"/>
  <c r="AR600" i="3"/>
  <c r="B600" i="3"/>
  <c r="AQ600" i="3"/>
  <c r="D600" i="3"/>
  <c r="C600" i="3"/>
  <c r="S600" i="3"/>
  <c r="AK600" i="3"/>
  <c r="AM600" i="3"/>
  <c r="T600" i="3"/>
  <c r="R600" i="3"/>
  <c r="P600" i="3"/>
  <c r="AD600" i="3"/>
  <c r="O600" i="3"/>
  <c r="M600" i="3"/>
  <c r="U600" i="3"/>
  <c r="AE600" i="3"/>
  <c r="AF600" i="3"/>
  <c r="V600" i="3"/>
  <c r="Q600" i="3"/>
  <c r="G600" i="3"/>
  <c r="H600" i="3" s="1"/>
  <c r="F600" i="3"/>
  <c r="BM600" i="3" s="1"/>
  <c r="AX598" i="3"/>
  <c r="BN599" i="3"/>
  <c r="AG599" i="3"/>
  <c r="AN599" i="3"/>
  <c r="X599" i="3"/>
  <c r="Y599" i="3"/>
  <c r="Z599" i="3" s="1"/>
  <c r="AW598" i="3"/>
  <c r="AH599" i="3"/>
  <c r="BN600" i="3" l="1"/>
  <c r="BC597" i="3"/>
  <c r="BD597" i="3" s="1"/>
  <c r="BD596" i="3"/>
  <c r="AY598" i="3"/>
  <c r="AG600" i="3"/>
  <c r="AV598" i="3"/>
  <c r="AN600" i="3"/>
  <c r="AU599" i="3"/>
  <c r="AX599" i="3"/>
  <c r="AT599" i="3"/>
  <c r="AW599" i="3"/>
  <c r="AH600" i="3"/>
  <c r="AO600" i="3"/>
  <c r="X600" i="3"/>
  <c r="Y600" i="3"/>
  <c r="Z600" i="3" s="1"/>
  <c r="AR601" i="3"/>
  <c r="A602" i="3"/>
  <c r="AQ601" i="3"/>
  <c r="B601" i="3"/>
  <c r="D601" i="3"/>
  <c r="AM601" i="3"/>
  <c r="T601" i="3"/>
  <c r="C601" i="3"/>
  <c r="AK601" i="3"/>
  <c r="P601" i="3"/>
  <c r="S601" i="3"/>
  <c r="Q601" i="3"/>
  <c r="AD601" i="3"/>
  <c r="O601" i="3"/>
  <c r="M601" i="3"/>
  <c r="V601" i="3"/>
  <c r="AF601" i="3"/>
  <c r="AE601" i="3"/>
  <c r="U601" i="3"/>
  <c r="R601" i="3"/>
  <c r="F601" i="3"/>
  <c r="G601" i="3"/>
  <c r="H601" i="3" s="1"/>
  <c r="BF597" i="3"/>
  <c r="BJ596" i="3" s="1"/>
  <c r="BK596" i="3" s="1"/>
  <c r="BQ597" i="3"/>
  <c r="BB597" i="3"/>
  <c r="BA598" i="3"/>
  <c r="BG597" i="3" l="1"/>
  <c r="BH597" i="3" s="1"/>
  <c r="BI597" i="3" s="1"/>
  <c r="BC598" i="3"/>
  <c r="BD598" i="3" s="1"/>
  <c r="AY599" i="3"/>
  <c r="BM601" i="3"/>
  <c r="BN601" i="3"/>
  <c r="AU600" i="3"/>
  <c r="AO601" i="3"/>
  <c r="AT600" i="3"/>
  <c r="BQ598" i="3"/>
  <c r="BF598" i="3"/>
  <c r="BB598" i="3"/>
  <c r="AR602" i="3"/>
  <c r="AQ602" i="3"/>
  <c r="B602" i="3"/>
  <c r="A603" i="3"/>
  <c r="C602" i="3"/>
  <c r="AK602" i="3"/>
  <c r="AM602" i="3"/>
  <c r="T602" i="3"/>
  <c r="S602" i="3"/>
  <c r="Q602" i="3"/>
  <c r="D602" i="3"/>
  <c r="R602" i="3"/>
  <c r="AD602" i="3"/>
  <c r="O602" i="3"/>
  <c r="M602" i="3"/>
  <c r="AF602" i="3"/>
  <c r="P602" i="3"/>
  <c r="AE602" i="3"/>
  <c r="V602" i="3"/>
  <c r="U602" i="3"/>
  <c r="G602" i="3"/>
  <c r="H602" i="3" s="1"/>
  <c r="F602" i="3"/>
  <c r="AV599" i="3"/>
  <c r="BA599" i="3"/>
  <c r="AG601" i="3"/>
  <c r="X601" i="3"/>
  <c r="AN601" i="3"/>
  <c r="AX600" i="3"/>
  <c r="AW600" i="3"/>
  <c r="Y601" i="3"/>
  <c r="Z601" i="3" s="1"/>
  <c r="AH601" i="3"/>
  <c r="BN602" i="3" l="1"/>
  <c r="AV600" i="3"/>
  <c r="BG598" i="3"/>
  <c r="BH598" i="3" s="1"/>
  <c r="BI598" i="3" s="1"/>
  <c r="BC599" i="3"/>
  <c r="BD599" i="3" s="1"/>
  <c r="AN602" i="3"/>
  <c r="AH602" i="3"/>
  <c r="AX601" i="3"/>
  <c r="BA600" i="3"/>
  <c r="BQ600" i="3" s="1"/>
  <c r="BB599" i="3"/>
  <c r="BF599" i="3"/>
  <c r="BJ598" i="3" s="1"/>
  <c r="BK598" i="3" s="1"/>
  <c r="BQ599" i="3"/>
  <c r="A604" i="3"/>
  <c r="AQ603" i="3"/>
  <c r="AR603" i="3"/>
  <c r="B603" i="3"/>
  <c r="D603" i="3"/>
  <c r="C603" i="3"/>
  <c r="S603" i="3"/>
  <c r="AM603" i="3"/>
  <c r="AK603" i="3"/>
  <c r="Q603" i="3"/>
  <c r="R603" i="3"/>
  <c r="AD603" i="3"/>
  <c r="P603" i="3"/>
  <c r="O603" i="3"/>
  <c r="M603" i="3"/>
  <c r="AF603" i="3"/>
  <c r="AE603" i="3"/>
  <c r="U603" i="3"/>
  <c r="V603" i="3"/>
  <c r="G603" i="3"/>
  <c r="H603" i="3" s="1"/>
  <c r="F603" i="3"/>
  <c r="T603" i="3"/>
  <c r="AT601" i="3"/>
  <c r="AY600" i="3"/>
  <c r="BM602" i="3"/>
  <c r="AG602" i="3"/>
  <c r="AO602" i="3"/>
  <c r="AU601" i="3"/>
  <c r="AW601" i="3"/>
  <c r="Y602" i="3"/>
  <c r="Z602" i="3" s="1"/>
  <c r="BJ597" i="3"/>
  <c r="BK597" i="3" s="1"/>
  <c r="X602" i="3"/>
  <c r="BC600" i="3" l="1"/>
  <c r="BG600" i="3" s="1"/>
  <c r="BH600" i="3" s="1"/>
  <c r="BI600" i="3" s="1"/>
  <c r="BG599" i="3"/>
  <c r="BH599" i="3" s="1"/>
  <c r="BI599" i="3" s="1"/>
  <c r="BN603" i="3"/>
  <c r="BM603" i="3"/>
  <c r="AW602" i="3"/>
  <c r="AN603" i="3"/>
  <c r="AO603" i="3"/>
  <c r="AT602" i="3"/>
  <c r="AY601" i="3"/>
  <c r="AU602" i="3"/>
  <c r="AG603" i="3"/>
  <c r="BB600" i="3"/>
  <c r="Y603" i="3"/>
  <c r="Z603" i="3" s="1"/>
  <c r="BF600" i="3"/>
  <c r="BJ599" i="3" s="1"/>
  <c r="BK599" i="3" s="1"/>
  <c r="A605" i="3"/>
  <c r="AR604" i="3"/>
  <c r="B604" i="3"/>
  <c r="AQ604" i="3"/>
  <c r="D604" i="3"/>
  <c r="AM604" i="3"/>
  <c r="AK604" i="3"/>
  <c r="C604" i="3"/>
  <c r="T604" i="3"/>
  <c r="S604" i="3"/>
  <c r="Q604" i="3"/>
  <c r="AD604" i="3"/>
  <c r="P604" i="3"/>
  <c r="AE604" i="3"/>
  <c r="M604" i="3"/>
  <c r="AF604" i="3"/>
  <c r="U604" i="3"/>
  <c r="V604" i="3"/>
  <c r="O604" i="3"/>
  <c r="R604" i="3"/>
  <c r="F604" i="3"/>
  <c r="G604" i="3"/>
  <c r="H604" i="3" s="1"/>
  <c r="AX602" i="3"/>
  <c r="BA601" i="3"/>
  <c r="AV601" i="3"/>
  <c r="AH603" i="3"/>
  <c r="X603" i="3"/>
  <c r="BD600" i="3" l="1"/>
  <c r="BN604" i="3"/>
  <c r="AX603" i="3"/>
  <c r="AV602" i="3"/>
  <c r="BC601" i="3"/>
  <c r="BG601" i="3" s="1"/>
  <c r="BH601" i="3" s="1"/>
  <c r="BI601" i="3" s="1"/>
  <c r="BA602" i="3"/>
  <c r="BQ602" i="3" s="1"/>
  <c r="AN604" i="3"/>
  <c r="AU603" i="3"/>
  <c r="BF601" i="3"/>
  <c r="BJ600" i="3" s="1"/>
  <c r="BK600" i="3" s="1"/>
  <c r="BB601" i="3"/>
  <c r="BQ601" i="3"/>
  <c r="Y604" i="3"/>
  <c r="Z604" i="3" s="1"/>
  <c r="AR605" i="3"/>
  <c r="A606" i="3"/>
  <c r="AQ605" i="3"/>
  <c r="B605" i="3"/>
  <c r="C605" i="3"/>
  <c r="D605" i="3"/>
  <c r="AM605" i="3"/>
  <c r="AK605" i="3"/>
  <c r="S605" i="3"/>
  <c r="R605" i="3"/>
  <c r="AD605" i="3"/>
  <c r="P605" i="3"/>
  <c r="Q605" i="3"/>
  <c r="O605" i="3"/>
  <c r="AE605" i="3"/>
  <c r="M605" i="3"/>
  <c r="AF605" i="3"/>
  <c r="V605" i="3"/>
  <c r="U605" i="3"/>
  <c r="G605" i="3"/>
  <c r="H605" i="3" s="1"/>
  <c r="F605" i="3"/>
  <c r="BM605" i="3" s="1"/>
  <c r="T605" i="3"/>
  <c r="AT603" i="3"/>
  <c r="AW603" i="3"/>
  <c r="AY602" i="3"/>
  <c r="BM604" i="3"/>
  <c r="AO604" i="3"/>
  <c r="AG604" i="3"/>
  <c r="AH604" i="3"/>
  <c r="X604" i="3"/>
  <c r="BN605" i="3" l="1"/>
  <c r="BC602" i="3"/>
  <c r="BG602" i="3" s="1"/>
  <c r="BH602" i="3" s="1"/>
  <c r="BI602" i="3" s="1"/>
  <c r="AY603" i="3"/>
  <c r="BD601" i="3"/>
  <c r="BB602" i="3"/>
  <c r="BF602" i="3"/>
  <c r="BJ601" i="3" s="1"/>
  <c r="BK601" i="3" s="1"/>
  <c r="AO605" i="3"/>
  <c r="AU604" i="3"/>
  <c r="AX604" i="3"/>
  <c r="BA603" i="3"/>
  <c r="AV603" i="3"/>
  <c r="AT604" i="3"/>
  <c r="AW604" i="3"/>
  <c r="AG605" i="3"/>
  <c r="AH605" i="3"/>
  <c r="AN605" i="3"/>
  <c r="X605" i="3"/>
  <c r="AR606" i="3"/>
  <c r="AQ606" i="3"/>
  <c r="B606" i="3"/>
  <c r="A607" i="3"/>
  <c r="D606" i="3"/>
  <c r="C606" i="3"/>
  <c r="AK606" i="3"/>
  <c r="AM606" i="3"/>
  <c r="S606" i="3"/>
  <c r="R606" i="3"/>
  <c r="Q606" i="3"/>
  <c r="AD606" i="3"/>
  <c r="P606" i="3"/>
  <c r="O606" i="3"/>
  <c r="AE606" i="3"/>
  <c r="M606" i="3"/>
  <c r="AF606" i="3"/>
  <c r="V606" i="3"/>
  <c r="U606" i="3"/>
  <c r="G606" i="3"/>
  <c r="H606" i="3" s="1"/>
  <c r="F606" i="3"/>
  <c r="T606" i="3"/>
  <c r="Y605" i="3"/>
  <c r="Z605" i="3" s="1"/>
  <c r="BD602" i="3" l="1"/>
  <c r="AY604" i="3"/>
  <c r="BC603" i="3"/>
  <c r="BG603" i="3" s="1"/>
  <c r="BH603" i="3" s="1"/>
  <c r="BI603" i="3" s="1"/>
  <c r="BN606" i="3"/>
  <c r="AN606" i="3"/>
  <c r="AU605" i="3"/>
  <c r="Y606" i="3"/>
  <c r="Z606" i="3" s="1"/>
  <c r="BA604" i="3"/>
  <c r="BQ604" i="3" s="1"/>
  <c r="A608" i="3"/>
  <c r="AQ607" i="3"/>
  <c r="AR607" i="3"/>
  <c r="B607" i="3"/>
  <c r="C607" i="3"/>
  <c r="AK607" i="3"/>
  <c r="D607" i="3"/>
  <c r="AM607" i="3"/>
  <c r="S607" i="3"/>
  <c r="Q607" i="3"/>
  <c r="AD607" i="3"/>
  <c r="P607" i="3"/>
  <c r="AE607" i="3"/>
  <c r="O607" i="3"/>
  <c r="AF607" i="3"/>
  <c r="M607" i="3"/>
  <c r="V607" i="3"/>
  <c r="U607" i="3"/>
  <c r="R607" i="3"/>
  <c r="F607" i="3"/>
  <c r="G607" i="3"/>
  <c r="H607" i="3" s="1"/>
  <c r="T607" i="3"/>
  <c r="BQ603" i="3"/>
  <c r="BB603" i="3"/>
  <c r="BF603" i="3"/>
  <c r="BJ602" i="3" s="1"/>
  <c r="BK602" i="3" s="1"/>
  <c r="X606" i="3"/>
  <c r="AW605" i="3"/>
  <c r="BM606" i="3"/>
  <c r="AH606" i="3"/>
  <c r="AG606" i="3"/>
  <c r="AO606" i="3"/>
  <c r="AT605" i="3"/>
  <c r="AX605" i="3"/>
  <c r="AV604" i="3"/>
  <c r="BN607" i="3" l="1"/>
  <c r="AN607" i="3"/>
  <c r="BD603" i="3"/>
  <c r="BC604" i="3"/>
  <c r="BD604" i="3" s="1"/>
  <c r="BM607" i="3"/>
  <c r="BF604" i="3"/>
  <c r="BJ603" i="3" s="1"/>
  <c r="BK603" i="3" s="1"/>
  <c r="AW606" i="3"/>
  <c r="BB604" i="3"/>
  <c r="Y607" i="3"/>
  <c r="Z607" i="3" s="1"/>
  <c r="A609" i="3"/>
  <c r="AR608" i="3"/>
  <c r="B608" i="3"/>
  <c r="AQ608" i="3"/>
  <c r="D608" i="3"/>
  <c r="AK608" i="3"/>
  <c r="S608" i="3"/>
  <c r="C608" i="3"/>
  <c r="AM608" i="3"/>
  <c r="Q608" i="3"/>
  <c r="R608" i="3"/>
  <c r="AD608" i="3"/>
  <c r="P608" i="3"/>
  <c r="O608" i="3"/>
  <c r="AF608" i="3"/>
  <c r="V608" i="3"/>
  <c r="AE608" i="3"/>
  <c r="M608" i="3"/>
  <c r="U608" i="3"/>
  <c r="F608" i="3"/>
  <c r="BM608" i="3" s="1"/>
  <c r="G608" i="3"/>
  <c r="H608" i="3" s="1"/>
  <c r="BN608" i="3" s="1"/>
  <c r="T608" i="3"/>
  <c r="AU606" i="3"/>
  <c r="AT606" i="3"/>
  <c r="AX606" i="3"/>
  <c r="AY605" i="3"/>
  <c r="AG607" i="3"/>
  <c r="AH607" i="3"/>
  <c r="X607" i="3"/>
  <c r="AV605" i="3"/>
  <c r="BA605" i="3"/>
  <c r="AO607" i="3"/>
  <c r="BG604" i="3" l="1"/>
  <c r="BH604" i="3" s="1"/>
  <c r="BI604" i="3" s="1"/>
  <c r="AV606" i="3"/>
  <c r="AO608" i="3"/>
  <c r="AY606" i="3"/>
  <c r="Y608" i="3"/>
  <c r="Z608" i="3" s="1"/>
  <c r="BQ605" i="3"/>
  <c r="BF605" i="3"/>
  <c r="BJ604" i="3" s="1"/>
  <c r="BK604" i="3" s="1"/>
  <c r="BB605" i="3"/>
  <c r="AR609" i="3"/>
  <c r="A610" i="3"/>
  <c r="AQ609" i="3"/>
  <c r="B609" i="3"/>
  <c r="C609" i="3"/>
  <c r="D609" i="3"/>
  <c r="AK609" i="3"/>
  <c r="Q609" i="3"/>
  <c r="AM609" i="3"/>
  <c r="S609" i="3"/>
  <c r="R609" i="3"/>
  <c r="T609" i="3"/>
  <c r="AD609" i="3"/>
  <c r="P609" i="3"/>
  <c r="AE609" i="3"/>
  <c r="M609" i="3"/>
  <c r="O609" i="3"/>
  <c r="AF609" i="3"/>
  <c r="V609" i="3"/>
  <c r="U609" i="3"/>
  <c r="G609" i="3"/>
  <c r="H609" i="3" s="1"/>
  <c r="F609" i="3"/>
  <c r="AX607" i="3"/>
  <c r="X608" i="3"/>
  <c r="AU607" i="3"/>
  <c r="AT607" i="3"/>
  <c r="AW607" i="3"/>
  <c r="AG608" i="3"/>
  <c r="AH608" i="3"/>
  <c r="AN608" i="3"/>
  <c r="BC605" i="3"/>
  <c r="BA606" i="3"/>
  <c r="AN609" i="3" l="1"/>
  <c r="BC606" i="3"/>
  <c r="BG606" i="3" s="1"/>
  <c r="BH606" i="3" s="1"/>
  <c r="BI606" i="3" s="1"/>
  <c r="BN609" i="3"/>
  <c r="AG609" i="3"/>
  <c r="AU608" i="3"/>
  <c r="AO609" i="3"/>
  <c r="BD605" i="3"/>
  <c r="BG605" i="3"/>
  <c r="BH605" i="3" s="1"/>
  <c r="BI605" i="3" s="1"/>
  <c r="AV607" i="3"/>
  <c r="BA607" i="3"/>
  <c r="BB606" i="3"/>
  <c r="BF606" i="3"/>
  <c r="BJ605" i="3" s="1"/>
  <c r="BK605" i="3" s="1"/>
  <c r="BQ606" i="3"/>
  <c r="BD606" i="3"/>
  <c r="Y609" i="3"/>
  <c r="Z609" i="3" s="1"/>
  <c r="AR610" i="3"/>
  <c r="AQ610" i="3"/>
  <c r="B610" i="3"/>
  <c r="A611" i="3"/>
  <c r="D610" i="3"/>
  <c r="AK610" i="3"/>
  <c r="AM610" i="3"/>
  <c r="R610" i="3"/>
  <c r="Q610" i="3"/>
  <c r="C610" i="3"/>
  <c r="S610" i="3"/>
  <c r="P610" i="3"/>
  <c r="AD610" i="3"/>
  <c r="O610" i="3"/>
  <c r="M610" i="3"/>
  <c r="AE610" i="3"/>
  <c r="AF610" i="3"/>
  <c r="V610" i="3"/>
  <c r="U610" i="3"/>
  <c r="F610" i="3"/>
  <c r="G610" i="3"/>
  <c r="H610" i="3" s="1"/>
  <c r="BN610" i="3" s="1"/>
  <c r="T610" i="3"/>
  <c r="AW608" i="3"/>
  <c r="AT608" i="3"/>
  <c r="AX608" i="3"/>
  <c r="AY607" i="3"/>
  <c r="BM609" i="3"/>
  <c r="AH609" i="3"/>
  <c r="X609" i="3"/>
  <c r="BM610" i="3" l="1"/>
  <c r="AX609" i="3"/>
  <c r="BC607" i="3"/>
  <c r="BD607" i="3" s="1"/>
  <c r="AN610" i="3"/>
  <c r="AY608" i="3"/>
  <c r="A612" i="3"/>
  <c r="AQ611" i="3"/>
  <c r="AR611" i="3"/>
  <c r="B611" i="3"/>
  <c r="C611" i="3"/>
  <c r="AK611" i="3"/>
  <c r="T611" i="3"/>
  <c r="S611" i="3"/>
  <c r="AM611" i="3"/>
  <c r="D611" i="3"/>
  <c r="Q611" i="3"/>
  <c r="R611" i="3"/>
  <c r="AD611" i="3"/>
  <c r="P611" i="3"/>
  <c r="AE611" i="3"/>
  <c r="AF611" i="3"/>
  <c r="V611" i="3"/>
  <c r="O611" i="3"/>
  <c r="M611" i="3"/>
  <c r="U611" i="3"/>
  <c r="G611" i="3"/>
  <c r="H611" i="3" s="1"/>
  <c r="F611" i="3"/>
  <c r="AU609" i="3"/>
  <c r="Y610" i="3"/>
  <c r="Z610" i="3" s="1"/>
  <c r="AG610" i="3"/>
  <c r="X610" i="3"/>
  <c r="AO610" i="3"/>
  <c r="AT609" i="3"/>
  <c r="AV608" i="3"/>
  <c r="BA608" i="3"/>
  <c r="BF607" i="3"/>
  <c r="BJ606" i="3" s="1"/>
  <c r="BK606" i="3" s="1"/>
  <c r="BQ607" i="3"/>
  <c r="BB607" i="3"/>
  <c r="AH610" i="3"/>
  <c r="AW609" i="3"/>
  <c r="AY609" i="3" l="1"/>
  <c r="AN611" i="3"/>
  <c r="BN611" i="3"/>
  <c r="BM611" i="3"/>
  <c r="BG607" i="3"/>
  <c r="BH607" i="3" s="1"/>
  <c r="BI607" i="3" s="1"/>
  <c r="AT610" i="3"/>
  <c r="AO611" i="3"/>
  <c r="AX610" i="3"/>
  <c r="BC608" i="3"/>
  <c r="BG608" i="3" s="1"/>
  <c r="BH608" i="3" s="1"/>
  <c r="BI608" i="3" s="1"/>
  <c r="BB608" i="3"/>
  <c r="BF608" i="3"/>
  <c r="BJ607" i="3" s="1"/>
  <c r="BK607" i="3" s="1"/>
  <c r="BQ608" i="3"/>
  <c r="AV609" i="3"/>
  <c r="BA609" i="3"/>
  <c r="A613" i="3"/>
  <c r="AR612" i="3"/>
  <c r="B612" i="3"/>
  <c r="AQ612" i="3"/>
  <c r="C612" i="3"/>
  <c r="D612" i="3"/>
  <c r="AM612" i="3"/>
  <c r="T612" i="3"/>
  <c r="AK612" i="3"/>
  <c r="Q612" i="3"/>
  <c r="R612" i="3"/>
  <c r="S612" i="3"/>
  <c r="AD612" i="3"/>
  <c r="P612" i="3"/>
  <c r="O612" i="3"/>
  <c r="AE612" i="3"/>
  <c r="V612" i="3"/>
  <c r="M612" i="3"/>
  <c r="AF612" i="3"/>
  <c r="U612" i="3"/>
  <c r="G612" i="3"/>
  <c r="H612" i="3" s="1"/>
  <c r="F612" i="3"/>
  <c r="AW610" i="3"/>
  <c r="AG611" i="3"/>
  <c r="AH611" i="3"/>
  <c r="X611" i="3"/>
  <c r="Y611" i="3"/>
  <c r="Z611" i="3" s="1"/>
  <c r="AU610" i="3"/>
  <c r="BD608" i="3" l="1"/>
  <c r="BC609" i="3"/>
  <c r="BG609" i="3" s="1"/>
  <c r="BH609" i="3" s="1"/>
  <c r="BI609" i="3" s="1"/>
  <c r="AO612" i="3"/>
  <c r="BN612" i="3"/>
  <c r="AV610" i="3"/>
  <c r="AT611" i="3"/>
  <c r="AH612" i="3"/>
  <c r="AY610" i="3"/>
  <c r="AN612" i="3"/>
  <c r="Y612" i="3"/>
  <c r="Z612" i="3" s="1"/>
  <c r="BQ609" i="3"/>
  <c r="BB609" i="3"/>
  <c r="BF609" i="3"/>
  <c r="BJ608" i="3" s="1"/>
  <c r="BK608" i="3" s="1"/>
  <c r="AW611" i="3"/>
  <c r="BM612" i="3"/>
  <c r="AG612" i="3"/>
  <c r="BA610" i="3"/>
  <c r="AU611" i="3"/>
  <c r="AX611" i="3"/>
  <c r="AR613" i="3"/>
  <c r="A614" i="3"/>
  <c r="AQ613" i="3"/>
  <c r="B613" i="3"/>
  <c r="C613" i="3"/>
  <c r="D613" i="3"/>
  <c r="AK613" i="3"/>
  <c r="AM613" i="3"/>
  <c r="S613" i="3"/>
  <c r="R613" i="3"/>
  <c r="Q613" i="3"/>
  <c r="AD613" i="3"/>
  <c r="P613" i="3"/>
  <c r="M613" i="3"/>
  <c r="O613" i="3"/>
  <c r="AF613" i="3"/>
  <c r="U613" i="3"/>
  <c r="AE613" i="3"/>
  <c r="V613" i="3"/>
  <c r="F613" i="3"/>
  <c r="G613" i="3"/>
  <c r="H613" i="3" s="1"/>
  <c r="T613" i="3"/>
  <c r="X612" i="3"/>
  <c r="BD609" i="3" l="1"/>
  <c r="AG613" i="3"/>
  <c r="AO613" i="3"/>
  <c r="BN613" i="3"/>
  <c r="AT612" i="3"/>
  <c r="AX612" i="3"/>
  <c r="BC610" i="3"/>
  <c r="BD610" i="3" s="1"/>
  <c r="AW612" i="3"/>
  <c r="BA611" i="3"/>
  <c r="BB611" i="3" s="1"/>
  <c r="AY611" i="3"/>
  <c r="AR614" i="3"/>
  <c r="AQ614" i="3"/>
  <c r="B614" i="3"/>
  <c r="A615" i="3"/>
  <c r="C614" i="3"/>
  <c r="D614" i="3"/>
  <c r="AM614" i="3"/>
  <c r="S614" i="3"/>
  <c r="AK614" i="3"/>
  <c r="T614" i="3"/>
  <c r="Q614" i="3"/>
  <c r="AD614" i="3"/>
  <c r="R614" i="3"/>
  <c r="P614" i="3"/>
  <c r="M614" i="3"/>
  <c r="AE614" i="3"/>
  <c r="AF614" i="3"/>
  <c r="O614" i="3"/>
  <c r="U614" i="3"/>
  <c r="V614" i="3"/>
  <c r="G614" i="3"/>
  <c r="H614" i="3" s="1"/>
  <c r="F614" i="3"/>
  <c r="BB610" i="3"/>
  <c r="BQ610" i="3"/>
  <c r="BF610" i="3"/>
  <c r="BJ609" i="3" s="1"/>
  <c r="BK609" i="3" s="1"/>
  <c r="Y613" i="3"/>
  <c r="Z613" i="3" s="1"/>
  <c r="BM613" i="3"/>
  <c r="AH613" i="3"/>
  <c r="AT613" i="3" s="1"/>
  <c r="AN613" i="3"/>
  <c r="AU612" i="3"/>
  <c r="AV611" i="3"/>
  <c r="X613" i="3"/>
  <c r="AO614" i="3" l="1"/>
  <c r="AY612" i="3"/>
  <c r="BC611" i="3"/>
  <c r="BG611" i="3" s="1"/>
  <c r="BH611" i="3" s="1"/>
  <c r="BI611" i="3" s="1"/>
  <c r="BQ611" i="3"/>
  <c r="BN614" i="3"/>
  <c r="AV612" i="3"/>
  <c r="BG610" i="3"/>
  <c r="BH610" i="3" s="1"/>
  <c r="BI610" i="3" s="1"/>
  <c r="BA612" i="3"/>
  <c r="BQ612" i="3" s="1"/>
  <c r="AW613" i="3"/>
  <c r="BF611" i="3"/>
  <c r="BJ610" i="3" s="1"/>
  <c r="BK610" i="3" s="1"/>
  <c r="Y614" i="3"/>
  <c r="Z614" i="3" s="1"/>
  <c r="A616" i="3"/>
  <c r="AQ615" i="3"/>
  <c r="AR615" i="3"/>
  <c r="B615" i="3"/>
  <c r="D615" i="3"/>
  <c r="AM615" i="3"/>
  <c r="AK615" i="3"/>
  <c r="S615" i="3"/>
  <c r="Q615" i="3"/>
  <c r="C615" i="3"/>
  <c r="R615" i="3"/>
  <c r="AD615" i="3"/>
  <c r="P615" i="3"/>
  <c r="M615" i="3"/>
  <c r="AE615" i="3"/>
  <c r="V615" i="3"/>
  <c r="U615" i="3"/>
  <c r="O615" i="3"/>
  <c r="AF615" i="3"/>
  <c r="G615" i="3"/>
  <c r="H615" i="3" s="1"/>
  <c r="F615" i="3"/>
  <c r="T615" i="3"/>
  <c r="AX613" i="3"/>
  <c r="AU613" i="3"/>
  <c r="AV613" i="3" s="1"/>
  <c r="BM614" i="3"/>
  <c r="AG614" i="3"/>
  <c r="AH614" i="3"/>
  <c r="AN614" i="3"/>
  <c r="X614" i="3"/>
  <c r="BD611" i="3" l="1"/>
  <c r="BC612" i="3"/>
  <c r="BD612" i="3" s="1"/>
  <c r="BN615" i="3"/>
  <c r="BF612" i="3"/>
  <c r="BJ611" i="3" s="1"/>
  <c r="BK611" i="3" s="1"/>
  <c r="AY613" i="3"/>
  <c r="BC613" i="3" s="1"/>
  <c r="BD613" i="3" s="1"/>
  <c r="BB612" i="3"/>
  <c r="AN615" i="3"/>
  <c r="AX614" i="3"/>
  <c r="AH615" i="3"/>
  <c r="A617" i="3"/>
  <c r="AR616" i="3"/>
  <c r="B616" i="3"/>
  <c r="AQ616" i="3"/>
  <c r="C616" i="3"/>
  <c r="AK616" i="3"/>
  <c r="R616" i="3"/>
  <c r="D616" i="3"/>
  <c r="AM616" i="3"/>
  <c r="S616" i="3"/>
  <c r="Q616" i="3"/>
  <c r="AD616" i="3"/>
  <c r="P616" i="3"/>
  <c r="AE616" i="3"/>
  <c r="M616" i="3"/>
  <c r="U616" i="3"/>
  <c r="V616" i="3"/>
  <c r="O616" i="3"/>
  <c r="AF616" i="3"/>
  <c r="F616" i="3"/>
  <c r="G616" i="3"/>
  <c r="H616" i="3" s="1"/>
  <c r="T616" i="3"/>
  <c r="Y615" i="3"/>
  <c r="Z615" i="3" s="1"/>
  <c r="X615" i="3"/>
  <c r="AT614" i="3"/>
  <c r="AU614" i="3"/>
  <c r="AW614" i="3"/>
  <c r="BM615" i="3"/>
  <c r="AG615" i="3"/>
  <c r="AO615" i="3"/>
  <c r="BA613" i="3"/>
  <c r="BG612" i="3" l="1"/>
  <c r="BH612" i="3" s="1"/>
  <c r="BI612" i="3" s="1"/>
  <c r="BM616" i="3"/>
  <c r="AY614" i="3"/>
  <c r="AT615" i="3"/>
  <c r="AG616" i="3"/>
  <c r="AX615" i="3"/>
  <c r="AO616" i="3"/>
  <c r="AU615" i="3"/>
  <c r="BG613" i="3"/>
  <c r="BH613" i="3" s="1"/>
  <c r="BI613" i="3" s="1"/>
  <c r="Y616" i="3"/>
  <c r="Z616" i="3" s="1"/>
  <c r="BQ613" i="3"/>
  <c r="BF613" i="3"/>
  <c r="BJ612" i="3" s="1"/>
  <c r="BK612" i="3" s="1"/>
  <c r="BB613" i="3"/>
  <c r="AV614" i="3"/>
  <c r="BA614" i="3"/>
  <c r="AR617" i="3"/>
  <c r="A618" i="3"/>
  <c r="AQ617" i="3"/>
  <c r="B617" i="3"/>
  <c r="D617" i="3"/>
  <c r="C617" i="3"/>
  <c r="AK617" i="3"/>
  <c r="S617" i="3"/>
  <c r="R617" i="3"/>
  <c r="AM617" i="3"/>
  <c r="Q617" i="3"/>
  <c r="AD617" i="3"/>
  <c r="P617" i="3"/>
  <c r="O617" i="3"/>
  <c r="M617" i="3"/>
  <c r="AE617" i="3"/>
  <c r="AF617" i="3"/>
  <c r="U617" i="3"/>
  <c r="V617" i="3"/>
  <c r="F617" i="3"/>
  <c r="G617" i="3"/>
  <c r="H617" i="3" s="1"/>
  <c r="BN617" i="3" s="1"/>
  <c r="T617" i="3"/>
  <c r="AW615" i="3"/>
  <c r="BN616" i="3"/>
  <c r="AH616" i="3"/>
  <c r="AN616" i="3"/>
  <c r="X616" i="3"/>
  <c r="AV615" i="3" l="1"/>
  <c r="BM617" i="3"/>
  <c r="BC614" i="3"/>
  <c r="BG614" i="3" s="1"/>
  <c r="BH614" i="3" s="1"/>
  <c r="BI614" i="3" s="1"/>
  <c r="AX616" i="3"/>
  <c r="AY615" i="3"/>
  <c r="AO617" i="3"/>
  <c r="AR618" i="3"/>
  <c r="AQ618" i="3"/>
  <c r="B618" i="3"/>
  <c r="A619" i="3"/>
  <c r="C618" i="3"/>
  <c r="D618" i="3"/>
  <c r="AK618" i="3"/>
  <c r="AM618" i="3"/>
  <c r="S618" i="3"/>
  <c r="Q618" i="3"/>
  <c r="R618" i="3"/>
  <c r="AD618" i="3"/>
  <c r="P618" i="3"/>
  <c r="O618" i="3"/>
  <c r="AE618" i="3"/>
  <c r="AF618" i="3"/>
  <c r="V618" i="3"/>
  <c r="U618" i="3"/>
  <c r="M618" i="3"/>
  <c r="G618" i="3"/>
  <c r="H618" i="3" s="1"/>
  <c r="F618" i="3"/>
  <c r="T618" i="3"/>
  <c r="BF614" i="3"/>
  <c r="BJ613" i="3" s="1"/>
  <c r="BK613" i="3" s="1"/>
  <c r="BB614" i="3"/>
  <c r="BQ614" i="3"/>
  <c r="AT616" i="3"/>
  <c r="Y617" i="3"/>
  <c r="Z617" i="3" s="1"/>
  <c r="AG617" i="3"/>
  <c r="AH617" i="3"/>
  <c r="AN617" i="3"/>
  <c r="X617" i="3"/>
  <c r="AU616" i="3"/>
  <c r="AW616" i="3"/>
  <c r="BA615" i="3"/>
  <c r="BM618" i="3" l="1"/>
  <c r="BC615" i="3"/>
  <c r="BG615" i="3" s="1"/>
  <c r="BH615" i="3" s="1"/>
  <c r="BI615" i="3" s="1"/>
  <c r="BN618" i="3"/>
  <c r="BD614" i="3"/>
  <c r="AV616" i="3"/>
  <c r="AN618" i="3"/>
  <c r="AY616" i="3"/>
  <c r="AU617" i="3"/>
  <c r="AT617" i="3"/>
  <c r="Y618" i="3"/>
  <c r="Z618" i="3" s="1"/>
  <c r="AH618" i="3"/>
  <c r="BF615" i="3"/>
  <c r="BJ614" i="3" s="1"/>
  <c r="BK614" i="3" s="1"/>
  <c r="BB615" i="3"/>
  <c r="BQ615" i="3"/>
  <c r="AX617" i="3"/>
  <c r="AG618" i="3"/>
  <c r="AO618" i="3"/>
  <c r="X618" i="3"/>
  <c r="A620" i="3"/>
  <c r="AQ619" i="3"/>
  <c r="AR619" i="3"/>
  <c r="B619" i="3"/>
  <c r="C619" i="3"/>
  <c r="D619" i="3"/>
  <c r="R619" i="3"/>
  <c r="AK619" i="3"/>
  <c r="AM619" i="3"/>
  <c r="S619" i="3"/>
  <c r="T619" i="3"/>
  <c r="Q619" i="3"/>
  <c r="AD619" i="3"/>
  <c r="M619" i="3"/>
  <c r="P619" i="3"/>
  <c r="O619" i="3"/>
  <c r="V619" i="3"/>
  <c r="AE619" i="3"/>
  <c r="AF619" i="3"/>
  <c r="U619" i="3"/>
  <c r="G619" i="3"/>
  <c r="H619" i="3" s="1"/>
  <c r="F619" i="3"/>
  <c r="AW617" i="3"/>
  <c r="BA616" i="3"/>
  <c r="BD615" i="3" l="1"/>
  <c r="AY617" i="3"/>
  <c r="BC616" i="3"/>
  <c r="BG616" i="3" s="1"/>
  <c r="BH616" i="3" s="1"/>
  <c r="BI616" i="3" s="1"/>
  <c r="BM619" i="3"/>
  <c r="AT618" i="3"/>
  <c r="BN619" i="3"/>
  <c r="AV617" i="3"/>
  <c r="AX618" i="3"/>
  <c r="AO619" i="3"/>
  <c r="AU618" i="3"/>
  <c r="AG619" i="3"/>
  <c r="A621" i="3"/>
  <c r="AR620" i="3"/>
  <c r="B620" i="3"/>
  <c r="AQ620" i="3"/>
  <c r="C620" i="3"/>
  <c r="AK620" i="3"/>
  <c r="R620" i="3"/>
  <c r="Q620" i="3"/>
  <c r="AM620" i="3"/>
  <c r="D620" i="3"/>
  <c r="S620" i="3"/>
  <c r="AD620" i="3"/>
  <c r="P620" i="3"/>
  <c r="O620" i="3"/>
  <c r="AF620" i="3"/>
  <c r="U620" i="3"/>
  <c r="M620" i="3"/>
  <c r="AE620" i="3"/>
  <c r="V620" i="3"/>
  <c r="G620" i="3"/>
  <c r="H620" i="3" s="1"/>
  <c r="F620" i="3"/>
  <c r="BM620" i="3" s="1"/>
  <c r="T620" i="3"/>
  <c r="AH619" i="3"/>
  <c r="AN619" i="3"/>
  <c r="X619" i="3"/>
  <c r="AW618" i="3"/>
  <c r="BQ616" i="3"/>
  <c r="BF616" i="3"/>
  <c r="BJ615" i="3" s="1"/>
  <c r="BK615" i="3" s="1"/>
  <c r="BB616" i="3"/>
  <c r="Y619" i="3"/>
  <c r="Z619" i="3" s="1"/>
  <c r="BA617" i="3"/>
  <c r="BC617" i="3" l="1"/>
  <c r="BD617" i="3" s="1"/>
  <c r="BD616" i="3"/>
  <c r="BN620" i="3"/>
  <c r="AV618" i="3"/>
  <c r="AO620" i="3"/>
  <c r="AY618" i="3"/>
  <c r="AT619" i="3"/>
  <c r="AG620" i="3"/>
  <c r="BA618" i="3"/>
  <c r="BB618" i="3" s="1"/>
  <c r="AU619" i="3"/>
  <c r="AW619" i="3"/>
  <c r="Y620" i="3"/>
  <c r="Z620" i="3" s="1"/>
  <c r="BB617" i="3"/>
  <c r="BQ617" i="3"/>
  <c r="BF617" i="3"/>
  <c r="BJ616" i="3" s="1"/>
  <c r="BK616" i="3" s="1"/>
  <c r="AR621" i="3"/>
  <c r="A622" i="3"/>
  <c r="AQ621" i="3"/>
  <c r="B621" i="3"/>
  <c r="C621" i="3"/>
  <c r="AM621" i="3"/>
  <c r="AK621" i="3"/>
  <c r="T621" i="3"/>
  <c r="S621" i="3"/>
  <c r="Q621" i="3"/>
  <c r="D621" i="3"/>
  <c r="R621" i="3"/>
  <c r="AD621" i="3"/>
  <c r="P621" i="3"/>
  <c r="O621" i="3"/>
  <c r="V621" i="3"/>
  <c r="M621" i="3"/>
  <c r="AF621" i="3"/>
  <c r="AE621" i="3"/>
  <c r="U621" i="3"/>
  <c r="F621" i="3"/>
  <c r="G621" i="3"/>
  <c r="H621" i="3" s="1"/>
  <c r="AX619" i="3"/>
  <c r="AN620" i="3"/>
  <c r="X620" i="3"/>
  <c r="AH620" i="3"/>
  <c r="BM621" i="3" l="1"/>
  <c r="BG617" i="3"/>
  <c r="BH617" i="3" s="1"/>
  <c r="BI617" i="3" s="1"/>
  <c r="BC618" i="3"/>
  <c r="BD618" i="3" s="1"/>
  <c r="BQ618" i="3"/>
  <c r="AG621" i="3"/>
  <c r="AO621" i="3"/>
  <c r="AV619" i="3"/>
  <c r="BF618" i="3"/>
  <c r="BJ617" i="3" s="1"/>
  <c r="BK617" i="3" s="1"/>
  <c r="AW620" i="3"/>
  <c r="BA619" i="3"/>
  <c r="BF619" i="3" s="1"/>
  <c r="AT620" i="3"/>
  <c r="AY619" i="3"/>
  <c r="AU620" i="3"/>
  <c r="AR622" i="3"/>
  <c r="AQ622" i="3"/>
  <c r="B622" i="3"/>
  <c r="A623" i="3"/>
  <c r="D622" i="3"/>
  <c r="T622" i="3"/>
  <c r="C622" i="3"/>
  <c r="AM622" i="3"/>
  <c r="AK622" i="3"/>
  <c r="R622" i="3"/>
  <c r="AD622" i="3"/>
  <c r="S622" i="3"/>
  <c r="Q622" i="3"/>
  <c r="P622" i="3"/>
  <c r="O622" i="3"/>
  <c r="AF622" i="3"/>
  <c r="V622" i="3"/>
  <c r="AE622" i="3"/>
  <c r="M622" i="3"/>
  <c r="U622" i="3"/>
  <c r="G622" i="3"/>
  <c r="H622" i="3" s="1"/>
  <c r="F622" i="3"/>
  <c r="AX620" i="3"/>
  <c r="BN621" i="3"/>
  <c r="AN621" i="3"/>
  <c r="Y621" i="3"/>
  <c r="Z621" i="3" s="1"/>
  <c r="AH621" i="3"/>
  <c r="X621" i="3"/>
  <c r="BG618" i="3" l="1"/>
  <c r="BH618" i="3" s="1"/>
  <c r="BI618" i="3" s="1"/>
  <c r="BJ618" i="3"/>
  <c r="BK618" i="3" s="1"/>
  <c r="BN622" i="3"/>
  <c r="AV620" i="3"/>
  <c r="BB619" i="3"/>
  <c r="BQ619" i="3"/>
  <c r="BC619" i="3"/>
  <c r="BD619" i="3" s="1"/>
  <c r="BA620" i="3"/>
  <c r="BB620" i="3" s="1"/>
  <c r="AX621" i="3"/>
  <c r="AO622" i="3"/>
  <c r="A624" i="3"/>
  <c r="AQ623" i="3"/>
  <c r="AR623" i="3"/>
  <c r="B623" i="3"/>
  <c r="C623" i="3"/>
  <c r="D623" i="3"/>
  <c r="AK623" i="3"/>
  <c r="AM623" i="3"/>
  <c r="S623" i="3"/>
  <c r="R623" i="3"/>
  <c r="Q623" i="3"/>
  <c r="T623" i="3"/>
  <c r="AD623" i="3"/>
  <c r="AE623" i="3"/>
  <c r="M623" i="3"/>
  <c r="V623" i="3"/>
  <c r="U623" i="3"/>
  <c r="P623" i="3"/>
  <c r="O623" i="3"/>
  <c r="AF623" i="3"/>
  <c r="F623" i="3"/>
  <c r="BM623" i="3" s="1"/>
  <c r="G623" i="3"/>
  <c r="H623" i="3" s="1"/>
  <c r="BN623" i="3" s="1"/>
  <c r="AY620" i="3"/>
  <c r="AU621" i="3"/>
  <c r="BM622" i="3"/>
  <c r="AG622" i="3"/>
  <c r="AH622" i="3"/>
  <c r="AN622" i="3"/>
  <c r="Y622" i="3"/>
  <c r="Z622" i="3" s="1"/>
  <c r="AT621" i="3"/>
  <c r="AW621" i="3"/>
  <c r="X622" i="3"/>
  <c r="AV621" i="3" l="1"/>
  <c r="BC620" i="3"/>
  <c r="BD620" i="3" s="1"/>
  <c r="BQ620" i="3"/>
  <c r="BG619" i="3"/>
  <c r="BH619" i="3" s="1"/>
  <c r="BI619" i="3" s="1"/>
  <c r="BF620" i="3"/>
  <c r="BJ619" i="3" s="1"/>
  <c r="BK619" i="3" s="1"/>
  <c r="AY621" i="3"/>
  <c r="AX622" i="3"/>
  <c r="AO623" i="3"/>
  <c r="Y623" i="3"/>
  <c r="Z623" i="3" s="1"/>
  <c r="BA621" i="3"/>
  <c r="AW622" i="3"/>
  <c r="AT622" i="3"/>
  <c r="AH623" i="3"/>
  <c r="AG623" i="3"/>
  <c r="AN623" i="3"/>
  <c r="A625" i="3"/>
  <c r="AR624" i="3"/>
  <c r="B624" i="3"/>
  <c r="AQ624" i="3"/>
  <c r="D624" i="3"/>
  <c r="C624" i="3"/>
  <c r="AM624" i="3"/>
  <c r="AK624" i="3"/>
  <c r="S624" i="3"/>
  <c r="Q624" i="3"/>
  <c r="AD624" i="3"/>
  <c r="T624" i="3"/>
  <c r="R624" i="3"/>
  <c r="AE624" i="3"/>
  <c r="P624" i="3"/>
  <c r="O624" i="3"/>
  <c r="M624" i="3"/>
  <c r="AF624" i="3"/>
  <c r="V624" i="3"/>
  <c r="U624" i="3"/>
  <c r="G624" i="3"/>
  <c r="H624" i="3" s="1"/>
  <c r="BN624" i="3" s="1"/>
  <c r="F624" i="3"/>
  <c r="AU622" i="3"/>
  <c r="X623" i="3"/>
  <c r="BM624" i="3" l="1"/>
  <c r="BC621" i="3"/>
  <c r="BG621" i="3" s="1"/>
  <c r="BH621" i="3" s="1"/>
  <c r="BI621" i="3" s="1"/>
  <c r="BG620" i="3"/>
  <c r="BH620" i="3" s="1"/>
  <c r="BI620" i="3" s="1"/>
  <c r="AY622" i="3"/>
  <c r="AV622" i="3"/>
  <c r="AT623" i="3"/>
  <c r="AN624" i="3"/>
  <c r="AH624" i="3"/>
  <c r="AU623" i="3"/>
  <c r="BB621" i="3"/>
  <c r="BQ621" i="3"/>
  <c r="BF621" i="3"/>
  <c r="BJ620" i="3" s="1"/>
  <c r="BK620" i="3" s="1"/>
  <c r="AG624" i="3"/>
  <c r="AO624" i="3"/>
  <c r="X624" i="3"/>
  <c r="AW623" i="3"/>
  <c r="BA622" i="3"/>
  <c r="Y624" i="3"/>
  <c r="Z624" i="3" s="1"/>
  <c r="AR625" i="3"/>
  <c r="A626" i="3"/>
  <c r="AQ625" i="3"/>
  <c r="B625" i="3"/>
  <c r="D625" i="3"/>
  <c r="AM625" i="3"/>
  <c r="R625" i="3"/>
  <c r="C625" i="3"/>
  <c r="AK625" i="3"/>
  <c r="S625" i="3"/>
  <c r="Q625" i="3"/>
  <c r="AD625" i="3"/>
  <c r="P625" i="3"/>
  <c r="O625" i="3"/>
  <c r="M625" i="3"/>
  <c r="AE625" i="3"/>
  <c r="AF625" i="3"/>
  <c r="V625" i="3"/>
  <c r="U625" i="3"/>
  <c r="G625" i="3"/>
  <c r="H625" i="3" s="1"/>
  <c r="F625" i="3"/>
  <c r="T625" i="3"/>
  <c r="AX623" i="3"/>
  <c r="BD621" i="3" l="1"/>
  <c r="BC622" i="3"/>
  <c r="BG622" i="3" s="1"/>
  <c r="BH622" i="3" s="1"/>
  <c r="BI622" i="3" s="1"/>
  <c r="BN625" i="3"/>
  <c r="AV623" i="3"/>
  <c r="AN625" i="3"/>
  <c r="BA623" i="3"/>
  <c r="BB623" i="3" s="1"/>
  <c r="AG625" i="3"/>
  <c r="Y625" i="3"/>
  <c r="Z625" i="3" s="1"/>
  <c r="AW624" i="3"/>
  <c r="AX624" i="3"/>
  <c r="AT624" i="3"/>
  <c r="X625" i="3"/>
  <c r="BM625" i="3"/>
  <c r="AO625" i="3"/>
  <c r="AY623" i="3"/>
  <c r="AU624" i="3"/>
  <c r="AR626" i="3"/>
  <c r="AQ626" i="3"/>
  <c r="B626" i="3"/>
  <c r="A627" i="3"/>
  <c r="D626" i="3"/>
  <c r="AK626" i="3"/>
  <c r="T626" i="3"/>
  <c r="Q626" i="3"/>
  <c r="C626" i="3"/>
  <c r="AM626" i="3"/>
  <c r="S626" i="3"/>
  <c r="AD626" i="3"/>
  <c r="P626" i="3"/>
  <c r="M626" i="3"/>
  <c r="AF626" i="3"/>
  <c r="AE626" i="3"/>
  <c r="U626" i="3"/>
  <c r="V626" i="3"/>
  <c r="O626" i="3"/>
  <c r="F626" i="3"/>
  <c r="R626" i="3"/>
  <c r="G626" i="3"/>
  <c r="H626" i="3" s="1"/>
  <c r="BB622" i="3"/>
  <c r="BQ622" i="3"/>
  <c r="BF622" i="3"/>
  <c r="BJ621" i="3" s="1"/>
  <c r="BK621" i="3" s="1"/>
  <c r="AH625" i="3"/>
  <c r="BD622" i="3" l="1"/>
  <c r="AN626" i="3"/>
  <c r="AX625" i="3"/>
  <c r="BC623" i="3"/>
  <c r="BD623" i="3" s="1"/>
  <c r="BQ623" i="3"/>
  <c r="BN626" i="3"/>
  <c r="BF623" i="3"/>
  <c r="BJ622" i="3" s="1"/>
  <c r="BK622" i="3" s="1"/>
  <c r="AY624" i="3"/>
  <c r="BA624" i="3"/>
  <c r="BF624" i="3" s="1"/>
  <c r="AV624" i="3"/>
  <c r="A628" i="3"/>
  <c r="AQ627" i="3"/>
  <c r="AR627" i="3"/>
  <c r="B627" i="3"/>
  <c r="D627" i="3"/>
  <c r="AK627" i="3"/>
  <c r="AM627" i="3"/>
  <c r="C627" i="3"/>
  <c r="Q627" i="3"/>
  <c r="S627" i="3"/>
  <c r="AD627" i="3"/>
  <c r="P627" i="3"/>
  <c r="R627" i="3"/>
  <c r="O627" i="3"/>
  <c r="M627" i="3"/>
  <c r="U627" i="3"/>
  <c r="AF627" i="3"/>
  <c r="AE627" i="3"/>
  <c r="V627" i="3"/>
  <c r="F627" i="3"/>
  <c r="BM627" i="3" s="1"/>
  <c r="G627" i="3"/>
  <c r="H627" i="3" s="1"/>
  <c r="BN627" i="3" s="1"/>
  <c r="T627" i="3"/>
  <c r="BM626" i="3"/>
  <c r="AG626" i="3"/>
  <c r="AH626" i="3"/>
  <c r="AO626" i="3"/>
  <c r="AU625" i="3"/>
  <c r="Y626" i="3"/>
  <c r="Z626" i="3" s="1"/>
  <c r="X626" i="3"/>
  <c r="AT625" i="3"/>
  <c r="AW625" i="3"/>
  <c r="AY625" i="3" l="1"/>
  <c r="BJ623" i="3"/>
  <c r="BK623" i="3" s="1"/>
  <c r="BG623" i="3"/>
  <c r="BH623" i="3" s="1"/>
  <c r="BI623" i="3" s="1"/>
  <c r="BC624" i="3"/>
  <c r="BD624" i="3" s="1"/>
  <c r="BQ624" i="3"/>
  <c r="BB624" i="3"/>
  <c r="AU626" i="3"/>
  <c r="AN627" i="3"/>
  <c r="AT626" i="3"/>
  <c r="AX626" i="3"/>
  <c r="AV625" i="3"/>
  <c r="BA625" i="3"/>
  <c r="AH627" i="3"/>
  <c r="AW626" i="3"/>
  <c r="Y627" i="3"/>
  <c r="Z627" i="3" s="1"/>
  <c r="AG627" i="3"/>
  <c r="X627" i="3"/>
  <c r="AO627" i="3"/>
  <c r="A629" i="3"/>
  <c r="AR628" i="3"/>
  <c r="B628" i="3"/>
  <c r="AQ628" i="3"/>
  <c r="C628" i="3"/>
  <c r="D628" i="3"/>
  <c r="AK628" i="3"/>
  <c r="S628" i="3"/>
  <c r="AM628" i="3"/>
  <c r="Q628" i="3"/>
  <c r="R628" i="3"/>
  <c r="AD628" i="3"/>
  <c r="P628" i="3"/>
  <c r="O628" i="3"/>
  <c r="M628" i="3"/>
  <c r="AE628" i="3"/>
  <c r="AF628" i="3"/>
  <c r="U628" i="3"/>
  <c r="V628" i="3"/>
  <c r="G628" i="3"/>
  <c r="H628" i="3" s="1"/>
  <c r="F628" i="3"/>
  <c r="BM628" i="3" s="1"/>
  <c r="T628" i="3"/>
  <c r="BN628" i="3" l="1"/>
  <c r="BC625" i="3"/>
  <c r="BG625" i="3" s="1"/>
  <c r="BH625" i="3" s="1"/>
  <c r="BI625" i="3" s="1"/>
  <c r="BG624" i="3"/>
  <c r="BH624" i="3" s="1"/>
  <c r="BI624" i="3" s="1"/>
  <c r="AV626" i="3"/>
  <c r="AN628" i="3"/>
  <c r="AY626" i="3"/>
  <c r="AU627" i="3"/>
  <c r="BA626" i="3"/>
  <c r="BQ626" i="3" s="1"/>
  <c r="AR629" i="3"/>
  <c r="A630" i="3"/>
  <c r="AQ629" i="3"/>
  <c r="B629" i="3"/>
  <c r="D629" i="3"/>
  <c r="C629" i="3"/>
  <c r="AK629" i="3"/>
  <c r="AM629" i="3"/>
  <c r="T629" i="3"/>
  <c r="S629" i="3"/>
  <c r="Q629" i="3"/>
  <c r="R629" i="3"/>
  <c r="AD629" i="3"/>
  <c r="O629" i="3"/>
  <c r="M629" i="3"/>
  <c r="AE629" i="3"/>
  <c r="P629" i="3"/>
  <c r="V629" i="3"/>
  <c r="AF629" i="3"/>
  <c r="U629" i="3"/>
  <c r="G629" i="3"/>
  <c r="H629" i="3" s="1"/>
  <c r="BN629" i="3" s="1"/>
  <c r="F629" i="3"/>
  <c r="BM629" i="3" s="1"/>
  <c r="AO628" i="3"/>
  <c r="Y628" i="3"/>
  <c r="Z628" i="3" s="1"/>
  <c r="AG628" i="3"/>
  <c r="AH628" i="3"/>
  <c r="AX627" i="3"/>
  <c r="AT627" i="3"/>
  <c r="AW627" i="3"/>
  <c r="BB625" i="3"/>
  <c r="BF625" i="3"/>
  <c r="BJ624" i="3" s="1"/>
  <c r="BK624" i="3" s="1"/>
  <c r="BQ625" i="3"/>
  <c r="X628" i="3"/>
  <c r="BD625" i="3" l="1"/>
  <c r="BC626" i="3"/>
  <c r="BG626" i="3" s="1"/>
  <c r="BH626" i="3" s="1"/>
  <c r="BI626" i="3" s="1"/>
  <c r="AN629" i="3"/>
  <c r="BB626" i="3"/>
  <c r="AT628" i="3"/>
  <c r="AG629" i="3"/>
  <c r="BF626" i="3"/>
  <c r="BJ625" i="3" s="1"/>
  <c r="BK625" i="3" s="1"/>
  <c r="BA627" i="3"/>
  <c r="AV627" i="3"/>
  <c r="Y629" i="3"/>
  <c r="Z629" i="3" s="1"/>
  <c r="AY627" i="3"/>
  <c r="AW628" i="3"/>
  <c r="AH629" i="3"/>
  <c r="AO629" i="3"/>
  <c r="AU628" i="3"/>
  <c r="AX628" i="3"/>
  <c r="AR630" i="3"/>
  <c r="AQ630" i="3"/>
  <c r="B630" i="3"/>
  <c r="A631" i="3"/>
  <c r="C630" i="3"/>
  <c r="AM630" i="3"/>
  <c r="S630" i="3"/>
  <c r="AK630" i="3"/>
  <c r="D630" i="3"/>
  <c r="R630" i="3"/>
  <c r="Q630" i="3"/>
  <c r="P630" i="3"/>
  <c r="AD630" i="3"/>
  <c r="AE630" i="3"/>
  <c r="O630" i="3"/>
  <c r="AF630" i="3"/>
  <c r="V630" i="3"/>
  <c r="M630" i="3"/>
  <c r="U630" i="3"/>
  <c r="G630" i="3"/>
  <c r="H630" i="3" s="1"/>
  <c r="F630" i="3"/>
  <c r="T630" i="3"/>
  <c r="X629" i="3"/>
  <c r="BM630" i="3" l="1"/>
  <c r="BD626" i="3"/>
  <c r="AO630" i="3"/>
  <c r="BN630" i="3"/>
  <c r="AU629" i="3"/>
  <c r="AV628" i="3"/>
  <c r="AW629" i="3"/>
  <c r="BA628" i="3"/>
  <c r="BQ628" i="3" s="1"/>
  <c r="BB627" i="3"/>
  <c r="BF627" i="3"/>
  <c r="BQ627" i="3"/>
  <c r="AH630" i="3"/>
  <c r="X630" i="3"/>
  <c r="AY628" i="3"/>
  <c r="A632" i="3"/>
  <c r="AQ631" i="3"/>
  <c r="AR631" i="3"/>
  <c r="B631" i="3"/>
  <c r="C631" i="3"/>
  <c r="T631" i="3"/>
  <c r="S631" i="3"/>
  <c r="D631" i="3"/>
  <c r="AM631" i="3"/>
  <c r="AK631" i="3"/>
  <c r="R631" i="3"/>
  <c r="AD631" i="3"/>
  <c r="Q631" i="3"/>
  <c r="P631" i="3"/>
  <c r="AF631" i="3"/>
  <c r="U631" i="3"/>
  <c r="O631" i="3"/>
  <c r="AE631" i="3"/>
  <c r="M631" i="3"/>
  <c r="V631" i="3"/>
  <c r="G631" i="3"/>
  <c r="H631" i="3" s="1"/>
  <c r="F631" i="3"/>
  <c r="AT629" i="3"/>
  <c r="AX629" i="3"/>
  <c r="Y630" i="3"/>
  <c r="Z630" i="3" s="1"/>
  <c r="AG630" i="3"/>
  <c r="AN630" i="3"/>
  <c r="BC627" i="3"/>
  <c r="BC628" i="3" l="1"/>
  <c r="BG628" i="3" s="1"/>
  <c r="BH628" i="3" s="1"/>
  <c r="BI628" i="3" s="1"/>
  <c r="BM631" i="3"/>
  <c r="AW630" i="3"/>
  <c r="AO631" i="3"/>
  <c r="BN631" i="3"/>
  <c r="AG631" i="3"/>
  <c r="AY629" i="3"/>
  <c r="AT630" i="3"/>
  <c r="BB628" i="3"/>
  <c r="BF628" i="3"/>
  <c r="BJ627" i="3" s="1"/>
  <c r="BK627" i="3" s="1"/>
  <c r="BD627" i="3"/>
  <c r="BG627" i="3"/>
  <c r="BH627" i="3" s="1"/>
  <c r="BI627" i="3" s="1"/>
  <c r="AV629" i="3"/>
  <c r="BA629" i="3"/>
  <c r="A633" i="3"/>
  <c r="AR632" i="3"/>
  <c r="B632" i="3"/>
  <c r="AQ632" i="3"/>
  <c r="D632" i="3"/>
  <c r="C632" i="3"/>
  <c r="AM632" i="3"/>
  <c r="AK632" i="3"/>
  <c r="T632" i="3"/>
  <c r="R632" i="3"/>
  <c r="Q632" i="3"/>
  <c r="P632" i="3"/>
  <c r="S632" i="3"/>
  <c r="AD632" i="3"/>
  <c r="O632" i="3"/>
  <c r="M632" i="3"/>
  <c r="AE632" i="3"/>
  <c r="AF632" i="3"/>
  <c r="V632" i="3"/>
  <c r="U632" i="3"/>
  <c r="G632" i="3"/>
  <c r="H632" i="3" s="1"/>
  <c r="BN632" i="3" s="1"/>
  <c r="F632" i="3"/>
  <c r="BM632" i="3" s="1"/>
  <c r="BJ626" i="3"/>
  <c r="AN631" i="3"/>
  <c r="X631" i="3"/>
  <c r="Y631" i="3"/>
  <c r="Z631" i="3" s="1"/>
  <c r="AU630" i="3"/>
  <c r="AH631" i="3"/>
  <c r="AX630" i="3"/>
  <c r="BD628" i="3" l="1"/>
  <c r="AY630" i="3"/>
  <c r="AX631" i="3"/>
  <c r="BC629" i="3"/>
  <c r="BG629" i="3" s="1"/>
  <c r="BH629" i="3" s="1"/>
  <c r="BI629" i="3" s="1"/>
  <c r="AG632" i="3"/>
  <c r="AN632" i="3"/>
  <c r="BA630" i="3"/>
  <c r="BB630" i="3" s="1"/>
  <c r="BK626" i="3"/>
  <c r="BK6" i="3" s="1"/>
  <c r="A261" i="2" s="1"/>
  <c r="BK5" i="3"/>
  <c r="A692" i="3" s="1"/>
  <c r="B692" i="3" s="1"/>
  <c r="BF629" i="3"/>
  <c r="BJ628" i="3" s="1"/>
  <c r="BK628" i="3" s="1"/>
  <c r="BB629" i="3"/>
  <c r="BQ629" i="3"/>
  <c r="AU631" i="3"/>
  <c r="AW631" i="3"/>
  <c r="AT631" i="3"/>
  <c r="AH632" i="3"/>
  <c r="AO632" i="3"/>
  <c r="X632" i="3"/>
  <c r="AV630" i="3"/>
  <c r="Y632" i="3"/>
  <c r="Z632" i="3" s="1"/>
  <c r="AR633" i="3"/>
  <c r="A634" i="3"/>
  <c r="AQ633" i="3"/>
  <c r="B633" i="3"/>
  <c r="C633" i="3"/>
  <c r="D633" i="3"/>
  <c r="AK633" i="3"/>
  <c r="S633" i="3"/>
  <c r="Q633" i="3"/>
  <c r="AM633" i="3"/>
  <c r="T633" i="3"/>
  <c r="P633" i="3"/>
  <c r="AD633" i="3"/>
  <c r="O633" i="3"/>
  <c r="AE633" i="3"/>
  <c r="M633" i="3"/>
  <c r="AF633" i="3"/>
  <c r="V633" i="3"/>
  <c r="U633" i="3"/>
  <c r="F633" i="3"/>
  <c r="R633" i="3"/>
  <c r="G633" i="3"/>
  <c r="H633" i="3" s="1"/>
  <c r="BN633" i="3" s="1"/>
  <c r="AY631" i="3" l="1"/>
  <c r="BD629" i="3"/>
  <c r="BC630" i="3"/>
  <c r="BG630" i="3" s="1"/>
  <c r="BH630" i="3" s="1"/>
  <c r="BI630" i="3" s="1"/>
  <c r="AH633" i="3"/>
  <c r="A688" i="3"/>
  <c r="A690" i="3"/>
  <c r="B690" i="3" s="1"/>
  <c r="A691" i="3"/>
  <c r="B691" i="3" s="1"/>
  <c r="A260" i="2"/>
  <c r="C260" i="2"/>
  <c r="B260" i="2"/>
  <c r="B261" i="2"/>
  <c r="BM633" i="3"/>
  <c r="AU632" i="3"/>
  <c r="AT632" i="3"/>
  <c r="AW632" i="3"/>
  <c r="AN633" i="3"/>
  <c r="BF630" i="3"/>
  <c r="BJ629" i="3" s="1"/>
  <c r="BK629" i="3" s="1"/>
  <c r="BQ630" i="3"/>
  <c r="BD630" i="3"/>
  <c r="Y633" i="3"/>
  <c r="Z633" i="3" s="1"/>
  <c r="AR634" i="3"/>
  <c r="AQ634" i="3"/>
  <c r="B634" i="3"/>
  <c r="A635" i="3"/>
  <c r="C634" i="3"/>
  <c r="D634" i="3"/>
  <c r="S634" i="3"/>
  <c r="AK634" i="3"/>
  <c r="AM634" i="3"/>
  <c r="T634" i="3"/>
  <c r="R634" i="3"/>
  <c r="AD634" i="3"/>
  <c r="O634" i="3"/>
  <c r="AE634" i="3"/>
  <c r="P634" i="3"/>
  <c r="M634" i="3"/>
  <c r="AF634" i="3"/>
  <c r="V634" i="3"/>
  <c r="U634" i="3"/>
  <c r="F634" i="3"/>
  <c r="Q634" i="3"/>
  <c r="G634" i="3"/>
  <c r="H634" i="3" s="1"/>
  <c r="BN634" i="3" s="1"/>
  <c r="AG633" i="3"/>
  <c r="AO633" i="3"/>
  <c r="X633" i="3"/>
  <c r="AX632" i="3"/>
  <c r="AV631" i="3"/>
  <c r="BA631" i="3"/>
  <c r="BC631" i="3" l="1"/>
  <c r="BG631" i="3" s="1"/>
  <c r="BH631" i="3" s="1"/>
  <c r="BI631" i="3" s="1"/>
  <c r="AT633" i="3"/>
  <c r="B688" i="3"/>
  <c r="C688" i="3"/>
  <c r="F688" i="3"/>
  <c r="M688" i="3"/>
  <c r="O688" i="3"/>
  <c r="Q688" i="3"/>
  <c r="S688" i="3"/>
  <c r="U688" i="3"/>
  <c r="AE688" i="3"/>
  <c r="AK688" i="3"/>
  <c r="AR688" i="3"/>
  <c r="D688" i="3"/>
  <c r="G688" i="3"/>
  <c r="H688" i="3" s="1"/>
  <c r="P688" i="3"/>
  <c r="R688" i="3"/>
  <c r="T688" i="3"/>
  <c r="V688" i="3"/>
  <c r="AD688" i="3"/>
  <c r="AF688" i="3"/>
  <c r="AM688" i="3"/>
  <c r="AQ688" i="3"/>
  <c r="BM634" i="3"/>
  <c r="AV632" i="3"/>
  <c r="BA632" i="3"/>
  <c r="BQ632" i="3" s="1"/>
  <c r="AG634" i="3"/>
  <c r="AY632" i="3"/>
  <c r="AW633" i="3"/>
  <c r="AO634" i="3"/>
  <c r="BF631" i="3"/>
  <c r="BJ630" i="3" s="1"/>
  <c r="BK630" i="3" s="1"/>
  <c r="BQ631" i="3"/>
  <c r="BB631" i="3"/>
  <c r="Y634" i="3"/>
  <c r="Z634" i="3" s="1"/>
  <c r="A636" i="3"/>
  <c r="AQ635" i="3"/>
  <c r="AR635" i="3"/>
  <c r="B635" i="3"/>
  <c r="C635" i="3"/>
  <c r="AM635" i="3"/>
  <c r="AK635" i="3"/>
  <c r="D635" i="3"/>
  <c r="S635" i="3"/>
  <c r="R635" i="3"/>
  <c r="Q635" i="3"/>
  <c r="AD635" i="3"/>
  <c r="P635" i="3"/>
  <c r="O635" i="3"/>
  <c r="M635" i="3"/>
  <c r="AF635" i="3"/>
  <c r="AE635" i="3"/>
  <c r="V635" i="3"/>
  <c r="U635" i="3"/>
  <c r="G635" i="3"/>
  <c r="H635" i="3" s="1"/>
  <c r="BN635" i="3" s="1"/>
  <c r="F635" i="3"/>
  <c r="BM635" i="3" s="1"/>
  <c r="T635" i="3"/>
  <c r="AU633" i="3"/>
  <c r="AX633" i="3"/>
  <c r="AH634" i="3"/>
  <c r="AN634" i="3"/>
  <c r="X634" i="3"/>
  <c r="BD631" i="3" l="1"/>
  <c r="AN688" i="3"/>
  <c r="AV633" i="3"/>
  <c r="BF632" i="3"/>
  <c r="BJ631" i="3" s="1"/>
  <c r="BK631" i="3" s="1"/>
  <c r="AH688" i="3"/>
  <c r="AG688" i="3"/>
  <c r="Y688" i="3"/>
  <c r="Z688" i="3" s="1"/>
  <c r="AO688" i="3"/>
  <c r="X688" i="3"/>
  <c r="BC632" i="3"/>
  <c r="BG632" i="3" s="1"/>
  <c r="BH632" i="3" s="1"/>
  <c r="BI632" i="3" s="1"/>
  <c r="BB632" i="3"/>
  <c r="AT634" i="3"/>
  <c r="AY633" i="3"/>
  <c r="AU634" i="3"/>
  <c r="AW634" i="3"/>
  <c r="AG635" i="3"/>
  <c r="AO635" i="3"/>
  <c r="Y635" i="3"/>
  <c r="Z635" i="3" s="1"/>
  <c r="A637" i="3"/>
  <c r="AR636" i="3"/>
  <c r="B636" i="3"/>
  <c r="AQ636" i="3"/>
  <c r="D636" i="3"/>
  <c r="C636" i="3"/>
  <c r="AM636" i="3"/>
  <c r="T636" i="3"/>
  <c r="S636" i="3"/>
  <c r="AK636" i="3"/>
  <c r="Q636" i="3"/>
  <c r="AD636" i="3"/>
  <c r="P636" i="3"/>
  <c r="O636" i="3"/>
  <c r="AE636" i="3"/>
  <c r="M636" i="3"/>
  <c r="AF636" i="3"/>
  <c r="V636" i="3"/>
  <c r="U636" i="3"/>
  <c r="R636" i="3"/>
  <c r="G636" i="3"/>
  <c r="H636" i="3" s="1"/>
  <c r="F636" i="3"/>
  <c r="X635" i="3"/>
  <c r="BA633" i="3"/>
  <c r="AX634" i="3"/>
  <c r="AH635" i="3"/>
  <c r="AN635" i="3"/>
  <c r="BM636" i="3" l="1"/>
  <c r="BN636" i="3"/>
  <c r="BC633" i="3"/>
  <c r="BD633" i="3" s="1"/>
  <c r="BD632" i="3"/>
  <c r="AV634" i="3"/>
  <c r="AW688" i="3"/>
  <c r="AT688" i="3"/>
  <c r="AU688" i="3"/>
  <c r="AX688" i="3"/>
  <c r="AY634" i="3"/>
  <c r="AN636" i="3"/>
  <c r="AG636" i="3"/>
  <c r="BA634" i="3"/>
  <c r="BQ634" i="3" s="1"/>
  <c r="BQ633" i="3"/>
  <c r="BB633" i="3"/>
  <c r="BF633" i="3"/>
  <c r="BJ632" i="3" s="1"/>
  <c r="BK632" i="3" s="1"/>
  <c r="AX635" i="3"/>
  <c r="AT635" i="3"/>
  <c r="AW635" i="3"/>
  <c r="AU635" i="3"/>
  <c r="AH636" i="3"/>
  <c r="AO636" i="3"/>
  <c r="X636" i="3"/>
  <c r="Y636" i="3"/>
  <c r="Z636" i="3" s="1"/>
  <c r="AR637" i="3"/>
  <c r="A638" i="3"/>
  <c r="AQ637" i="3"/>
  <c r="B637" i="3"/>
  <c r="D637" i="3"/>
  <c r="S637" i="3"/>
  <c r="C637" i="3"/>
  <c r="AK637" i="3"/>
  <c r="AM637" i="3"/>
  <c r="Q637" i="3"/>
  <c r="R637" i="3"/>
  <c r="P637" i="3"/>
  <c r="AD637" i="3"/>
  <c r="AE637" i="3"/>
  <c r="M637" i="3"/>
  <c r="U637" i="3"/>
  <c r="O637" i="3"/>
  <c r="AF637" i="3"/>
  <c r="V637" i="3"/>
  <c r="G637" i="3"/>
  <c r="H637" i="3" s="1"/>
  <c r="F637" i="3"/>
  <c r="T637" i="3"/>
  <c r="BG633" i="3" l="1"/>
  <c r="BH633" i="3" s="1"/>
  <c r="BI633" i="3" s="1"/>
  <c r="BM637" i="3"/>
  <c r="BC634" i="3"/>
  <c r="BD634" i="3" s="1"/>
  <c r="AY688" i="3"/>
  <c r="AV688" i="3"/>
  <c r="BA688" i="3"/>
  <c r="BB688" i="3" s="1"/>
  <c r="AY635" i="3"/>
  <c r="BN637" i="3"/>
  <c r="AN637" i="3"/>
  <c r="AX636" i="3"/>
  <c r="AH637" i="3"/>
  <c r="AT636" i="3"/>
  <c r="AU636" i="3"/>
  <c r="BF634" i="3"/>
  <c r="BJ633" i="3" s="1"/>
  <c r="BK633" i="3" s="1"/>
  <c r="BB634" i="3"/>
  <c r="X637" i="3"/>
  <c r="AR638" i="3"/>
  <c r="AQ638" i="3"/>
  <c r="B638" i="3"/>
  <c r="A639" i="3"/>
  <c r="D638" i="3"/>
  <c r="AM638" i="3"/>
  <c r="AK638" i="3"/>
  <c r="R638" i="3"/>
  <c r="C638" i="3"/>
  <c r="S638" i="3"/>
  <c r="Q638" i="3"/>
  <c r="AD638" i="3"/>
  <c r="P638" i="3"/>
  <c r="O638" i="3"/>
  <c r="M638" i="3"/>
  <c r="AE638" i="3"/>
  <c r="AF638" i="3"/>
  <c r="V638" i="3"/>
  <c r="U638" i="3"/>
  <c r="G638" i="3"/>
  <c r="H638" i="3" s="1"/>
  <c r="F638" i="3"/>
  <c r="BM638" i="3" s="1"/>
  <c r="T638" i="3"/>
  <c r="BA635" i="3"/>
  <c r="AV635" i="3"/>
  <c r="Y637" i="3"/>
  <c r="Z637" i="3" s="1"/>
  <c r="AG637" i="3"/>
  <c r="AO637" i="3"/>
  <c r="AW636" i="3"/>
  <c r="BC635" i="3" l="1"/>
  <c r="BG635" i="3" s="1"/>
  <c r="BH635" i="3" s="1"/>
  <c r="BI635" i="3" s="1"/>
  <c r="BG634" i="3"/>
  <c r="BH634" i="3" s="1"/>
  <c r="BI634" i="3" s="1"/>
  <c r="AY636" i="3"/>
  <c r="BC688" i="3"/>
  <c r="BD688" i="3" s="1"/>
  <c r="BN638" i="3"/>
  <c r="AV636" i="3"/>
  <c r="AX637" i="3"/>
  <c r="AO638" i="3"/>
  <c r="Y638" i="3"/>
  <c r="Z638" i="3" s="1"/>
  <c r="BQ635" i="3"/>
  <c r="BB635" i="3"/>
  <c r="BF635" i="3"/>
  <c r="BJ634" i="3" s="1"/>
  <c r="BK634" i="3" s="1"/>
  <c r="X638" i="3"/>
  <c r="AT637" i="3"/>
  <c r="A640" i="3"/>
  <c r="AQ639" i="3"/>
  <c r="AR639" i="3"/>
  <c r="B639" i="3"/>
  <c r="C639" i="3"/>
  <c r="D639" i="3"/>
  <c r="S639" i="3"/>
  <c r="AM639" i="3"/>
  <c r="AK639" i="3"/>
  <c r="Q639" i="3"/>
  <c r="AD639" i="3"/>
  <c r="P639" i="3"/>
  <c r="O639" i="3"/>
  <c r="AE639" i="3"/>
  <c r="U639" i="3"/>
  <c r="M639" i="3"/>
  <c r="AF639" i="3"/>
  <c r="V639" i="3"/>
  <c r="F639" i="3"/>
  <c r="R639" i="3"/>
  <c r="G639" i="3"/>
  <c r="H639" i="3" s="1"/>
  <c r="T639" i="3"/>
  <c r="BA636" i="3"/>
  <c r="AW637" i="3"/>
  <c r="AG638" i="3"/>
  <c r="AH638" i="3"/>
  <c r="AN638" i="3"/>
  <c r="AU637" i="3"/>
  <c r="BM639" i="3" l="1"/>
  <c r="BD635" i="3"/>
  <c r="BC636" i="3"/>
  <c r="BG636" i="3" s="1"/>
  <c r="BH636" i="3" s="1"/>
  <c r="BI636" i="3" s="1"/>
  <c r="BG688" i="3"/>
  <c r="BH688" i="3" s="1"/>
  <c r="BI688" i="3" s="1"/>
  <c r="BN639" i="3"/>
  <c r="AY637" i="3"/>
  <c r="AO639" i="3"/>
  <c r="AU638" i="3"/>
  <c r="BQ636" i="3"/>
  <c r="BF636" i="3"/>
  <c r="BJ635" i="3" s="1"/>
  <c r="BK635" i="3" s="1"/>
  <c r="BB636" i="3"/>
  <c r="AV637" i="3"/>
  <c r="BA637" i="3"/>
  <c r="AH639" i="3"/>
  <c r="X639" i="3"/>
  <c r="AX638" i="3"/>
  <c r="Y639" i="3"/>
  <c r="Z639" i="3" s="1"/>
  <c r="AG639" i="3"/>
  <c r="AN639" i="3"/>
  <c r="A641" i="3"/>
  <c r="AR640" i="3"/>
  <c r="B640" i="3"/>
  <c r="AQ640" i="3"/>
  <c r="C640" i="3"/>
  <c r="AK640" i="3"/>
  <c r="S640" i="3"/>
  <c r="Q640" i="3"/>
  <c r="D640" i="3"/>
  <c r="AM640" i="3"/>
  <c r="R640" i="3"/>
  <c r="AD640" i="3"/>
  <c r="P640" i="3"/>
  <c r="M640" i="3"/>
  <c r="AE640" i="3"/>
  <c r="V640" i="3"/>
  <c r="O640" i="3"/>
  <c r="AF640" i="3"/>
  <c r="U640" i="3"/>
  <c r="F640" i="3"/>
  <c r="G640" i="3"/>
  <c r="H640" i="3" s="1"/>
  <c r="BN640" i="3" s="1"/>
  <c r="T640" i="3"/>
  <c r="AW638" i="3"/>
  <c r="AT638" i="3"/>
  <c r="AU639" i="3" l="1"/>
  <c r="BD636" i="3"/>
  <c r="BG690" i="3"/>
  <c r="BH690" i="3" s="1"/>
  <c r="BI690" i="3" s="1"/>
  <c r="BG689" i="3"/>
  <c r="BH689" i="3" s="1"/>
  <c r="BI689" i="3" s="1"/>
  <c r="AT639" i="3"/>
  <c r="BC637" i="3"/>
  <c r="BG637" i="3" s="1"/>
  <c r="BH637" i="3" s="1"/>
  <c r="BI637" i="3" s="1"/>
  <c r="AN640" i="3"/>
  <c r="BM640" i="3"/>
  <c r="Y640" i="3"/>
  <c r="Z640" i="3" s="1"/>
  <c r="BA638" i="3"/>
  <c r="AV638" i="3"/>
  <c r="AR641" i="3"/>
  <c r="A642" i="3"/>
  <c r="AQ641" i="3"/>
  <c r="B641" i="3"/>
  <c r="C641" i="3"/>
  <c r="D641" i="3"/>
  <c r="AM641" i="3"/>
  <c r="AK641" i="3"/>
  <c r="T641" i="3"/>
  <c r="S641" i="3"/>
  <c r="AD641" i="3"/>
  <c r="R641" i="3"/>
  <c r="Q641" i="3"/>
  <c r="P641" i="3"/>
  <c r="O641" i="3"/>
  <c r="AE641" i="3"/>
  <c r="M641" i="3"/>
  <c r="AF641" i="3"/>
  <c r="V641" i="3"/>
  <c r="U641" i="3"/>
  <c r="G641" i="3"/>
  <c r="H641" i="3" s="1"/>
  <c r="F641" i="3"/>
  <c r="BB637" i="3"/>
  <c r="BF637" i="3"/>
  <c r="BJ636" i="3" s="1"/>
  <c r="BK636" i="3" s="1"/>
  <c r="BQ637" i="3"/>
  <c r="AY638" i="3"/>
  <c r="AG640" i="3"/>
  <c r="X640" i="3"/>
  <c r="AW639" i="3"/>
  <c r="AH640" i="3"/>
  <c r="AO640" i="3"/>
  <c r="AX639" i="3"/>
  <c r="AV639" i="3" l="1"/>
  <c r="BD637" i="3"/>
  <c r="BA639" i="3"/>
  <c r="BF639" i="3" s="1"/>
  <c r="AX640" i="3"/>
  <c r="BM641" i="3"/>
  <c r="AO641" i="3"/>
  <c r="AG641" i="3"/>
  <c r="BB638" i="3"/>
  <c r="BF638" i="3"/>
  <c r="BJ637" i="3" s="1"/>
  <c r="BK637" i="3" s="1"/>
  <c r="BQ638" i="3"/>
  <c r="AT640" i="3"/>
  <c r="AW640" i="3"/>
  <c r="AU640" i="3"/>
  <c r="AY639" i="3"/>
  <c r="BN641" i="3"/>
  <c r="AH641" i="3"/>
  <c r="AN641" i="3"/>
  <c r="X641" i="3"/>
  <c r="Y641" i="3"/>
  <c r="Z641" i="3" s="1"/>
  <c r="AR642" i="3"/>
  <c r="AQ642" i="3"/>
  <c r="B642" i="3"/>
  <c r="A643" i="3"/>
  <c r="C642" i="3"/>
  <c r="D642" i="3"/>
  <c r="AK642" i="3"/>
  <c r="S642" i="3"/>
  <c r="R642" i="3"/>
  <c r="Q642" i="3"/>
  <c r="AD642" i="3"/>
  <c r="P642" i="3"/>
  <c r="AM642" i="3"/>
  <c r="AE642" i="3"/>
  <c r="M642" i="3"/>
  <c r="AF642" i="3"/>
  <c r="O642" i="3"/>
  <c r="V642" i="3"/>
  <c r="U642" i="3"/>
  <c r="F642" i="3"/>
  <c r="G642" i="3"/>
  <c r="H642" i="3" s="1"/>
  <c r="T642" i="3"/>
  <c r="BC638" i="3"/>
  <c r="BC639" i="3" l="1"/>
  <c r="BG639" i="3" s="1"/>
  <c r="BH639" i="3" s="1"/>
  <c r="BI639" i="3" s="1"/>
  <c r="AN642" i="3"/>
  <c r="BQ639" i="3"/>
  <c r="BB639" i="3"/>
  <c r="AY640" i="3"/>
  <c r="BM642" i="3"/>
  <c r="AX641" i="3"/>
  <c r="AT641" i="3"/>
  <c r="AG642" i="3"/>
  <c r="Y642" i="3"/>
  <c r="Z642" i="3" s="1"/>
  <c r="A644" i="3"/>
  <c r="AQ643" i="3"/>
  <c r="AR643" i="3"/>
  <c r="B643" i="3"/>
  <c r="D643" i="3"/>
  <c r="AK643" i="3"/>
  <c r="C643" i="3"/>
  <c r="AM643" i="3"/>
  <c r="T643" i="3"/>
  <c r="R643" i="3"/>
  <c r="Q643" i="3"/>
  <c r="AD643" i="3"/>
  <c r="S643" i="3"/>
  <c r="P643" i="3"/>
  <c r="O643" i="3"/>
  <c r="AF643" i="3"/>
  <c r="V643" i="3"/>
  <c r="U643" i="3"/>
  <c r="AE643" i="3"/>
  <c r="M643" i="3"/>
  <c r="G643" i="3"/>
  <c r="H643" i="3" s="1"/>
  <c r="BN643" i="3" s="1"/>
  <c r="F643" i="3"/>
  <c r="BD638" i="3"/>
  <c r="BG638" i="3"/>
  <c r="BH638" i="3" s="1"/>
  <c r="BI638" i="3" s="1"/>
  <c r="AV640" i="3"/>
  <c r="BA640" i="3"/>
  <c r="AH642" i="3"/>
  <c r="BN642" i="3"/>
  <c r="AO642" i="3"/>
  <c r="X642" i="3"/>
  <c r="AU641" i="3"/>
  <c r="BJ638" i="3"/>
  <c r="BK638" i="3" s="1"/>
  <c r="AW641" i="3"/>
  <c r="BD639" i="3" l="1"/>
  <c r="AU642" i="3"/>
  <c r="AN643" i="3"/>
  <c r="BC640" i="3"/>
  <c r="BD640" i="3" s="1"/>
  <c r="AY641" i="3"/>
  <c r="BM643" i="3"/>
  <c r="AV641" i="3"/>
  <c r="AT642" i="3"/>
  <c r="AW642" i="3"/>
  <c r="BB640" i="3"/>
  <c r="BQ640" i="3"/>
  <c r="BF640" i="3"/>
  <c r="BJ639" i="3" s="1"/>
  <c r="BK639" i="3" s="1"/>
  <c r="Y643" i="3"/>
  <c r="Z643" i="3" s="1"/>
  <c r="A645" i="3"/>
  <c r="AR644" i="3"/>
  <c r="B644" i="3"/>
  <c r="AQ644" i="3"/>
  <c r="D644" i="3"/>
  <c r="C644" i="3"/>
  <c r="AK644" i="3"/>
  <c r="AM644" i="3"/>
  <c r="T644" i="3"/>
  <c r="R644" i="3"/>
  <c r="S644" i="3"/>
  <c r="AD644" i="3"/>
  <c r="Q644" i="3"/>
  <c r="P644" i="3"/>
  <c r="O644" i="3"/>
  <c r="U644" i="3"/>
  <c r="V644" i="3"/>
  <c r="M644" i="3"/>
  <c r="AE644" i="3"/>
  <c r="AF644" i="3"/>
  <c r="G644" i="3"/>
  <c r="H644" i="3" s="1"/>
  <c r="BN644" i="3" s="1"/>
  <c r="F644" i="3"/>
  <c r="BM644" i="3" s="1"/>
  <c r="AH643" i="3"/>
  <c r="BA641" i="3"/>
  <c r="AX642" i="3"/>
  <c r="AG643" i="3"/>
  <c r="X643" i="3"/>
  <c r="AO643" i="3"/>
  <c r="AV642" i="3" l="1"/>
  <c r="BG640" i="3"/>
  <c r="BH640" i="3" s="1"/>
  <c r="BI640" i="3" s="1"/>
  <c r="BC641" i="3"/>
  <c r="BD641" i="3" s="1"/>
  <c r="AN644" i="3"/>
  <c r="AY642" i="3"/>
  <c r="AT643" i="3"/>
  <c r="BA642" i="3"/>
  <c r="BQ642" i="3" s="1"/>
  <c r="AU643" i="3"/>
  <c r="Y644" i="3"/>
  <c r="Z644" i="3" s="1"/>
  <c r="AR645" i="3"/>
  <c r="A646" i="3"/>
  <c r="AQ645" i="3"/>
  <c r="B645" i="3"/>
  <c r="C645" i="3"/>
  <c r="AM645" i="3"/>
  <c r="S645" i="3"/>
  <c r="R645" i="3"/>
  <c r="Q645" i="3"/>
  <c r="D645" i="3"/>
  <c r="AK645" i="3"/>
  <c r="AD645" i="3"/>
  <c r="P645" i="3"/>
  <c r="O645" i="3"/>
  <c r="M645" i="3"/>
  <c r="AF645" i="3"/>
  <c r="AE645" i="3"/>
  <c r="U645" i="3"/>
  <c r="V645" i="3"/>
  <c r="G645" i="3"/>
  <c r="H645" i="3" s="1"/>
  <c r="F645" i="3"/>
  <c r="BM645" i="3" s="1"/>
  <c r="T645" i="3"/>
  <c r="AX643" i="3"/>
  <c r="AG644" i="3"/>
  <c r="AO644" i="3"/>
  <c r="BQ641" i="3"/>
  <c r="BF641" i="3"/>
  <c r="BJ640" i="3" s="1"/>
  <c r="BK640" i="3" s="1"/>
  <c r="BB641" i="3"/>
  <c r="AW643" i="3"/>
  <c r="AH644" i="3"/>
  <c r="X644" i="3"/>
  <c r="BC642" i="3" l="1"/>
  <c r="BD642" i="3" s="1"/>
  <c r="BN645" i="3"/>
  <c r="BG641" i="3"/>
  <c r="BH641" i="3" s="1"/>
  <c r="BI641" i="3" s="1"/>
  <c r="AO645" i="3"/>
  <c r="AV643" i="3"/>
  <c r="BB642" i="3"/>
  <c r="BF642" i="3"/>
  <c r="BJ641" i="3" s="1"/>
  <c r="BK641" i="3" s="1"/>
  <c r="AX644" i="3"/>
  <c r="AG645" i="3"/>
  <c r="AY643" i="3"/>
  <c r="BA643" i="3"/>
  <c r="BB643" i="3" s="1"/>
  <c r="AR646" i="3"/>
  <c r="AQ646" i="3"/>
  <c r="B646" i="3"/>
  <c r="A647" i="3"/>
  <c r="C646" i="3"/>
  <c r="AM646" i="3"/>
  <c r="T646" i="3"/>
  <c r="D646" i="3"/>
  <c r="AK646" i="3"/>
  <c r="S646" i="3"/>
  <c r="Q646" i="3"/>
  <c r="R646" i="3"/>
  <c r="AD646" i="3"/>
  <c r="P646" i="3"/>
  <c r="O646" i="3"/>
  <c r="AE646" i="3"/>
  <c r="M646" i="3"/>
  <c r="AF646" i="3"/>
  <c r="V646" i="3"/>
  <c r="U646" i="3"/>
  <c r="F646" i="3"/>
  <c r="BM646" i="3" s="1"/>
  <c r="G646" i="3"/>
  <c r="H646" i="3" s="1"/>
  <c r="AW644" i="3"/>
  <c r="AU644" i="3"/>
  <c r="Y645" i="3"/>
  <c r="Z645" i="3" s="1"/>
  <c r="AH645" i="3"/>
  <c r="AN645" i="3"/>
  <c r="AT644" i="3"/>
  <c r="X645" i="3"/>
  <c r="BG642" i="3" l="1"/>
  <c r="BH642" i="3" s="1"/>
  <c r="BI642" i="3" s="1"/>
  <c r="BN646" i="3"/>
  <c r="AY644" i="3"/>
  <c r="BC643" i="3"/>
  <c r="BD643" i="3" s="1"/>
  <c r="BF643" i="3"/>
  <c r="BJ642" i="3" s="1"/>
  <c r="BK642" i="3" s="1"/>
  <c r="AW645" i="3"/>
  <c r="AU645" i="3"/>
  <c r="AG646" i="3"/>
  <c r="AN646" i="3"/>
  <c r="BQ643" i="3"/>
  <c r="AV644" i="3"/>
  <c r="BA644" i="3"/>
  <c r="AT645" i="3"/>
  <c r="AX645" i="3"/>
  <c r="AH646" i="3"/>
  <c r="AO646" i="3"/>
  <c r="X646" i="3"/>
  <c r="Y646" i="3"/>
  <c r="Z646" i="3" s="1"/>
  <c r="A648" i="3"/>
  <c r="AQ647" i="3"/>
  <c r="AR647" i="3"/>
  <c r="B647" i="3"/>
  <c r="C647" i="3"/>
  <c r="AK647" i="3"/>
  <c r="AM647" i="3"/>
  <c r="D647" i="3"/>
  <c r="R647" i="3"/>
  <c r="Q647" i="3"/>
  <c r="S647" i="3"/>
  <c r="AD647" i="3"/>
  <c r="P647" i="3"/>
  <c r="O647" i="3"/>
  <c r="AE647" i="3"/>
  <c r="V647" i="3"/>
  <c r="M647" i="3"/>
  <c r="AF647" i="3"/>
  <c r="U647" i="3"/>
  <c r="G647" i="3"/>
  <c r="H647" i="3" s="1"/>
  <c r="BN647" i="3" s="1"/>
  <c r="F647" i="3"/>
  <c r="T647" i="3"/>
  <c r="BM647" i="3" l="1"/>
  <c r="BC644" i="3"/>
  <c r="BD644" i="3" s="1"/>
  <c r="BG643" i="3"/>
  <c r="BH643" i="3" s="1"/>
  <c r="BI643" i="3" s="1"/>
  <c r="AT646" i="3"/>
  <c r="AU646" i="3"/>
  <c r="AY645" i="3"/>
  <c r="AO647" i="3"/>
  <c r="AW646" i="3"/>
  <c r="AH647" i="3"/>
  <c r="Y647" i="3"/>
  <c r="Z647" i="3" s="1"/>
  <c r="A649" i="3"/>
  <c r="AR648" i="3"/>
  <c r="B648" i="3"/>
  <c r="AQ648" i="3"/>
  <c r="D648" i="3"/>
  <c r="C648" i="3"/>
  <c r="AK648" i="3"/>
  <c r="R648" i="3"/>
  <c r="AM648" i="3"/>
  <c r="S648" i="3"/>
  <c r="Q648" i="3"/>
  <c r="AD648" i="3"/>
  <c r="P648" i="3"/>
  <c r="O648" i="3"/>
  <c r="M648" i="3"/>
  <c r="U648" i="3"/>
  <c r="V648" i="3"/>
  <c r="AF648" i="3"/>
  <c r="AE648" i="3"/>
  <c r="F648" i="3"/>
  <c r="G648" i="3"/>
  <c r="H648" i="3" s="1"/>
  <c r="BN648" i="3" s="1"/>
  <c r="T648" i="3"/>
  <c r="AV645" i="3"/>
  <c r="BA645" i="3"/>
  <c r="AG647" i="3"/>
  <c r="AN647" i="3"/>
  <c r="X647" i="3"/>
  <c r="AX646" i="3"/>
  <c r="BQ644" i="3"/>
  <c r="BF644" i="3"/>
  <c r="BJ643" i="3" s="1"/>
  <c r="BK643" i="3" s="1"/>
  <c r="BB644" i="3"/>
  <c r="BG644" i="3" l="1"/>
  <c r="BH644" i="3" s="1"/>
  <c r="BI644" i="3" s="1"/>
  <c r="BM648" i="3"/>
  <c r="AV646" i="3"/>
  <c r="AN648" i="3"/>
  <c r="BC645" i="3"/>
  <c r="BD645" i="3" s="1"/>
  <c r="BA646" i="3"/>
  <c r="BB646" i="3" s="1"/>
  <c r="AT647" i="3"/>
  <c r="AU647" i="3"/>
  <c r="AX647" i="3"/>
  <c r="BB645" i="3"/>
  <c r="BF645" i="3"/>
  <c r="BJ644" i="3" s="1"/>
  <c r="BK644" i="3" s="1"/>
  <c r="BQ645" i="3"/>
  <c r="AW647" i="3"/>
  <c r="Y648" i="3"/>
  <c r="Z648" i="3" s="1"/>
  <c r="X648" i="3"/>
  <c r="AY646" i="3"/>
  <c r="AH648" i="3"/>
  <c r="AG648" i="3"/>
  <c r="AR649" i="3"/>
  <c r="A650" i="3"/>
  <c r="AQ649" i="3"/>
  <c r="B649" i="3"/>
  <c r="C649" i="3"/>
  <c r="D649" i="3"/>
  <c r="AM649" i="3"/>
  <c r="AK649" i="3"/>
  <c r="R649" i="3"/>
  <c r="Q649" i="3"/>
  <c r="S649" i="3"/>
  <c r="AD649" i="3"/>
  <c r="P649" i="3"/>
  <c r="O649" i="3"/>
  <c r="M649" i="3"/>
  <c r="AE649" i="3"/>
  <c r="AF649" i="3"/>
  <c r="V649" i="3"/>
  <c r="U649" i="3"/>
  <c r="F649" i="3"/>
  <c r="G649" i="3"/>
  <c r="H649" i="3" s="1"/>
  <c r="T649" i="3"/>
  <c r="AO648" i="3"/>
  <c r="BC646" i="3" l="1"/>
  <c r="BG646" i="3" s="1"/>
  <c r="BH646" i="3" s="1"/>
  <c r="BI646" i="3" s="1"/>
  <c r="BG645" i="3"/>
  <c r="BH645" i="3" s="1"/>
  <c r="BI645" i="3" s="1"/>
  <c r="BQ646" i="3"/>
  <c r="BN649" i="3"/>
  <c r="BF646" i="3"/>
  <c r="BJ645" i="3" s="1"/>
  <c r="BK645" i="3" s="1"/>
  <c r="AY647" i="3"/>
  <c r="AV647" i="3"/>
  <c r="AW648" i="3"/>
  <c r="AN649" i="3"/>
  <c r="BA647" i="3"/>
  <c r="BF647" i="3" s="1"/>
  <c r="AR650" i="3"/>
  <c r="AQ650" i="3"/>
  <c r="B650" i="3"/>
  <c r="A651" i="3"/>
  <c r="C650" i="3"/>
  <c r="D650" i="3"/>
  <c r="S650" i="3"/>
  <c r="Q650" i="3"/>
  <c r="R650" i="3"/>
  <c r="AM650" i="3"/>
  <c r="AK650" i="3"/>
  <c r="AD650" i="3"/>
  <c r="P650" i="3"/>
  <c r="O650" i="3"/>
  <c r="M650" i="3"/>
  <c r="AF650" i="3"/>
  <c r="U650" i="3"/>
  <c r="V650" i="3"/>
  <c r="AE650" i="3"/>
  <c r="G650" i="3"/>
  <c r="H650" i="3" s="1"/>
  <c r="F650" i="3"/>
  <c r="BM650" i="3" s="1"/>
  <c r="T650" i="3"/>
  <c r="X649" i="3"/>
  <c r="Y649" i="3"/>
  <c r="Z649" i="3" s="1"/>
  <c r="BM649" i="3"/>
  <c r="AG649" i="3"/>
  <c r="AH649" i="3"/>
  <c r="AO649" i="3"/>
  <c r="AU648" i="3"/>
  <c r="AX648" i="3"/>
  <c r="AT648" i="3"/>
  <c r="BD646" i="3" l="1"/>
  <c r="BN650" i="3"/>
  <c r="BJ646" i="3"/>
  <c r="BK646" i="3" s="1"/>
  <c r="AY648" i="3"/>
  <c r="BC647" i="3"/>
  <c r="BG647" i="3" s="1"/>
  <c r="BH647" i="3" s="1"/>
  <c r="BI647" i="3" s="1"/>
  <c r="AT649" i="3"/>
  <c r="BQ647" i="3"/>
  <c r="BB647" i="3"/>
  <c r="AU649" i="3"/>
  <c r="AW649" i="3"/>
  <c r="AV648" i="3"/>
  <c r="BA648" i="3"/>
  <c r="AN650" i="3"/>
  <c r="AO650" i="3"/>
  <c r="Y650" i="3"/>
  <c r="Z650" i="3" s="1"/>
  <c r="AX649" i="3"/>
  <c r="AG650" i="3"/>
  <c r="X650" i="3"/>
  <c r="A652" i="3"/>
  <c r="AQ651" i="3"/>
  <c r="AR651" i="3"/>
  <c r="B651" i="3"/>
  <c r="C651" i="3"/>
  <c r="AM651" i="3"/>
  <c r="AK651" i="3"/>
  <c r="T651" i="3"/>
  <c r="S651" i="3"/>
  <c r="R651" i="3"/>
  <c r="Q651" i="3"/>
  <c r="D651" i="3"/>
  <c r="AD651" i="3"/>
  <c r="O651" i="3"/>
  <c r="M651" i="3"/>
  <c r="U651" i="3"/>
  <c r="V651" i="3"/>
  <c r="P651" i="3"/>
  <c r="AE651" i="3"/>
  <c r="AF651" i="3"/>
  <c r="G651" i="3"/>
  <c r="H651" i="3" s="1"/>
  <c r="F651" i="3"/>
  <c r="AH650" i="3"/>
  <c r="BD647" i="3" l="1"/>
  <c r="BC648" i="3"/>
  <c r="BD648" i="3" s="1"/>
  <c r="BM651" i="3"/>
  <c r="AN651" i="3"/>
  <c r="AV649" i="3"/>
  <c r="AH651" i="3"/>
  <c r="AW650" i="3"/>
  <c r="AY649" i="3"/>
  <c r="BB648" i="3"/>
  <c r="BF648" i="3"/>
  <c r="BJ647" i="3" s="1"/>
  <c r="BK647" i="3" s="1"/>
  <c r="BQ648" i="3"/>
  <c r="A653" i="3"/>
  <c r="AR652" i="3"/>
  <c r="B652" i="3"/>
  <c r="AQ652" i="3"/>
  <c r="D652" i="3"/>
  <c r="C652" i="3"/>
  <c r="AK652" i="3"/>
  <c r="AM652" i="3"/>
  <c r="Q652" i="3"/>
  <c r="S652" i="3"/>
  <c r="R652" i="3"/>
  <c r="AD652" i="3"/>
  <c r="P652" i="3"/>
  <c r="O652" i="3"/>
  <c r="AF652" i="3"/>
  <c r="AE652" i="3"/>
  <c r="U652" i="3"/>
  <c r="M652" i="3"/>
  <c r="V652" i="3"/>
  <c r="G652" i="3"/>
  <c r="H652" i="3" s="1"/>
  <c r="F652" i="3"/>
  <c r="T652" i="3"/>
  <c r="AU650" i="3"/>
  <c r="AX650" i="3"/>
  <c r="AY650" i="3" s="1"/>
  <c r="BN651" i="3"/>
  <c r="AG651" i="3"/>
  <c r="AO651" i="3"/>
  <c r="X651" i="3"/>
  <c r="BA649" i="3"/>
  <c r="Y651" i="3"/>
  <c r="Z651" i="3" s="1"/>
  <c r="AT650" i="3"/>
  <c r="BG648" i="3" l="1"/>
  <c r="BH648" i="3" s="1"/>
  <c r="BI648" i="3" s="1"/>
  <c r="BM652" i="3"/>
  <c r="AO652" i="3"/>
  <c r="BC649" i="3"/>
  <c r="BG649" i="3" s="1"/>
  <c r="BH649" i="3" s="1"/>
  <c r="BI649" i="3" s="1"/>
  <c r="AW651" i="3"/>
  <c r="AU651" i="3"/>
  <c r="AV650" i="3"/>
  <c r="BC650" i="3" s="1"/>
  <c r="BA650" i="3"/>
  <c r="AX651" i="3"/>
  <c r="AT651" i="3"/>
  <c r="Y652" i="3"/>
  <c r="Z652" i="3" s="1"/>
  <c r="BN652" i="3"/>
  <c r="AG652" i="3"/>
  <c r="AH652" i="3"/>
  <c r="AN652" i="3"/>
  <c r="X652" i="3"/>
  <c r="BF649" i="3"/>
  <c r="BJ648" i="3" s="1"/>
  <c r="BK648" i="3" s="1"/>
  <c r="BB649" i="3"/>
  <c r="BQ649" i="3"/>
  <c r="AQ653" i="3"/>
  <c r="B653" i="3"/>
  <c r="A654" i="3"/>
  <c r="AR653" i="3"/>
  <c r="C653" i="3"/>
  <c r="S653" i="3"/>
  <c r="Q653" i="3"/>
  <c r="D653" i="3"/>
  <c r="AK653" i="3"/>
  <c r="AM653" i="3"/>
  <c r="T653" i="3"/>
  <c r="R653" i="3"/>
  <c r="AD653" i="3"/>
  <c r="P653" i="3"/>
  <c r="O653" i="3"/>
  <c r="AE653" i="3"/>
  <c r="AF653" i="3"/>
  <c r="V653" i="3"/>
  <c r="U653" i="3"/>
  <c r="M653" i="3"/>
  <c r="G653" i="3"/>
  <c r="H653" i="3" s="1"/>
  <c r="F653" i="3"/>
  <c r="BN653" i="3" l="1"/>
  <c r="BD649" i="3"/>
  <c r="AY651" i="3"/>
  <c r="AT652" i="3"/>
  <c r="AO653" i="3"/>
  <c r="AX652" i="3"/>
  <c r="BD650" i="3"/>
  <c r="BG650" i="3"/>
  <c r="BH650" i="3" s="1"/>
  <c r="BI650" i="3" s="1"/>
  <c r="AR654" i="3"/>
  <c r="AQ654" i="3"/>
  <c r="B654" i="3"/>
  <c r="A655" i="3"/>
  <c r="C654" i="3"/>
  <c r="S654" i="3"/>
  <c r="AM654" i="3"/>
  <c r="AK654" i="3"/>
  <c r="D654" i="3"/>
  <c r="T654" i="3"/>
  <c r="R654" i="3"/>
  <c r="Q654" i="3"/>
  <c r="AD654" i="3"/>
  <c r="P654" i="3"/>
  <c r="AE654" i="3"/>
  <c r="V654" i="3"/>
  <c r="O654" i="3"/>
  <c r="M654" i="3"/>
  <c r="AF654" i="3"/>
  <c r="U654" i="3"/>
  <c r="G654" i="3"/>
  <c r="H654" i="3" s="1"/>
  <c r="BN654" i="3" s="1"/>
  <c r="F654" i="3"/>
  <c r="Y653" i="3"/>
  <c r="Z653" i="3" s="1"/>
  <c r="BB650" i="3"/>
  <c r="BQ650" i="3"/>
  <c r="BF650" i="3"/>
  <c r="BJ649" i="3" s="1"/>
  <c r="BK649" i="3" s="1"/>
  <c r="BM653" i="3"/>
  <c r="AG653" i="3"/>
  <c r="AN653" i="3"/>
  <c r="AU652" i="3"/>
  <c r="AW652" i="3"/>
  <c r="AV651" i="3"/>
  <c r="BA651" i="3"/>
  <c r="AH653" i="3"/>
  <c r="X653" i="3"/>
  <c r="AV652" i="3" l="1"/>
  <c r="BC651" i="3"/>
  <c r="BG651" i="3" s="1"/>
  <c r="BH651" i="3" s="1"/>
  <c r="BI651" i="3" s="1"/>
  <c r="BM654" i="3"/>
  <c r="AO654" i="3"/>
  <c r="AH654" i="3"/>
  <c r="AX653" i="3"/>
  <c r="AY652" i="3"/>
  <c r="BA652" i="3"/>
  <c r="BQ652" i="3" s="1"/>
  <c r="AU653" i="3"/>
  <c r="BF651" i="3"/>
  <c r="BJ650" i="3" s="1"/>
  <c r="BK650" i="3" s="1"/>
  <c r="BQ651" i="3"/>
  <c r="BB651" i="3"/>
  <c r="AT653" i="3"/>
  <c r="AW653" i="3"/>
  <c r="AG654" i="3"/>
  <c r="Y654" i="3"/>
  <c r="Z654" i="3" s="1"/>
  <c r="AN654" i="3"/>
  <c r="X654" i="3"/>
  <c r="A656" i="3"/>
  <c r="AQ655" i="3"/>
  <c r="AR655" i="3"/>
  <c r="B655" i="3"/>
  <c r="C655" i="3"/>
  <c r="D655" i="3"/>
  <c r="AM655" i="3"/>
  <c r="T655" i="3"/>
  <c r="Q655" i="3"/>
  <c r="S655" i="3"/>
  <c r="R655" i="3"/>
  <c r="AD655" i="3"/>
  <c r="AK655" i="3"/>
  <c r="O655" i="3"/>
  <c r="M655" i="3"/>
  <c r="P655" i="3"/>
  <c r="AE655" i="3"/>
  <c r="AF655" i="3"/>
  <c r="U655" i="3"/>
  <c r="V655" i="3"/>
  <c r="G655" i="3"/>
  <c r="H655" i="3" s="1"/>
  <c r="F655" i="3"/>
  <c r="BC652" i="3" l="1"/>
  <c r="BD652" i="3" s="1"/>
  <c r="AO655" i="3"/>
  <c r="BD651" i="3"/>
  <c r="BM655" i="3"/>
  <c r="BN655" i="3"/>
  <c r="AT654" i="3"/>
  <c r="AX654" i="3"/>
  <c r="AU654" i="3"/>
  <c r="AV653" i="3"/>
  <c r="AY653" i="3"/>
  <c r="BF652" i="3"/>
  <c r="BJ651" i="3" s="1"/>
  <c r="BK651" i="3" s="1"/>
  <c r="BB652" i="3"/>
  <c r="BA653" i="3"/>
  <c r="BF653" i="3" s="1"/>
  <c r="AG655" i="3"/>
  <c r="Y655" i="3"/>
  <c r="Z655" i="3" s="1"/>
  <c r="AH655" i="3"/>
  <c r="AW654" i="3"/>
  <c r="A657" i="3"/>
  <c r="AR656" i="3"/>
  <c r="B656" i="3"/>
  <c r="AQ656" i="3"/>
  <c r="C656" i="3"/>
  <c r="D656" i="3"/>
  <c r="AK656" i="3"/>
  <c r="T656" i="3"/>
  <c r="S656" i="3"/>
  <c r="AM656" i="3"/>
  <c r="R656" i="3"/>
  <c r="Q656" i="3"/>
  <c r="AD656" i="3"/>
  <c r="O656" i="3"/>
  <c r="AF656" i="3"/>
  <c r="AE656" i="3"/>
  <c r="M656" i="3"/>
  <c r="U656" i="3"/>
  <c r="P656" i="3"/>
  <c r="V656" i="3"/>
  <c r="F656" i="3"/>
  <c r="G656" i="3"/>
  <c r="H656" i="3" s="1"/>
  <c r="AN655" i="3"/>
  <c r="X655" i="3"/>
  <c r="BM656" i="3" l="1"/>
  <c r="BN656" i="3"/>
  <c r="BG652" i="3"/>
  <c r="BH652" i="3" s="1"/>
  <c r="BI652" i="3" s="1"/>
  <c r="AV654" i="3"/>
  <c r="BJ652" i="3"/>
  <c r="BK652" i="3" s="1"/>
  <c r="AT655" i="3"/>
  <c r="BC653" i="3"/>
  <c r="BD653" i="3" s="1"/>
  <c r="AY654" i="3"/>
  <c r="BB653" i="3"/>
  <c r="BQ653" i="3"/>
  <c r="AN656" i="3"/>
  <c r="AG656" i="3"/>
  <c r="AR657" i="3"/>
  <c r="A658" i="3"/>
  <c r="AQ657" i="3"/>
  <c r="B657" i="3"/>
  <c r="C657" i="3"/>
  <c r="Q657" i="3"/>
  <c r="R657" i="3"/>
  <c r="D657" i="3"/>
  <c r="AM657" i="3"/>
  <c r="AK657" i="3"/>
  <c r="S657" i="3"/>
  <c r="AD657" i="3"/>
  <c r="P657" i="3"/>
  <c r="O657" i="3"/>
  <c r="AE657" i="3"/>
  <c r="M657" i="3"/>
  <c r="V657" i="3"/>
  <c r="U657" i="3"/>
  <c r="AF657" i="3"/>
  <c r="F657" i="3"/>
  <c r="G657" i="3"/>
  <c r="H657" i="3" s="1"/>
  <c r="T657" i="3"/>
  <c r="Y656" i="3"/>
  <c r="Z656" i="3" s="1"/>
  <c r="AX655" i="3"/>
  <c r="AW655" i="3"/>
  <c r="AH656" i="3"/>
  <c r="AO656" i="3"/>
  <c r="X656" i="3"/>
  <c r="AU655" i="3"/>
  <c r="BA654" i="3"/>
  <c r="BC654" i="3" l="1"/>
  <c r="BD654" i="3" s="1"/>
  <c r="BG653" i="3"/>
  <c r="BH653" i="3" s="1"/>
  <c r="BI653" i="3" s="1"/>
  <c r="AY655" i="3"/>
  <c r="BM657" i="3"/>
  <c r="BA655" i="3"/>
  <c r="BF655" i="3" s="1"/>
  <c r="AO657" i="3"/>
  <c r="AX656" i="3"/>
  <c r="AV655" i="3"/>
  <c r="Y657" i="3"/>
  <c r="Z657" i="3" s="1"/>
  <c r="BB654" i="3"/>
  <c r="BQ654" i="3"/>
  <c r="BF654" i="3"/>
  <c r="AR658" i="3"/>
  <c r="B658" i="3"/>
  <c r="AQ658" i="3"/>
  <c r="A659" i="3"/>
  <c r="C658" i="3"/>
  <c r="AK658" i="3"/>
  <c r="D658" i="3"/>
  <c r="AM658" i="3"/>
  <c r="T658" i="3"/>
  <c r="S658" i="3"/>
  <c r="Q658" i="3"/>
  <c r="AD658" i="3"/>
  <c r="P658" i="3"/>
  <c r="AE658" i="3"/>
  <c r="O658" i="3"/>
  <c r="U658" i="3"/>
  <c r="V658" i="3"/>
  <c r="M658" i="3"/>
  <c r="AF658" i="3"/>
  <c r="R658" i="3"/>
  <c r="G658" i="3"/>
  <c r="H658" i="3" s="1"/>
  <c r="F658" i="3"/>
  <c r="AT656" i="3"/>
  <c r="AU656" i="3"/>
  <c r="AW656" i="3"/>
  <c r="BN657" i="3"/>
  <c r="AH657" i="3"/>
  <c r="AG657" i="3"/>
  <c r="AN657" i="3"/>
  <c r="X657" i="3"/>
  <c r="BG654" i="3" l="1"/>
  <c r="BH654" i="3" s="1"/>
  <c r="BI654" i="3" s="1"/>
  <c r="BN658" i="3"/>
  <c r="AY656" i="3"/>
  <c r="AN658" i="3"/>
  <c r="BQ655" i="3"/>
  <c r="BC655" i="3"/>
  <c r="BD655" i="3" s="1"/>
  <c r="BM658" i="3"/>
  <c r="AG658" i="3"/>
  <c r="BB655" i="3"/>
  <c r="AU657" i="3"/>
  <c r="AV656" i="3"/>
  <c r="AR659" i="3"/>
  <c r="B659" i="3"/>
  <c r="AQ659" i="3"/>
  <c r="A660" i="3"/>
  <c r="C659" i="3"/>
  <c r="D659" i="3"/>
  <c r="AM659" i="3"/>
  <c r="AK659" i="3"/>
  <c r="S659" i="3"/>
  <c r="Q659" i="3"/>
  <c r="R659" i="3"/>
  <c r="P659" i="3"/>
  <c r="AD659" i="3"/>
  <c r="AE659" i="3"/>
  <c r="U659" i="3"/>
  <c r="O659" i="3"/>
  <c r="M659" i="3"/>
  <c r="AF659" i="3"/>
  <c r="V659" i="3"/>
  <c r="G659" i="3"/>
  <c r="H659" i="3" s="1"/>
  <c r="F659" i="3"/>
  <c r="BM659" i="3" s="1"/>
  <c r="T659" i="3"/>
  <c r="BJ654" i="3"/>
  <c r="BK654" i="3" s="1"/>
  <c r="BJ653" i="3"/>
  <c r="BK653" i="3" s="1"/>
  <c r="Y658" i="3"/>
  <c r="Z658" i="3" s="1"/>
  <c r="AX657" i="3"/>
  <c r="AH658" i="3"/>
  <c r="AO658" i="3"/>
  <c r="AT657" i="3"/>
  <c r="AW657" i="3"/>
  <c r="BA656" i="3"/>
  <c r="X658" i="3"/>
  <c r="BN659" i="3" l="1"/>
  <c r="BG655" i="3"/>
  <c r="BH655" i="3" s="1"/>
  <c r="BI655" i="3" s="1"/>
  <c r="BC656" i="3"/>
  <c r="BG656" i="3" s="1"/>
  <c r="BH656" i="3" s="1"/>
  <c r="BI656" i="3" s="1"/>
  <c r="AT658" i="3"/>
  <c r="AY657" i="3"/>
  <c r="AU658" i="3"/>
  <c r="AW658" i="3"/>
  <c r="Y659" i="3"/>
  <c r="Z659" i="3" s="1"/>
  <c r="AO659" i="3"/>
  <c r="A661" i="3"/>
  <c r="AR660" i="3"/>
  <c r="B660" i="3"/>
  <c r="AQ660" i="3"/>
  <c r="D660" i="3"/>
  <c r="AM660" i="3"/>
  <c r="C660" i="3"/>
  <c r="S660" i="3"/>
  <c r="AD660" i="3"/>
  <c r="P660" i="3"/>
  <c r="AK660" i="3"/>
  <c r="R660" i="3"/>
  <c r="Q660" i="3"/>
  <c r="O660" i="3"/>
  <c r="AF660" i="3"/>
  <c r="AE660" i="3"/>
  <c r="M660" i="3"/>
  <c r="V660" i="3"/>
  <c r="F660" i="3"/>
  <c r="BM660" i="3" s="1"/>
  <c r="U660" i="3"/>
  <c r="G660" i="3"/>
  <c r="H660" i="3" s="1"/>
  <c r="BN660" i="3" s="1"/>
  <c r="T660" i="3"/>
  <c r="BF656" i="3"/>
  <c r="BJ655" i="3" s="1"/>
  <c r="BK655" i="3" s="1"/>
  <c r="BQ656" i="3"/>
  <c r="BB656" i="3"/>
  <c r="AV657" i="3"/>
  <c r="BA657" i="3"/>
  <c r="AG659" i="3"/>
  <c r="AX658" i="3"/>
  <c r="AH659" i="3"/>
  <c r="AN659" i="3"/>
  <c r="X659" i="3"/>
  <c r="AY658" i="3" l="1"/>
  <c r="BD656" i="3"/>
  <c r="AV658" i="3"/>
  <c r="BC657" i="3"/>
  <c r="BD657" i="3" s="1"/>
  <c r="AO660" i="3"/>
  <c r="AX659" i="3"/>
  <c r="AT659" i="3"/>
  <c r="BQ657" i="3"/>
  <c r="BB657" i="3"/>
  <c r="BF657" i="3"/>
  <c r="AQ661" i="3"/>
  <c r="B661" i="3"/>
  <c r="A662" i="3"/>
  <c r="AR661" i="3"/>
  <c r="C661" i="3"/>
  <c r="D661" i="3"/>
  <c r="AM661" i="3"/>
  <c r="T661" i="3"/>
  <c r="AK661" i="3"/>
  <c r="R661" i="3"/>
  <c r="Q661" i="3"/>
  <c r="AD661" i="3"/>
  <c r="S661" i="3"/>
  <c r="M661" i="3"/>
  <c r="AF661" i="3"/>
  <c r="V661" i="3"/>
  <c r="P661" i="3"/>
  <c r="O661" i="3"/>
  <c r="AE661" i="3"/>
  <c r="U661" i="3"/>
  <c r="G661" i="3"/>
  <c r="H661" i="3" s="1"/>
  <c r="F661" i="3"/>
  <c r="AH660" i="3"/>
  <c r="X660" i="3"/>
  <c r="AU659" i="3"/>
  <c r="AW659" i="3"/>
  <c r="Y660" i="3"/>
  <c r="Z660" i="3" s="1"/>
  <c r="AG660" i="3"/>
  <c r="AN660" i="3"/>
  <c r="BA658" i="3"/>
  <c r="AO661" i="3" l="1"/>
  <c r="BC658" i="3"/>
  <c r="BG658" i="3" s="1"/>
  <c r="BH658" i="3" s="1"/>
  <c r="BI658" i="3" s="1"/>
  <c r="BG657" i="3"/>
  <c r="BH657" i="3" s="1"/>
  <c r="BI657" i="3" s="1"/>
  <c r="BN661" i="3"/>
  <c r="AY659" i="3"/>
  <c r="AV659" i="3"/>
  <c r="AU660" i="3"/>
  <c r="AG661" i="3"/>
  <c r="AW660" i="3"/>
  <c r="BA659" i="3"/>
  <c r="BQ659" i="3" s="1"/>
  <c r="AT660" i="3"/>
  <c r="AX660" i="3"/>
  <c r="AR662" i="3"/>
  <c r="AQ662" i="3"/>
  <c r="B662" i="3"/>
  <c r="A663" i="3"/>
  <c r="C662" i="3"/>
  <c r="D662" i="3"/>
  <c r="S662" i="3"/>
  <c r="AK662" i="3"/>
  <c r="AM662" i="3"/>
  <c r="R662" i="3"/>
  <c r="Q662" i="3"/>
  <c r="AD662" i="3"/>
  <c r="P662" i="3"/>
  <c r="AE662" i="3"/>
  <c r="AF662" i="3"/>
  <c r="V662" i="3"/>
  <c r="O662" i="3"/>
  <c r="M662" i="3"/>
  <c r="U662" i="3"/>
  <c r="G662" i="3"/>
  <c r="H662" i="3" s="1"/>
  <c r="F662" i="3"/>
  <c r="BM662" i="3" s="1"/>
  <c r="T662" i="3"/>
  <c r="BQ658" i="3"/>
  <c r="BF658" i="3"/>
  <c r="BJ657" i="3" s="1"/>
  <c r="BK657" i="3" s="1"/>
  <c r="BB658" i="3"/>
  <c r="Y661" i="3"/>
  <c r="Z661" i="3" s="1"/>
  <c r="BJ656" i="3"/>
  <c r="BK656" i="3" s="1"/>
  <c r="AH661" i="3"/>
  <c r="AN661" i="3"/>
  <c r="X661" i="3"/>
  <c r="BM661" i="3"/>
  <c r="AU661" i="3" l="1"/>
  <c r="BN662" i="3"/>
  <c r="BD658" i="3"/>
  <c r="BC659" i="3"/>
  <c r="BG659" i="3" s="1"/>
  <c r="BH659" i="3" s="1"/>
  <c r="BI659" i="3" s="1"/>
  <c r="AY660" i="3"/>
  <c r="AN662" i="3"/>
  <c r="AT661" i="3"/>
  <c r="AV661" i="3" s="1"/>
  <c r="AW661" i="3"/>
  <c r="AH662" i="3"/>
  <c r="BF659" i="3"/>
  <c r="BJ658" i="3" s="1"/>
  <c r="BK658" i="3" s="1"/>
  <c r="BB659" i="3"/>
  <c r="AV660" i="3"/>
  <c r="BA660" i="3"/>
  <c r="AR663" i="3"/>
  <c r="A664" i="3"/>
  <c r="AQ663" i="3"/>
  <c r="B663" i="3"/>
  <c r="C663" i="3"/>
  <c r="AM663" i="3"/>
  <c r="Q663" i="3"/>
  <c r="D663" i="3"/>
  <c r="AK663" i="3"/>
  <c r="T663" i="3"/>
  <c r="S663" i="3"/>
  <c r="R663" i="3"/>
  <c r="AD663" i="3"/>
  <c r="P663" i="3"/>
  <c r="O663" i="3"/>
  <c r="AE663" i="3"/>
  <c r="M663" i="3"/>
  <c r="AF663" i="3"/>
  <c r="V663" i="3"/>
  <c r="U663" i="3"/>
  <c r="F663" i="3"/>
  <c r="BM663" i="3" s="1"/>
  <c r="G663" i="3"/>
  <c r="H663" i="3" s="1"/>
  <c r="X662" i="3"/>
  <c r="AX661" i="3"/>
  <c r="Y662" i="3"/>
  <c r="Z662" i="3" s="1"/>
  <c r="AG662" i="3"/>
  <c r="AO662" i="3"/>
  <c r="BN663" i="3" l="1"/>
  <c r="BD659" i="3"/>
  <c r="AU662" i="3"/>
  <c r="BC660" i="3"/>
  <c r="BD660" i="3" s="1"/>
  <c r="AN663" i="3"/>
  <c r="AY661" i="3"/>
  <c r="BC661" i="3" s="1"/>
  <c r="Y663" i="3"/>
  <c r="Z663" i="3" s="1"/>
  <c r="A665" i="3"/>
  <c r="AR664" i="3"/>
  <c r="B664" i="3"/>
  <c r="AQ664" i="3"/>
  <c r="C664" i="3"/>
  <c r="D664" i="3"/>
  <c r="AK664" i="3"/>
  <c r="S664" i="3"/>
  <c r="Q664" i="3"/>
  <c r="AM664" i="3"/>
  <c r="AD664" i="3"/>
  <c r="P664" i="3"/>
  <c r="T664" i="3"/>
  <c r="R664" i="3"/>
  <c r="AF664" i="3"/>
  <c r="U664" i="3"/>
  <c r="O664" i="3"/>
  <c r="AE664" i="3"/>
  <c r="M664" i="3"/>
  <c r="V664" i="3"/>
  <c r="G664" i="3"/>
  <c r="H664" i="3" s="1"/>
  <c r="F664" i="3"/>
  <c r="BB660" i="3"/>
  <c r="BQ660" i="3"/>
  <c r="BF660" i="3"/>
  <c r="BJ659" i="3" s="1"/>
  <c r="BK659" i="3" s="1"/>
  <c r="AG663" i="3"/>
  <c r="AW662" i="3"/>
  <c r="AT662" i="3"/>
  <c r="AX662" i="3"/>
  <c r="AH663" i="3"/>
  <c r="AO663" i="3"/>
  <c r="X663" i="3"/>
  <c r="BA661" i="3"/>
  <c r="BM664" i="3" l="1"/>
  <c r="AN664" i="3"/>
  <c r="BG660" i="3"/>
  <c r="BH660" i="3" s="1"/>
  <c r="BI660" i="3" s="1"/>
  <c r="AU663" i="3"/>
  <c r="AG664" i="3"/>
  <c r="BQ661" i="3"/>
  <c r="BB661" i="3"/>
  <c r="BF661" i="3"/>
  <c r="Y664" i="3"/>
  <c r="Z664" i="3" s="1"/>
  <c r="BA662" i="3"/>
  <c r="AV662" i="3"/>
  <c r="BD661" i="3"/>
  <c r="BG661" i="3"/>
  <c r="BH661" i="3" s="1"/>
  <c r="BI661" i="3" s="1"/>
  <c r="AR665" i="3"/>
  <c r="A666" i="3"/>
  <c r="AQ665" i="3"/>
  <c r="B665" i="3"/>
  <c r="C665" i="3"/>
  <c r="D665" i="3"/>
  <c r="T665" i="3"/>
  <c r="AM665" i="3"/>
  <c r="AK665" i="3"/>
  <c r="S665" i="3"/>
  <c r="Q665" i="3"/>
  <c r="P665" i="3"/>
  <c r="AD665" i="3"/>
  <c r="AE665" i="3"/>
  <c r="M665" i="3"/>
  <c r="V665" i="3"/>
  <c r="U665" i="3"/>
  <c r="O665" i="3"/>
  <c r="AF665" i="3"/>
  <c r="R665" i="3"/>
  <c r="G665" i="3"/>
  <c r="H665" i="3" s="1"/>
  <c r="F665" i="3"/>
  <c r="AY662" i="3"/>
  <c r="AW663" i="3"/>
  <c r="AT663" i="3"/>
  <c r="AX663" i="3"/>
  <c r="BN664" i="3"/>
  <c r="AH664" i="3"/>
  <c r="AO664" i="3"/>
  <c r="X664" i="3"/>
  <c r="AX664" i="3" l="1"/>
  <c r="BN665" i="3"/>
  <c r="AY663" i="3"/>
  <c r="AH665" i="3"/>
  <c r="AO665" i="3"/>
  <c r="BQ662" i="3"/>
  <c r="BB662" i="3"/>
  <c r="BF662" i="3"/>
  <c r="BJ661" i="3" s="1"/>
  <c r="BK661" i="3" s="1"/>
  <c r="AV663" i="3"/>
  <c r="BA663" i="3"/>
  <c r="Y665" i="3"/>
  <c r="Z665" i="3" s="1"/>
  <c r="AR666" i="3"/>
  <c r="AQ666" i="3"/>
  <c r="B666" i="3"/>
  <c r="A667" i="3"/>
  <c r="AM666" i="3"/>
  <c r="T666" i="3"/>
  <c r="S666" i="3"/>
  <c r="C666" i="3"/>
  <c r="D666" i="3"/>
  <c r="R666" i="3"/>
  <c r="Q666" i="3"/>
  <c r="AK666" i="3"/>
  <c r="AD666" i="3"/>
  <c r="AE666" i="3"/>
  <c r="M666" i="3"/>
  <c r="P666" i="3"/>
  <c r="O666" i="3"/>
  <c r="AF666" i="3"/>
  <c r="V666" i="3"/>
  <c r="U666" i="3"/>
  <c r="F666" i="3"/>
  <c r="G666" i="3"/>
  <c r="H666" i="3" s="1"/>
  <c r="BJ660" i="3"/>
  <c r="BK660" i="3" s="1"/>
  <c r="AT664" i="3"/>
  <c r="AW664" i="3"/>
  <c r="X665" i="3"/>
  <c r="AU664" i="3"/>
  <c r="BM665" i="3"/>
  <c r="AG665" i="3"/>
  <c r="AN665" i="3"/>
  <c r="BC662" i="3"/>
  <c r="AY664" i="3" l="1"/>
  <c r="BC663" i="3"/>
  <c r="BD663" i="3" s="1"/>
  <c r="BM666" i="3"/>
  <c r="AT665" i="3"/>
  <c r="AV664" i="3"/>
  <c r="AN666" i="3"/>
  <c r="AX665" i="3"/>
  <c r="Y666" i="3"/>
  <c r="Z666" i="3" s="1"/>
  <c r="BG662" i="3"/>
  <c r="BH662" i="3" s="1"/>
  <c r="BI662" i="3" s="1"/>
  <c r="BD662" i="3"/>
  <c r="A668" i="3"/>
  <c r="AQ667" i="3"/>
  <c r="AR667" i="3"/>
  <c r="B667" i="3"/>
  <c r="C667" i="3"/>
  <c r="D667" i="3"/>
  <c r="AM667" i="3"/>
  <c r="AK667" i="3"/>
  <c r="S667" i="3"/>
  <c r="AD667" i="3"/>
  <c r="R667" i="3"/>
  <c r="Q667" i="3"/>
  <c r="P667" i="3"/>
  <c r="O667" i="3"/>
  <c r="AE667" i="3"/>
  <c r="M667" i="3"/>
  <c r="AF667" i="3"/>
  <c r="U667" i="3"/>
  <c r="V667" i="3"/>
  <c r="F667" i="3"/>
  <c r="G667" i="3"/>
  <c r="H667" i="3" s="1"/>
  <c r="T667" i="3"/>
  <c r="BB663" i="3"/>
  <c r="BQ663" i="3"/>
  <c r="BF663" i="3"/>
  <c r="BJ662" i="3" s="1"/>
  <c r="BK662" i="3" s="1"/>
  <c r="AW665" i="3"/>
  <c r="AU665" i="3"/>
  <c r="BA664" i="3"/>
  <c r="BN666" i="3"/>
  <c r="AH666" i="3"/>
  <c r="AG666" i="3"/>
  <c r="AO666" i="3"/>
  <c r="X666" i="3"/>
  <c r="BC664" i="3" l="1"/>
  <c r="BD664" i="3" s="1"/>
  <c r="BG663" i="3"/>
  <c r="BH663" i="3" s="1"/>
  <c r="BI663" i="3" s="1"/>
  <c r="BM667" i="3"/>
  <c r="AV665" i="3"/>
  <c r="AY665" i="3"/>
  <c r="AO667" i="3"/>
  <c r="AW666" i="3"/>
  <c r="AH667" i="3"/>
  <c r="Y667" i="3"/>
  <c r="Z667" i="3" s="1"/>
  <c r="BB664" i="3"/>
  <c r="BQ664" i="3"/>
  <c r="BF664" i="3"/>
  <c r="BJ663" i="3" s="1"/>
  <c r="BK663" i="3" s="1"/>
  <c r="A669" i="3"/>
  <c r="AR668" i="3"/>
  <c r="B668" i="3"/>
  <c r="AQ668" i="3"/>
  <c r="C668" i="3"/>
  <c r="S668" i="3"/>
  <c r="D668" i="3"/>
  <c r="AM668" i="3"/>
  <c r="AK668" i="3"/>
  <c r="T668" i="3"/>
  <c r="Q668" i="3"/>
  <c r="AD668" i="3"/>
  <c r="P668" i="3"/>
  <c r="O668" i="3"/>
  <c r="M668" i="3"/>
  <c r="AE668" i="3"/>
  <c r="AF668" i="3"/>
  <c r="V668" i="3"/>
  <c r="U668" i="3"/>
  <c r="R668" i="3"/>
  <c r="F668" i="3"/>
  <c r="BM668" i="3" s="1"/>
  <c r="G668" i="3"/>
  <c r="H668" i="3" s="1"/>
  <c r="AT666" i="3"/>
  <c r="BA665" i="3"/>
  <c r="AU666" i="3"/>
  <c r="AX666" i="3"/>
  <c r="BN667" i="3"/>
  <c r="AG667" i="3"/>
  <c r="AN667" i="3"/>
  <c r="X667" i="3"/>
  <c r="AY666" i="3" l="1"/>
  <c r="BG664" i="3"/>
  <c r="BH664" i="3" s="1"/>
  <c r="BI664" i="3" s="1"/>
  <c r="BC665" i="3"/>
  <c r="BD665" i="3" s="1"/>
  <c r="AW667" i="3"/>
  <c r="AO668" i="3"/>
  <c r="Y668" i="3"/>
  <c r="Z668" i="3" s="1"/>
  <c r="AQ669" i="3"/>
  <c r="B669" i="3"/>
  <c r="A670" i="3"/>
  <c r="AR669" i="3"/>
  <c r="D669" i="3"/>
  <c r="S669" i="3"/>
  <c r="AM669" i="3"/>
  <c r="C669" i="3"/>
  <c r="AK669" i="3"/>
  <c r="R669" i="3"/>
  <c r="P669" i="3"/>
  <c r="Q669" i="3"/>
  <c r="AD669" i="3"/>
  <c r="O669" i="3"/>
  <c r="M669" i="3"/>
  <c r="AE669" i="3"/>
  <c r="AF669" i="3"/>
  <c r="U669" i="3"/>
  <c r="V669" i="3"/>
  <c r="G669" i="3"/>
  <c r="H669" i="3" s="1"/>
  <c r="F669" i="3"/>
  <c r="T669" i="3"/>
  <c r="BF665" i="3"/>
  <c r="BJ664" i="3" s="1"/>
  <c r="BK664" i="3" s="1"/>
  <c r="BB665" i="3"/>
  <c r="BQ665" i="3"/>
  <c r="AV666" i="3"/>
  <c r="BA666" i="3"/>
  <c r="AU667" i="3"/>
  <c r="AX667" i="3"/>
  <c r="X668" i="3"/>
  <c r="AT667" i="3"/>
  <c r="BN668" i="3"/>
  <c r="AG668" i="3"/>
  <c r="AH668" i="3"/>
  <c r="AN668" i="3"/>
  <c r="BC666" i="3" l="1"/>
  <c r="BD666" i="3" s="1"/>
  <c r="AO669" i="3"/>
  <c r="BG665" i="3"/>
  <c r="BH665" i="3" s="1"/>
  <c r="BI665" i="3" s="1"/>
  <c r="BN669" i="3"/>
  <c r="AU668" i="3"/>
  <c r="AY667" i="3"/>
  <c r="AX668" i="3"/>
  <c r="Y669" i="3"/>
  <c r="Z669" i="3" s="1"/>
  <c r="AG669" i="3"/>
  <c r="AV667" i="3"/>
  <c r="BA667" i="3"/>
  <c r="BB666" i="3"/>
  <c r="BF666" i="3"/>
  <c r="BJ665" i="3" s="1"/>
  <c r="BK665" i="3" s="1"/>
  <c r="BQ666" i="3"/>
  <c r="AR670" i="3"/>
  <c r="AQ670" i="3"/>
  <c r="B670" i="3"/>
  <c r="A671" i="3"/>
  <c r="D670" i="3"/>
  <c r="C670" i="3"/>
  <c r="AM670" i="3"/>
  <c r="R670" i="3"/>
  <c r="S670" i="3"/>
  <c r="AK670" i="3"/>
  <c r="Q670" i="3"/>
  <c r="P670" i="3"/>
  <c r="AD670" i="3"/>
  <c r="M670" i="3"/>
  <c r="O670" i="3"/>
  <c r="AF670" i="3"/>
  <c r="AE670" i="3"/>
  <c r="V670" i="3"/>
  <c r="U670" i="3"/>
  <c r="G670" i="3"/>
  <c r="H670" i="3" s="1"/>
  <c r="F670" i="3"/>
  <c r="T670" i="3"/>
  <c r="X669" i="3"/>
  <c r="AT668" i="3"/>
  <c r="AW668" i="3"/>
  <c r="BM669" i="3"/>
  <c r="AH669" i="3"/>
  <c r="AN669" i="3"/>
  <c r="BG666" i="3" l="1"/>
  <c r="BH666" i="3" s="1"/>
  <c r="BI666" i="3" s="1"/>
  <c r="AY668" i="3"/>
  <c r="AU669" i="3"/>
  <c r="BC667" i="3"/>
  <c r="BG667" i="3" s="1"/>
  <c r="BH667" i="3" s="1"/>
  <c r="BI667" i="3" s="1"/>
  <c r="BN670" i="3"/>
  <c r="AO670" i="3"/>
  <c r="Y670" i="3"/>
  <c r="Z670" i="3" s="1"/>
  <c r="AV668" i="3"/>
  <c r="BA668" i="3"/>
  <c r="AR671" i="3"/>
  <c r="B671" i="3"/>
  <c r="AQ671" i="3"/>
  <c r="A672" i="3"/>
  <c r="C671" i="3"/>
  <c r="D671" i="3"/>
  <c r="AK671" i="3"/>
  <c r="AM671" i="3"/>
  <c r="S671" i="3"/>
  <c r="AD671" i="3"/>
  <c r="Q671" i="3"/>
  <c r="P671" i="3"/>
  <c r="O671" i="3"/>
  <c r="AE671" i="3"/>
  <c r="AF671" i="3"/>
  <c r="M671" i="3"/>
  <c r="U671" i="3"/>
  <c r="V671" i="3"/>
  <c r="R671" i="3"/>
  <c r="G671" i="3"/>
  <c r="H671" i="3" s="1"/>
  <c r="F671" i="3"/>
  <c r="T671" i="3"/>
  <c r="BQ667" i="3"/>
  <c r="BF667" i="3"/>
  <c r="BJ666" i="3" s="1"/>
  <c r="BK666" i="3" s="1"/>
  <c r="BB667" i="3"/>
  <c r="X670" i="3"/>
  <c r="AX669" i="3"/>
  <c r="AT669" i="3"/>
  <c r="AW669" i="3"/>
  <c r="BM670" i="3"/>
  <c r="AG670" i="3"/>
  <c r="AH670" i="3"/>
  <c r="AN670" i="3"/>
  <c r="BN671" i="3" l="1"/>
  <c r="BC668" i="3"/>
  <c r="BG668" i="3" s="1"/>
  <c r="BH668" i="3" s="1"/>
  <c r="BI668" i="3" s="1"/>
  <c r="BD667" i="3"/>
  <c r="BM671" i="3"/>
  <c r="AN671" i="3"/>
  <c r="AG671" i="3"/>
  <c r="Y671" i="3"/>
  <c r="Z671" i="3" s="1"/>
  <c r="AX670" i="3"/>
  <c r="BA669" i="3"/>
  <c r="AV669" i="3"/>
  <c r="A673" i="3"/>
  <c r="AR672" i="3"/>
  <c r="B672" i="3"/>
  <c r="AQ672" i="3"/>
  <c r="C672" i="3"/>
  <c r="D672" i="3"/>
  <c r="AK672" i="3"/>
  <c r="S672" i="3"/>
  <c r="R672" i="3"/>
  <c r="Q672" i="3"/>
  <c r="AD672" i="3"/>
  <c r="AM672" i="3"/>
  <c r="P672" i="3"/>
  <c r="O672" i="3"/>
  <c r="M672" i="3"/>
  <c r="AF672" i="3"/>
  <c r="V672" i="3"/>
  <c r="AE672" i="3"/>
  <c r="U672" i="3"/>
  <c r="F672" i="3"/>
  <c r="G672" i="3"/>
  <c r="H672" i="3" s="1"/>
  <c r="T672" i="3"/>
  <c r="BQ668" i="3"/>
  <c r="BB668" i="3"/>
  <c r="BF668" i="3"/>
  <c r="BJ667" i="3" s="1"/>
  <c r="BK667" i="3" s="1"/>
  <c r="AH671" i="3"/>
  <c r="AT670" i="3"/>
  <c r="AW670" i="3"/>
  <c r="AY669" i="3"/>
  <c r="AU670" i="3"/>
  <c r="AO671" i="3"/>
  <c r="X671" i="3"/>
  <c r="BD668" i="3" l="1"/>
  <c r="AT671" i="3"/>
  <c r="AY670" i="3"/>
  <c r="BM672" i="3"/>
  <c r="AW671" i="3"/>
  <c r="AN672" i="3"/>
  <c r="AU671" i="3"/>
  <c r="AG672" i="3"/>
  <c r="Y672" i="3"/>
  <c r="Z672" i="3" s="1"/>
  <c r="BC669" i="3"/>
  <c r="BD669" i="3" s="1"/>
  <c r="AV670" i="3"/>
  <c r="BA670" i="3"/>
  <c r="AR673" i="3"/>
  <c r="A674" i="3"/>
  <c r="AQ673" i="3"/>
  <c r="B673" i="3"/>
  <c r="C673" i="3"/>
  <c r="D673" i="3"/>
  <c r="AK673" i="3"/>
  <c r="AM673" i="3"/>
  <c r="S673" i="3"/>
  <c r="T673" i="3"/>
  <c r="Q673" i="3"/>
  <c r="R673" i="3"/>
  <c r="AD673" i="3"/>
  <c r="P673" i="3"/>
  <c r="O673" i="3"/>
  <c r="M673" i="3"/>
  <c r="AE673" i="3"/>
  <c r="U673" i="3"/>
  <c r="AF673" i="3"/>
  <c r="V673" i="3"/>
  <c r="G673" i="3"/>
  <c r="H673" i="3" s="1"/>
  <c r="F673" i="3"/>
  <c r="BB669" i="3"/>
  <c r="BF669" i="3"/>
  <c r="BJ668" i="3" s="1"/>
  <c r="BK668" i="3" s="1"/>
  <c r="BQ669" i="3"/>
  <c r="AH672" i="3"/>
  <c r="AX671" i="3"/>
  <c r="BN672" i="3"/>
  <c r="AO672" i="3"/>
  <c r="X672" i="3"/>
  <c r="BC670" i="3" l="1"/>
  <c r="BD670" i="3" s="1"/>
  <c r="AV671" i="3"/>
  <c r="BA671" i="3"/>
  <c r="BB671" i="3" s="1"/>
  <c r="BM673" i="3"/>
  <c r="AN673" i="3"/>
  <c r="AX672" i="3"/>
  <c r="AU672" i="3"/>
  <c r="BG669" i="3"/>
  <c r="BH669" i="3" s="1"/>
  <c r="BI669" i="3" s="1"/>
  <c r="AY671" i="3"/>
  <c r="Y673" i="3"/>
  <c r="Z673" i="3" s="1"/>
  <c r="AR674" i="3"/>
  <c r="B674" i="3"/>
  <c r="AQ674" i="3"/>
  <c r="A675" i="3"/>
  <c r="C674" i="3"/>
  <c r="R674" i="3"/>
  <c r="AM674" i="3"/>
  <c r="D674" i="3"/>
  <c r="AK674" i="3"/>
  <c r="S674" i="3"/>
  <c r="P674" i="3"/>
  <c r="AD674" i="3"/>
  <c r="O674" i="3"/>
  <c r="M674" i="3"/>
  <c r="AE674" i="3"/>
  <c r="AF674" i="3"/>
  <c r="V674" i="3"/>
  <c r="U674" i="3"/>
  <c r="Q674" i="3"/>
  <c r="G674" i="3"/>
  <c r="H674" i="3" s="1"/>
  <c r="BN674" i="3" s="1"/>
  <c r="F674" i="3"/>
  <c r="T674" i="3"/>
  <c r="BQ670" i="3"/>
  <c r="BB670" i="3"/>
  <c r="BF670" i="3"/>
  <c r="BJ669" i="3" s="1"/>
  <c r="BK669" i="3" s="1"/>
  <c r="AT672" i="3"/>
  <c r="AW672" i="3"/>
  <c r="BN673" i="3"/>
  <c r="AG673" i="3"/>
  <c r="AH673" i="3"/>
  <c r="AO673" i="3"/>
  <c r="X673" i="3"/>
  <c r="BG670" i="3" l="1"/>
  <c r="BH670" i="3" s="1"/>
  <c r="BI670" i="3" s="1"/>
  <c r="BC671" i="3"/>
  <c r="BD671" i="3" s="1"/>
  <c r="AO674" i="3"/>
  <c r="AY672" i="3"/>
  <c r="BQ671" i="3"/>
  <c r="BF671" i="3"/>
  <c r="BJ670" i="3" s="1"/>
  <c r="BK670" i="3" s="1"/>
  <c r="AU673" i="3"/>
  <c r="AG674" i="3"/>
  <c r="X674" i="3"/>
  <c r="BM674" i="3"/>
  <c r="BA672" i="3"/>
  <c r="AV672" i="3"/>
  <c r="A676" i="3"/>
  <c r="AQ675" i="3"/>
  <c r="AR675" i="3"/>
  <c r="B675" i="3"/>
  <c r="D675" i="3"/>
  <c r="T675" i="3"/>
  <c r="S675" i="3"/>
  <c r="C675" i="3"/>
  <c r="AM675" i="3"/>
  <c r="Q675" i="3"/>
  <c r="R675" i="3"/>
  <c r="AK675" i="3"/>
  <c r="AD675" i="3"/>
  <c r="P675" i="3"/>
  <c r="O675" i="3"/>
  <c r="M675" i="3"/>
  <c r="AF675" i="3"/>
  <c r="AE675" i="3"/>
  <c r="V675" i="3"/>
  <c r="U675" i="3"/>
  <c r="G675" i="3"/>
  <c r="H675" i="3" s="1"/>
  <c r="BN675" i="3" s="1"/>
  <c r="F675" i="3"/>
  <c r="AW673" i="3"/>
  <c r="AN674" i="3"/>
  <c r="AT673" i="3"/>
  <c r="AX673" i="3"/>
  <c r="Y674" i="3"/>
  <c r="Z674" i="3" s="1"/>
  <c r="AH674" i="3"/>
  <c r="BG671" i="3" l="1"/>
  <c r="BH671" i="3" s="1"/>
  <c r="BI671" i="3" s="1"/>
  <c r="BM675" i="3"/>
  <c r="BC672" i="3"/>
  <c r="BG672" i="3" s="1"/>
  <c r="BH672" i="3" s="1"/>
  <c r="BI672" i="3" s="1"/>
  <c r="AO675" i="3"/>
  <c r="AW674" i="3"/>
  <c r="AG675" i="3"/>
  <c r="AV673" i="3"/>
  <c r="BA673" i="3"/>
  <c r="Y675" i="3"/>
  <c r="Z675" i="3" s="1"/>
  <c r="AQ676" i="3"/>
  <c r="AR676" i="3"/>
  <c r="B676" i="3"/>
  <c r="D676" i="3"/>
  <c r="C676" i="3"/>
  <c r="AK676" i="3"/>
  <c r="T676" i="3"/>
  <c r="S676" i="3"/>
  <c r="AM676" i="3"/>
  <c r="R676" i="3"/>
  <c r="Q676" i="3"/>
  <c r="AD676" i="3"/>
  <c r="P676" i="3"/>
  <c r="O676" i="3"/>
  <c r="AE676" i="3"/>
  <c r="M676" i="3"/>
  <c r="AF676" i="3"/>
  <c r="U676" i="3"/>
  <c r="V676" i="3"/>
  <c r="F676" i="3"/>
  <c r="G676" i="3"/>
  <c r="H676" i="3" s="1"/>
  <c r="BF672" i="3"/>
  <c r="BJ671" i="3" s="1"/>
  <c r="BK671" i="3" s="1"/>
  <c r="BB672" i="3"/>
  <c r="BQ672" i="3"/>
  <c r="X675" i="3"/>
  <c r="AX674" i="3"/>
  <c r="AU674" i="3"/>
  <c r="AY673" i="3"/>
  <c r="AH675" i="3"/>
  <c r="AN675" i="3"/>
  <c r="AT674" i="3"/>
  <c r="BD672" i="3" l="1"/>
  <c r="AY674" i="3"/>
  <c r="BN676" i="3"/>
  <c r="AN676" i="3"/>
  <c r="AV674" i="3"/>
  <c r="BA674" i="3"/>
  <c r="AT675" i="3"/>
  <c r="AX675" i="3"/>
  <c r="Y676" i="3"/>
  <c r="Z676" i="3" s="1"/>
  <c r="BB673" i="3"/>
  <c r="BF673" i="3"/>
  <c r="BJ672" i="3" s="1"/>
  <c r="BK672" i="3" s="1"/>
  <c r="BQ673" i="3"/>
  <c r="AU675" i="3"/>
  <c r="AW675" i="3"/>
  <c r="AG676" i="3"/>
  <c r="X676" i="3"/>
  <c r="BC673" i="3"/>
  <c r="BM676" i="3"/>
  <c r="AH676" i="3"/>
  <c r="AO676" i="3"/>
  <c r="BC674" i="3" l="1"/>
  <c r="BG674" i="3" s="1"/>
  <c r="BH674" i="3" s="1"/>
  <c r="BI674" i="3" s="1"/>
  <c r="AY675" i="3"/>
  <c r="AX676" i="3"/>
  <c r="AT676" i="3"/>
  <c r="BD673" i="3"/>
  <c r="BG673" i="3"/>
  <c r="BH673" i="3" s="1"/>
  <c r="BI673" i="3" s="1"/>
  <c r="BB674" i="3"/>
  <c r="BQ674" i="3"/>
  <c r="BF674" i="3"/>
  <c r="BJ673" i="3" s="1"/>
  <c r="BK673" i="3" s="1"/>
  <c r="BA675" i="3"/>
  <c r="AU676" i="3"/>
  <c r="AW676" i="3"/>
  <c r="AV675" i="3"/>
  <c r="BD674" i="3" l="1"/>
  <c r="BC675" i="3"/>
  <c r="BD675" i="3" s="1"/>
  <c r="AY676" i="3"/>
  <c r="AV676" i="3"/>
  <c r="BQ675" i="3"/>
  <c r="BB675" i="3"/>
  <c r="BF675" i="3"/>
  <c r="BJ674" i="3" s="1"/>
  <c r="BK674" i="3" s="1"/>
  <c r="BA676" i="3"/>
  <c r="BG675" i="3" l="1"/>
  <c r="BH675" i="3" s="1"/>
  <c r="BI675" i="3" s="1"/>
  <c r="BC676" i="3"/>
  <c r="BG676" i="3" s="1"/>
  <c r="BH676" i="3" s="1"/>
  <c r="BI676" i="3" s="1"/>
  <c r="BQ676" i="3"/>
  <c r="BB676" i="3"/>
  <c r="BF676" i="3"/>
  <c r="BD676" i="3" l="1"/>
  <c r="BJ676" i="3"/>
  <c r="BK676" i="3" s="1"/>
  <c r="BJ675" i="3"/>
  <c r="BK675" i="3" s="1"/>
  <c r="H159" i="8" l="1"/>
  <c r="H158" i="8" s="1"/>
  <c r="H157" i="8" s="1"/>
  <c r="H156" i="8" s="1"/>
  <c r="H155" i="8" s="1"/>
  <c r="H154" i="8" s="1"/>
  <c r="H153" i="8" s="1"/>
  <c r="H152" i="8" s="1"/>
  <c r="H151" i="8" s="1"/>
  <c r="H150" i="8" s="1"/>
  <c r="H149" i="8" s="1"/>
  <c r="H148" i="8" s="1"/>
  <c r="H147" i="8" s="1"/>
  <c r="H146" i="8" s="1"/>
  <c r="H145" i="8" s="1"/>
  <c r="H144" i="8" s="1"/>
  <c r="H143" i="8" s="1"/>
  <c r="H142" i="8" s="1"/>
  <c r="H141" i="8" s="1"/>
  <c r="H140" i="8" s="1"/>
  <c r="H139" i="8" s="1"/>
  <c r="H138" i="8" s="1"/>
  <c r="H137" i="8" s="1"/>
  <c r="H136" i="8" s="1"/>
  <c r="H135" i="8" s="1"/>
  <c r="H134" i="8" s="1"/>
  <c r="H133" i="8" s="1"/>
  <c r="H132" i="8" s="1"/>
  <c r="H131" i="8" s="1"/>
  <c r="H130" i="8" s="1"/>
  <c r="H129" i="8" s="1"/>
  <c r="H128" i="8" s="1"/>
  <c r="H127" i="8" s="1"/>
  <c r="H126" i="8" s="1"/>
  <c r="H125" i="8" s="1"/>
  <c r="H124" i="8" s="1"/>
  <c r="H123" i="8" s="1"/>
  <c r="H122" i="8" s="1"/>
  <c r="H121" i="8" s="1"/>
  <c r="H120" i="8" s="1"/>
  <c r="H119" i="8" s="1"/>
  <c r="H118" i="8" s="1"/>
  <c r="H117" i="8" s="1"/>
  <c r="H116" i="8" s="1"/>
  <c r="H115" i="8" s="1"/>
  <c r="H114" i="8" s="1"/>
  <c r="H113" i="8" s="1"/>
  <c r="H112" i="8" s="1"/>
  <c r="H111" i="8" s="1"/>
  <c r="H110" i="8" s="1"/>
  <c r="H109" i="8" s="1"/>
  <c r="H108" i="8" s="1"/>
  <c r="H107" i="8" s="1"/>
  <c r="H106" i="8" s="1"/>
  <c r="H105" i="8" s="1"/>
  <c r="H104" i="8" s="1"/>
  <c r="H103" i="8" s="1"/>
  <c r="H102" i="8" s="1"/>
  <c r="H101" i="8" s="1"/>
  <c r="H100" i="8" s="1"/>
  <c r="H99" i="8" s="1"/>
  <c r="H98" i="8" s="1"/>
  <c r="H97" i="8" s="1"/>
  <c r="H96" i="8" s="1"/>
  <c r="H95" i="8" s="1"/>
  <c r="H94" i="8" s="1"/>
  <c r="H93" i="8" s="1"/>
  <c r="H92" i="8" s="1"/>
  <c r="H91" i="8" s="1"/>
  <c r="H90" i="8" s="1"/>
  <c r="H89" i="8" s="1"/>
  <c r="H88" i="8" s="1"/>
  <c r="H87" i="8" s="1"/>
  <c r="H86" i="8" s="1"/>
  <c r="H85" i="8" s="1"/>
  <c r="H84" i="8" s="1"/>
  <c r="H83" i="8" s="1"/>
  <c r="H82" i="8" s="1"/>
  <c r="H81" i="8" s="1"/>
  <c r="H80" i="8" s="1"/>
  <c r="H79" i="8" s="1"/>
  <c r="H78" i="8" s="1"/>
  <c r="H77" i="8" s="1"/>
  <c r="H76" i="8" s="1"/>
  <c r="H75" i="8" s="1"/>
  <c r="H74" i="8" s="1"/>
  <c r="H73" i="8" s="1"/>
  <c r="H72" i="8" s="1"/>
  <c r="H71" i="8" s="1"/>
  <c r="H70" i="8" s="1"/>
  <c r="H69" i="8" s="1"/>
  <c r="H68" i="8" s="1"/>
  <c r="H67" i="8" s="1"/>
  <c r="H66" i="8" s="1"/>
  <c r="H65" i="8" s="1"/>
  <c r="H64" i="8" s="1"/>
  <c r="H63" i="8" s="1"/>
  <c r="H62" i="8" s="1"/>
  <c r="H61" i="8" s="1"/>
  <c r="H60" i="8" s="1"/>
  <c r="H59" i="8" s="1"/>
  <c r="H58" i="8" s="1"/>
  <c r="H57" i="8" s="1"/>
  <c r="H56" i="8" s="1"/>
  <c r="H55" i="8" s="1"/>
  <c r="H54" i="8" s="1"/>
  <c r="H53" i="8" s="1"/>
  <c r="H52" i="8" s="1"/>
  <c r="H51" i="8" s="1"/>
  <c r="H50" i="8" s="1"/>
  <c r="H49" i="8" s="1"/>
  <c r="H48" i="8" s="1"/>
  <c r="H47" i="8" s="1"/>
  <c r="H46" i="8" s="1"/>
  <c r="H45" i="8" s="1"/>
  <c r="H44" i="8" s="1"/>
  <c r="H43" i="8" s="1"/>
  <c r="H42" i="8" s="1"/>
  <c r="H41" i="8" s="1"/>
  <c r="H40" i="8" s="1"/>
  <c r="H39" i="8" s="1"/>
  <c r="H38" i="8" s="1"/>
  <c r="H37" i="8" s="1"/>
  <c r="H36" i="8" s="1"/>
  <c r="H35" i="8" s="1"/>
  <c r="H34" i="8" s="1"/>
  <c r="H33" i="8" s="1"/>
  <c r="H32" i="8" s="1"/>
  <c r="H31" i="8" s="1"/>
  <c r="H30" i="8" s="1"/>
  <c r="H29" i="8" s="1"/>
  <c r="H28" i="8" s="1"/>
  <c r="H27" i="8" s="1"/>
  <c r="H26" i="8" s="1"/>
  <c r="H25" i="8" s="1"/>
  <c r="H24" i="8" s="1"/>
  <c r="H23" i="8" s="1"/>
  <c r="H22" i="8" s="1"/>
  <c r="H21" i="8" s="1"/>
  <c r="H20" i="8" s="1"/>
  <c r="H19" i="8" s="1"/>
  <c r="H18" i="8" s="1"/>
  <c r="H17" i="8" s="1"/>
  <c r="H16" i="8" s="1"/>
  <c r="H15" i="8" s="1"/>
  <c r="H14" i="8" s="1"/>
  <c r="H13" i="8" s="1"/>
  <c r="H12" i="8" s="1"/>
  <c r="H11" i="8" s="1"/>
  <c r="H10" i="8" s="1"/>
  <c r="H9" i="8" s="1"/>
  <c r="H8" i="8" s="1"/>
  <c r="H7" i="8" s="1"/>
  <c r="H6" i="8" s="1"/>
  <c r="H4" i="8" s="1"/>
  <c r="S23" i="8" s="1"/>
  <c r="B65" i="2" s="1"/>
  <c r="B270" i="2" l="1"/>
  <c r="D42" i="16" s="1"/>
  <c r="C270" i="2"/>
  <c r="B266" i="2"/>
  <c r="C266" i="2"/>
  <c r="R12" i="8"/>
  <c r="S6" i="8"/>
  <c r="B56" i="2" s="1"/>
  <c r="C42" i="16" l="1"/>
  <c r="B264" i="2"/>
  <c r="B268" i="2" s="1"/>
  <c r="A264" i="2"/>
  <c r="C264" i="2"/>
  <c r="E25" i="1"/>
  <c r="C54" i="16" l="1"/>
  <c r="D54" i="16" s="1"/>
  <c r="C268" i="2"/>
  <c r="D59"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Timothy Hegarty</author>
    <author>BDATSC</author>
  </authors>
  <commentList>
    <comment ref="A3" authorId="0" shapeId="0" xr:uid="{00000000-0006-0000-0000-000001000000}">
      <text>
        <r>
          <rPr>
            <b/>
            <sz val="11"/>
            <color indexed="10"/>
            <rFont val="Tahoma"/>
            <family val="2"/>
          </rPr>
          <t>Welcome to the LM5146-Q1 Design Tool!</t>
        </r>
        <r>
          <rPr>
            <sz val="9"/>
            <color indexed="81"/>
            <rFont val="Tahoma"/>
            <family val="2"/>
          </rPr>
          <t xml:space="preserve">
This stand-alone tool facilitates and assists the power supply engineer with design of a DC-DC buck regulator based on the </t>
        </r>
        <r>
          <rPr>
            <b/>
            <sz val="9"/>
            <color indexed="81"/>
            <rFont val="Tahoma"/>
            <family val="2"/>
          </rPr>
          <t>LM5146-Q1 synchronous buck controller</t>
        </r>
        <r>
          <rPr>
            <sz val="9"/>
            <color indexed="81"/>
            <rFont val="Tahoma"/>
            <family val="2"/>
          </rPr>
          <t xml:space="preserve">. As such, the user can expeditiously arrive at an optimized design by virtue of the following:
- Determine buck inductance, input and output capacitances
- Select components for switching frequency, soft-start, UVLO, and OCP
- Optimize compensation values and pole/zero placement in terms of control loop stability using crossover frquency as a performance metric
- Inspect regulator efficiency and component power dissipation
- Analyze efficiency based on selected MOSFET parameters
- Review auto-generated schematic and BOM list
</t>
        </r>
        <r>
          <rPr>
            <b/>
            <sz val="9"/>
            <color indexed="81"/>
            <rFont val="Tahoma"/>
            <family val="2"/>
          </rPr>
          <t>IMPORTANT:</t>
        </r>
        <r>
          <rPr>
            <sz val="9"/>
            <color indexed="81"/>
            <rFont val="Tahoma"/>
            <family val="2"/>
          </rPr>
          <t xml:space="preserve"> You must enable macros if Microsoft Excel asks as the file is being opened. U.S. English notation is used throughout.
</t>
        </r>
        <r>
          <rPr>
            <u/>
            <sz val="9"/>
            <color indexed="12"/>
            <rFont val="Tahoma"/>
            <family val="2"/>
          </rPr>
          <t>www.ti.com/widevin</t>
        </r>
        <r>
          <rPr>
            <sz val="9"/>
            <color indexed="81"/>
            <rFont val="Tahoma"/>
            <family val="2"/>
          </rPr>
          <t xml:space="preserve">
</t>
        </r>
        <r>
          <rPr>
            <b/>
            <sz val="9"/>
            <color indexed="81"/>
            <rFont val="Tahoma"/>
            <family val="2"/>
          </rPr>
          <t xml:space="preserve">
Rev. 2 2018, Timothy J. Hegarty, Texas Instruments, Inc.</t>
        </r>
      </text>
    </comment>
    <comment ref="O3" authorId="0" shapeId="0" xr:uid="{00000000-0006-0000-0000-000002000000}">
      <text>
        <r>
          <rPr>
            <b/>
            <u/>
            <sz val="11"/>
            <color indexed="10"/>
            <rFont val="Tahoma"/>
            <family val="2"/>
          </rPr>
          <t>Texas Instruments</t>
        </r>
        <r>
          <rPr>
            <sz val="11"/>
            <color indexed="10"/>
            <rFont val="Tahoma"/>
            <family val="2"/>
          </rPr>
          <t>:</t>
        </r>
        <r>
          <rPr>
            <sz val="9"/>
            <color indexed="81"/>
            <rFont val="Tahoma"/>
            <family val="2"/>
          </rPr>
          <t xml:space="preserve">
</t>
        </r>
        <r>
          <rPr>
            <b/>
            <sz val="9"/>
            <color indexed="81"/>
            <rFont val="Tahoma"/>
            <family val="2"/>
          </rPr>
          <t>Limited Use Policy</t>
        </r>
        <r>
          <rPr>
            <sz val="9"/>
            <color indexed="81"/>
            <rFont val="Tahoma"/>
            <family val="2"/>
          </rPr>
          <t xml:space="preserve">
You must treat this software and documentation like any other copyrighted material.
</t>
        </r>
        <r>
          <rPr>
            <b/>
            <sz val="9"/>
            <color indexed="81"/>
            <rFont val="Tahoma"/>
            <family val="2"/>
          </rPr>
          <t>You may not:</t>
        </r>
        <r>
          <rPr>
            <sz val="9"/>
            <color indexed="81"/>
            <rFont val="Tahoma"/>
            <family val="2"/>
          </rPr>
          <t xml:space="preserve">
- Copy documentation of the software
- Copy this software except to make archival or backup copies
- Reverse engineer, disassemble, decompile or make any attempt to discover the source code of the Software 
- Place the software onto a server so that it is accessible via a public network such as the internet 
- Sublicense, rent, lease or lend any portion of the software or documentation.
Texas Instruments is not responsible for the validity of any design created with this software and urges all designs to be fully tested and carefully verified. Refer to the LM5146-Q1 product datasheet and EVM user's guide for more details.
</t>
        </r>
        <r>
          <rPr>
            <b/>
            <sz val="9"/>
            <color indexed="81"/>
            <rFont val="Tahoma"/>
            <family val="2"/>
          </rPr>
          <t>Rev. 2, Timothy J. Hegarty, Texas Instruments, Inc.</t>
        </r>
      </text>
    </comment>
    <comment ref="E6" authorId="0" shapeId="0" xr:uid="{00000000-0006-0000-0000-000003000000}">
      <text>
        <r>
          <rPr>
            <b/>
            <u/>
            <sz val="9"/>
            <color indexed="81"/>
            <rFont val="Tahoma"/>
            <family val="2"/>
          </rPr>
          <t>Minimum Input Voltage</t>
        </r>
        <r>
          <rPr>
            <b/>
            <sz val="9"/>
            <color indexed="81"/>
            <rFont val="Tahoma"/>
            <family val="2"/>
          </rPr>
          <t>:</t>
        </r>
        <r>
          <rPr>
            <sz val="9"/>
            <color indexed="81"/>
            <rFont val="Tahoma"/>
            <family val="2"/>
          </rPr>
          <t xml:space="preserve">
Enter the nominal input voltage.
The LM5146-Q1 input operating voltage range is 5.5V to 95V.
</t>
        </r>
        <r>
          <rPr>
            <b/>
            <sz val="9"/>
            <color indexed="81"/>
            <rFont val="Tahoma"/>
            <family val="2"/>
          </rPr>
          <t>The text in this cell is red if:</t>
        </r>
        <r>
          <rPr>
            <sz val="9"/>
            <color indexed="81"/>
            <rFont val="Tahoma"/>
            <family val="2"/>
          </rPr>
          <t xml:space="preserve">
-The input voltage is above </t>
        </r>
        <r>
          <rPr>
            <b/>
            <sz val="9"/>
            <color indexed="10"/>
            <rFont val="Tahoma"/>
            <family val="2"/>
          </rPr>
          <t>95V</t>
        </r>
        <r>
          <rPr>
            <sz val="9"/>
            <color indexed="81"/>
            <rFont val="Tahoma"/>
            <family val="2"/>
          </rPr>
          <t xml:space="preserve">
-The input voltage is below </t>
        </r>
        <r>
          <rPr>
            <b/>
            <sz val="9"/>
            <color indexed="10"/>
            <rFont val="Tahoma"/>
            <family val="2"/>
          </rPr>
          <t>5.5V
-</t>
        </r>
        <r>
          <rPr>
            <sz val="9"/>
            <color indexed="81"/>
            <rFont val="Tahoma"/>
            <family val="2"/>
          </rPr>
          <t xml:space="preserve">The minimum PWM off-time of </t>
        </r>
        <r>
          <rPr>
            <b/>
            <sz val="9"/>
            <color indexed="10"/>
            <rFont val="Tahoma"/>
            <family val="2"/>
          </rPr>
          <t>140ns</t>
        </r>
        <r>
          <rPr>
            <sz val="9"/>
            <color indexed="81"/>
            <rFont val="Tahoma"/>
            <family val="2"/>
          </rPr>
          <t xml:space="preserve"> is reached</t>
        </r>
      </text>
    </comment>
    <comment ref="E7" authorId="0" shapeId="0" xr:uid="{00000000-0006-0000-0000-000004000000}">
      <text>
        <r>
          <rPr>
            <b/>
            <u/>
            <sz val="9"/>
            <color indexed="81"/>
            <rFont val="Tahoma"/>
            <family val="2"/>
          </rPr>
          <t>Nominal Input Voltage</t>
        </r>
        <r>
          <rPr>
            <b/>
            <sz val="9"/>
            <color indexed="81"/>
            <rFont val="Tahoma"/>
            <family val="2"/>
          </rPr>
          <t>:</t>
        </r>
        <r>
          <rPr>
            <sz val="9"/>
            <color indexed="81"/>
            <rFont val="Tahoma"/>
            <family val="2"/>
          </rPr>
          <t xml:space="preserve">
Enter the nominal input voltage.
The LM5146-Q1 input operating voltage range is 5.5V to 95V.
</t>
        </r>
        <r>
          <rPr>
            <b/>
            <sz val="9"/>
            <color indexed="81"/>
            <rFont val="Tahoma"/>
            <family val="2"/>
          </rPr>
          <t>The text in this cell is red if:</t>
        </r>
        <r>
          <rPr>
            <sz val="9"/>
            <color indexed="81"/>
            <rFont val="Tahoma"/>
            <family val="2"/>
          </rPr>
          <t xml:space="preserve">
-The input voltage is above </t>
        </r>
        <r>
          <rPr>
            <b/>
            <sz val="9"/>
            <color indexed="10"/>
            <rFont val="Tahoma"/>
            <family val="2"/>
          </rPr>
          <t>95V</t>
        </r>
        <r>
          <rPr>
            <sz val="9"/>
            <color indexed="81"/>
            <rFont val="Tahoma"/>
            <family val="2"/>
          </rPr>
          <t xml:space="preserve">
-The input voltage is below </t>
        </r>
        <r>
          <rPr>
            <b/>
            <sz val="9"/>
            <color indexed="10"/>
            <rFont val="Tahoma"/>
            <family val="2"/>
          </rPr>
          <t>5.5V</t>
        </r>
      </text>
    </comment>
    <comment ref="E8" authorId="0" shapeId="0" xr:uid="{00000000-0006-0000-0000-000005000000}">
      <text>
        <r>
          <rPr>
            <b/>
            <u/>
            <sz val="9"/>
            <color indexed="81"/>
            <rFont val="Tahoma"/>
            <family val="2"/>
          </rPr>
          <t>Maximum Input Voltage</t>
        </r>
        <r>
          <rPr>
            <b/>
            <sz val="9"/>
            <color indexed="81"/>
            <rFont val="Tahoma"/>
            <family val="2"/>
          </rPr>
          <t>:</t>
        </r>
        <r>
          <rPr>
            <sz val="9"/>
            <color indexed="81"/>
            <rFont val="Tahoma"/>
            <family val="2"/>
          </rPr>
          <t xml:space="preserve">
Enter the nominal input voltage.
The LM5146-Q1 input operating voltage range is 5.5V to 95V.
</t>
        </r>
        <r>
          <rPr>
            <b/>
            <sz val="9"/>
            <color indexed="81"/>
            <rFont val="Tahoma"/>
            <family val="2"/>
          </rPr>
          <t>The text in this cell is red if:</t>
        </r>
        <r>
          <rPr>
            <sz val="9"/>
            <color indexed="81"/>
            <rFont val="Tahoma"/>
            <family val="2"/>
          </rPr>
          <t xml:space="preserve">
-The input voltage is above </t>
        </r>
        <r>
          <rPr>
            <b/>
            <sz val="9"/>
            <color indexed="10"/>
            <rFont val="Tahoma"/>
            <family val="2"/>
          </rPr>
          <t>95V</t>
        </r>
        <r>
          <rPr>
            <sz val="9"/>
            <color indexed="81"/>
            <rFont val="Tahoma"/>
            <family val="2"/>
          </rPr>
          <t xml:space="preserve">
-The input voltage is below </t>
        </r>
        <r>
          <rPr>
            <b/>
            <sz val="9"/>
            <color indexed="10"/>
            <rFont val="Tahoma"/>
            <family val="2"/>
          </rPr>
          <t xml:space="preserve">5.5V
</t>
        </r>
        <r>
          <rPr>
            <sz val="9"/>
            <color indexed="81"/>
            <rFont val="Tahoma"/>
            <family val="2"/>
          </rPr>
          <t xml:space="preserve">-The minimum PWM on-time of </t>
        </r>
        <r>
          <rPr>
            <b/>
            <sz val="9"/>
            <color indexed="10"/>
            <rFont val="Tahoma"/>
            <family val="2"/>
          </rPr>
          <t>40ns</t>
        </r>
        <r>
          <rPr>
            <sz val="9"/>
            <color indexed="81"/>
            <rFont val="Tahoma"/>
            <family val="2"/>
          </rPr>
          <t xml:space="preserve"> is reached</t>
        </r>
      </text>
    </comment>
    <comment ref="E9" authorId="0" shapeId="0" xr:uid="{00000000-0006-0000-0000-000006000000}">
      <text>
        <r>
          <rPr>
            <b/>
            <u/>
            <sz val="9"/>
            <color indexed="81"/>
            <rFont val="Tahoma"/>
            <family val="2"/>
          </rPr>
          <t>Output Voltage</t>
        </r>
        <r>
          <rPr>
            <b/>
            <sz val="9"/>
            <color indexed="81"/>
            <rFont val="Tahoma"/>
            <family val="2"/>
          </rPr>
          <t xml:space="preserve">:
</t>
        </r>
        <r>
          <rPr>
            <sz val="9"/>
            <color indexed="81"/>
            <rFont val="Tahoma"/>
            <family val="2"/>
          </rPr>
          <t>Enter the desired output voltage.</t>
        </r>
        <r>
          <rPr>
            <b/>
            <sz val="9"/>
            <color indexed="81"/>
            <rFont val="Tahoma"/>
            <family val="2"/>
          </rPr>
          <t xml:space="preserve">
</t>
        </r>
        <r>
          <rPr>
            <sz val="9"/>
            <color indexed="81"/>
            <rFont val="Tahoma"/>
            <family val="2"/>
          </rPr>
          <t>The text in this cell is red if:</t>
        </r>
        <r>
          <rPr>
            <b/>
            <sz val="9"/>
            <color indexed="81"/>
            <rFont val="Tahoma"/>
            <family val="2"/>
          </rPr>
          <t xml:space="preserve">
</t>
        </r>
        <r>
          <rPr>
            <b/>
            <sz val="9"/>
            <color indexed="10"/>
            <rFont val="Tahoma"/>
            <family val="2"/>
          </rPr>
          <t>-The output voltage is above the nominal input voltage 
-The output voltage is below 0.8V
-The output voltage is above 60V</t>
        </r>
      </text>
    </comment>
    <comment ref="E11" authorId="0" shapeId="0" xr:uid="{00000000-0006-0000-0000-000007000000}">
      <text>
        <r>
          <rPr>
            <b/>
            <u/>
            <sz val="9"/>
            <color indexed="81"/>
            <rFont val="Tahoma"/>
            <family val="2"/>
          </rPr>
          <t>Operating Frequency</t>
        </r>
        <r>
          <rPr>
            <b/>
            <sz val="9"/>
            <color indexed="81"/>
            <rFont val="Tahoma"/>
            <family val="2"/>
          </rPr>
          <t xml:space="preserve"> (set by R</t>
        </r>
        <r>
          <rPr>
            <b/>
            <vertAlign val="subscript"/>
            <sz val="9"/>
            <color indexed="81"/>
            <rFont val="Tahoma"/>
            <family val="2"/>
          </rPr>
          <t>FADJ</t>
        </r>
        <r>
          <rPr>
            <b/>
            <sz val="9"/>
            <color indexed="81"/>
            <rFont val="Tahoma"/>
            <family val="2"/>
          </rPr>
          <t>):</t>
        </r>
        <r>
          <rPr>
            <sz val="9"/>
            <color indexed="81"/>
            <rFont val="Tahoma"/>
            <family val="2"/>
          </rPr>
          <t xml:space="preserve">
This cell defines the free running frequency set by the R</t>
        </r>
        <r>
          <rPr>
            <vertAlign val="subscript"/>
            <sz val="9"/>
            <color indexed="81"/>
            <rFont val="Tahoma"/>
            <family val="2"/>
          </rPr>
          <t>RT</t>
        </r>
        <r>
          <rPr>
            <sz val="9"/>
            <color indexed="81"/>
            <rFont val="Tahoma"/>
            <family val="2"/>
          </rPr>
          <t xml:space="preserve"> resistor. 
</t>
        </r>
        <r>
          <rPr>
            <b/>
            <sz val="9"/>
            <color indexed="81"/>
            <rFont val="Tahoma"/>
            <family val="2"/>
          </rPr>
          <t xml:space="preserve">The text in this cell is blue if:
</t>
        </r>
        <r>
          <rPr>
            <b/>
            <sz val="9"/>
            <color indexed="39"/>
            <rFont val="Tahoma"/>
            <family val="2"/>
          </rPr>
          <t>-The SYNC frequency is not with -20% to +50% of the free-running frequency set by R</t>
        </r>
        <r>
          <rPr>
            <b/>
            <vertAlign val="subscript"/>
            <sz val="9"/>
            <color indexed="39"/>
            <rFont val="Tahoma"/>
            <family val="2"/>
          </rPr>
          <t>RT</t>
        </r>
        <r>
          <rPr>
            <b/>
            <sz val="9"/>
            <color indexed="39"/>
            <rFont val="Tahoma"/>
            <family val="2"/>
          </rPr>
          <t>.</t>
        </r>
        <r>
          <rPr>
            <sz val="9"/>
            <color indexed="81"/>
            <rFont val="Tahoma"/>
            <family val="2"/>
          </rPr>
          <t xml:space="preserve">
</t>
        </r>
        <r>
          <rPr>
            <b/>
            <sz val="9"/>
            <color indexed="81"/>
            <rFont val="Tahoma"/>
            <family val="2"/>
          </rPr>
          <t xml:space="preserve">The text in this cell is red if:
</t>
        </r>
        <r>
          <rPr>
            <b/>
            <sz val="9"/>
            <color indexed="10"/>
            <rFont val="Tahoma"/>
            <family val="2"/>
          </rPr>
          <t>-The frequency is below 100 kHz
-The frequency is above 1 MHz</t>
        </r>
        <r>
          <rPr>
            <sz val="11"/>
            <color indexed="81"/>
            <rFont val="Tahoma"/>
            <family val="2"/>
          </rPr>
          <t xml:space="preserve">
</t>
        </r>
      </text>
    </comment>
    <comment ref="E12" authorId="0" shapeId="0" xr:uid="{00000000-0006-0000-0000-000008000000}">
      <text>
        <r>
          <rPr>
            <b/>
            <u/>
            <sz val="9"/>
            <color indexed="81"/>
            <rFont val="Tahoma"/>
            <family val="2"/>
          </rPr>
          <t>Operating SYNC Frequency</t>
        </r>
        <r>
          <rPr>
            <b/>
            <sz val="9"/>
            <color indexed="81"/>
            <rFont val="Tahoma"/>
            <family val="2"/>
          </rPr>
          <t xml:space="preserve">:
</t>
        </r>
        <r>
          <rPr>
            <sz val="9"/>
            <color indexed="81"/>
            <rFont val="Tahoma"/>
            <family val="2"/>
          </rPr>
          <t>This frequency sets the switching frequency the LM5146 should synchronize to. If SYNC is not used, the SYNCIN pin should be grounded for DCM or tied high (to VCC) for CCM, and the free-running frequency should be inserted here.</t>
        </r>
        <r>
          <rPr>
            <b/>
            <sz val="9"/>
            <color indexed="81"/>
            <rFont val="Tahoma"/>
            <family val="2"/>
          </rPr>
          <t xml:space="preserve">
The text in this cell is blue if 
</t>
        </r>
        <r>
          <rPr>
            <b/>
            <sz val="9"/>
            <color indexed="39"/>
            <rFont val="Tahoma"/>
            <family val="2"/>
          </rPr>
          <t>-The SYNC frequency is greater than 150% or less than 80% of the frequency set by R</t>
        </r>
        <r>
          <rPr>
            <b/>
            <vertAlign val="subscript"/>
            <sz val="9"/>
            <color indexed="39"/>
            <rFont val="Tahoma"/>
            <family val="2"/>
          </rPr>
          <t>RT</t>
        </r>
        <r>
          <rPr>
            <b/>
            <sz val="9"/>
            <color indexed="39"/>
            <rFont val="Tahoma"/>
            <family val="2"/>
          </rPr>
          <t>.
If the SYNC frequency is outside the applicable range, Fsw defaults in this tool to the free-running frequency value.</t>
        </r>
        <r>
          <rPr>
            <b/>
            <sz val="9"/>
            <color indexed="81"/>
            <rFont val="Tahoma"/>
            <family val="2"/>
          </rPr>
          <t xml:space="preserve">
The text in this cell is red if:
</t>
        </r>
        <r>
          <rPr>
            <b/>
            <sz val="9"/>
            <color indexed="10"/>
            <rFont val="Tahoma"/>
            <family val="2"/>
          </rPr>
          <t>- The frequency is below 100 kHz;
- The frequency is above 1 MHz;
- The frequency is not within -20% to +50% of the programmed frequency (set by the R</t>
        </r>
        <r>
          <rPr>
            <b/>
            <vertAlign val="subscript"/>
            <sz val="9"/>
            <color indexed="10"/>
            <rFont val="Tahoma"/>
            <family val="2"/>
          </rPr>
          <t>RT</t>
        </r>
        <r>
          <rPr>
            <b/>
            <sz val="9"/>
            <color indexed="10"/>
            <rFont val="Tahoma"/>
            <family val="2"/>
          </rPr>
          <t xml:space="preserve"> resistor).</t>
        </r>
      </text>
    </comment>
    <comment ref="E17" authorId="0" shapeId="0" xr:uid="{00000000-0006-0000-0000-000009000000}">
      <text>
        <r>
          <rPr>
            <b/>
            <sz val="9"/>
            <color indexed="81"/>
            <rFont val="Tahoma"/>
            <family val="2"/>
          </rPr>
          <t>L</t>
        </r>
        <r>
          <rPr>
            <b/>
            <vertAlign val="subscript"/>
            <sz val="9"/>
            <color indexed="81"/>
            <rFont val="Tahoma"/>
            <family val="2"/>
          </rPr>
          <t>F</t>
        </r>
        <r>
          <rPr>
            <b/>
            <sz val="9"/>
            <color indexed="81"/>
            <rFont val="Tahoma"/>
            <family val="2"/>
          </rPr>
          <t xml:space="preserve">:
</t>
        </r>
        <r>
          <rPr>
            <sz val="9"/>
            <color indexed="81"/>
            <rFont val="Tahoma"/>
            <family val="2"/>
          </rPr>
          <t>Enter the output filter inductance here. Target inductor (peak-to-peak) ripple currrent is 30-50% of the DC full load current.</t>
        </r>
      </text>
    </comment>
    <comment ref="E18" authorId="0" shapeId="0" xr:uid="{00000000-0006-0000-0000-00000A000000}">
      <text>
        <r>
          <rPr>
            <b/>
            <u/>
            <sz val="9"/>
            <color indexed="81"/>
            <rFont val="Tahoma"/>
            <family val="2"/>
          </rPr>
          <t>Inductor DCR</t>
        </r>
        <r>
          <rPr>
            <b/>
            <sz val="9"/>
            <color indexed="81"/>
            <rFont val="Tahoma"/>
            <family val="2"/>
          </rPr>
          <t xml:space="preserve">:
</t>
        </r>
        <r>
          <rPr>
            <sz val="9"/>
            <color indexed="81"/>
            <rFont val="Tahoma"/>
            <family val="2"/>
          </rPr>
          <t>Enter the inductor DC resistance here. This is typically specified in the inductor datasheet at 25°C copper temperature.</t>
        </r>
      </text>
    </comment>
    <comment ref="E25" authorId="0" shapeId="0" xr:uid="{00000000-0006-0000-0000-00000B000000}">
      <text>
        <r>
          <rPr>
            <b/>
            <sz val="9"/>
            <color indexed="81"/>
            <rFont val="Tahoma"/>
            <family val="2"/>
          </rPr>
          <t>R</t>
        </r>
        <r>
          <rPr>
            <b/>
            <vertAlign val="subscript"/>
            <sz val="9"/>
            <color indexed="81"/>
            <rFont val="Tahoma"/>
            <family val="2"/>
          </rPr>
          <t>ILIM</t>
        </r>
        <r>
          <rPr>
            <b/>
            <sz val="9"/>
            <color indexed="81"/>
            <rFont val="Tahoma"/>
            <family val="2"/>
          </rPr>
          <t>:</t>
        </r>
        <r>
          <rPr>
            <sz val="9"/>
            <color indexed="81"/>
            <rFont val="Tahoma"/>
            <family val="2"/>
          </rPr>
          <t xml:space="preserve">
This resistor is used to set the overcurrent protection. As such, the calculation takes the required current limit setpoint, the inductor ripple current amplitude and the MOSFET RDS(on) or shunt resistance to calculate </t>
        </r>
        <r>
          <rPr>
            <b/>
            <sz val="9"/>
            <color indexed="81"/>
            <rFont val="Tahoma"/>
            <family val="2"/>
          </rPr>
          <t>R</t>
        </r>
        <r>
          <rPr>
            <b/>
            <vertAlign val="subscript"/>
            <sz val="9"/>
            <color indexed="81"/>
            <rFont val="Tahoma"/>
            <family val="2"/>
          </rPr>
          <t>ILIM</t>
        </r>
        <r>
          <rPr>
            <sz val="9"/>
            <color indexed="81"/>
            <rFont val="Tahoma"/>
            <family val="2"/>
          </rPr>
          <t>.</t>
        </r>
      </text>
    </comment>
    <comment ref="E30" authorId="0" shapeId="0" xr:uid="{00000000-0006-0000-0000-00000C000000}">
      <text>
        <r>
          <rPr>
            <b/>
            <u/>
            <sz val="9"/>
            <color indexed="81"/>
            <rFont val="Tahoma"/>
            <family val="2"/>
          </rPr>
          <t>Output Voltage Ripple</t>
        </r>
        <r>
          <rPr>
            <b/>
            <sz val="9"/>
            <color indexed="81"/>
            <rFont val="Tahoma"/>
            <family val="2"/>
          </rPr>
          <t xml:space="preserve">:
</t>
        </r>
        <r>
          <rPr>
            <sz val="9"/>
            <color indexed="81"/>
            <rFont val="Tahoma"/>
            <family val="2"/>
          </rPr>
          <t>Enter the desired maximum peak-to-peak output voltage ripple here. This will set the ideal output capacitance value.</t>
        </r>
        <r>
          <rPr>
            <b/>
            <sz val="9"/>
            <color indexed="81"/>
            <rFont val="Tahoma"/>
            <family val="2"/>
          </rPr>
          <t xml:space="preserve">
The text in this cell is red if:
</t>
        </r>
        <r>
          <rPr>
            <b/>
            <sz val="9"/>
            <color indexed="10"/>
            <rFont val="Tahoma"/>
            <family val="2"/>
          </rPr>
          <t>-The output voltage ripple is zero.</t>
        </r>
      </text>
    </comment>
    <comment ref="E32" authorId="0" shapeId="0" xr:uid="{00000000-0006-0000-0000-00000D000000}">
      <text>
        <r>
          <rPr>
            <b/>
            <u/>
            <sz val="9"/>
            <color indexed="81"/>
            <rFont val="Tahoma"/>
            <family val="2"/>
          </rPr>
          <t>Output Capacitance</t>
        </r>
        <r>
          <rPr>
            <b/>
            <sz val="9"/>
            <color indexed="81"/>
            <rFont val="Tahoma"/>
            <family val="2"/>
          </rPr>
          <t>:</t>
        </r>
        <r>
          <rPr>
            <sz val="9"/>
            <color indexed="81"/>
            <rFont val="Tahoma"/>
            <family val="2"/>
          </rPr>
          <t xml:space="preserve">
Enter the output capacitance here based on the minimum calculated result. Make sure that the nominal capacitance is appropriately </t>
        </r>
        <r>
          <rPr>
            <b/>
            <sz val="11"/>
            <color indexed="81"/>
            <rFont val="Tahoma"/>
            <family val="2"/>
          </rPr>
          <t>derated</t>
        </r>
        <r>
          <rPr>
            <sz val="9"/>
            <color indexed="81"/>
            <rFont val="Tahoma"/>
            <family val="2"/>
          </rPr>
          <t xml:space="preserve"> for applied voltage, particularly with </t>
        </r>
        <r>
          <rPr>
            <sz val="9"/>
            <color indexed="39"/>
            <rFont val="Tahoma"/>
            <family val="2"/>
          </rPr>
          <t>ceramics</t>
        </r>
        <r>
          <rPr>
            <sz val="9"/>
            <color indexed="81"/>
            <rFont val="Tahoma"/>
            <family val="2"/>
          </rPr>
          <t xml:space="preserve">.
</t>
        </r>
        <r>
          <rPr>
            <b/>
            <sz val="9"/>
            <color indexed="81"/>
            <rFont val="Tahoma"/>
            <family val="2"/>
          </rPr>
          <t>The text in this cell is flagged red if:</t>
        </r>
        <r>
          <rPr>
            <sz val="9"/>
            <color indexed="81"/>
            <rFont val="Tahoma"/>
            <family val="2"/>
          </rPr>
          <t xml:space="preserve">
</t>
        </r>
        <r>
          <rPr>
            <b/>
            <sz val="9"/>
            <color indexed="10"/>
            <rFont val="Tahoma"/>
            <family val="2"/>
          </rPr>
          <t>-The chosen output capacitor is smaller than the minimum ideal capacitance.</t>
        </r>
      </text>
    </comment>
    <comment ref="E34" authorId="0" shapeId="0" xr:uid="{00000000-0006-0000-0000-00000E000000}">
      <text>
        <r>
          <rPr>
            <b/>
            <u/>
            <sz val="9"/>
            <color indexed="81"/>
            <rFont val="Tahoma"/>
            <family val="2"/>
          </rPr>
          <t>Output Capacitor ESR</t>
        </r>
        <r>
          <rPr>
            <b/>
            <sz val="9"/>
            <color indexed="81"/>
            <rFont val="Tahoma"/>
            <family val="2"/>
          </rPr>
          <t xml:space="preserve">:
</t>
        </r>
        <r>
          <rPr>
            <sz val="9"/>
            <color indexed="81"/>
            <rFont val="Tahoma"/>
            <family val="2"/>
          </rPr>
          <t>Enter the output capacitor ESR here based on the maximum allowed output capacitor ESR to meet the voltage ripple specification.</t>
        </r>
        <r>
          <rPr>
            <b/>
            <sz val="9"/>
            <color indexed="81"/>
            <rFont val="Tahoma"/>
            <family val="2"/>
          </rPr>
          <t xml:space="preserve">
The text in this cell will be </t>
        </r>
        <r>
          <rPr>
            <b/>
            <sz val="9"/>
            <color indexed="10"/>
            <rFont val="Tahoma"/>
            <family val="2"/>
          </rPr>
          <t>red</t>
        </r>
        <r>
          <rPr>
            <b/>
            <sz val="9"/>
            <color indexed="81"/>
            <rFont val="Tahoma"/>
            <family val="2"/>
          </rPr>
          <t xml:space="preserve"> if:
</t>
        </r>
        <r>
          <rPr>
            <b/>
            <sz val="9"/>
            <color indexed="10"/>
            <rFont val="Tahoma"/>
            <family val="2"/>
          </rPr>
          <t>-ESR is zero, or
-ESR exceeds maximum allowable ESR to meet the voltage ripple specification.</t>
        </r>
      </text>
    </comment>
    <comment ref="E39" authorId="0" shapeId="0" xr:uid="{00000000-0006-0000-0000-00000F000000}">
      <text>
        <r>
          <rPr>
            <b/>
            <u/>
            <sz val="9"/>
            <color indexed="81"/>
            <rFont val="Tahoma"/>
            <family val="2"/>
          </rPr>
          <t>Input Voltage Ripple</t>
        </r>
        <r>
          <rPr>
            <b/>
            <sz val="9"/>
            <color indexed="81"/>
            <rFont val="Tahoma"/>
            <family val="2"/>
          </rPr>
          <t xml:space="preserve">:
</t>
        </r>
        <r>
          <rPr>
            <sz val="9"/>
            <color indexed="81"/>
            <rFont val="Tahoma"/>
            <family val="2"/>
          </rPr>
          <t>Enter the desired maximum peak-to-peak input voltage ripple here. This will set the ideal input capacitance requirement.</t>
        </r>
        <r>
          <rPr>
            <b/>
            <sz val="9"/>
            <color indexed="81"/>
            <rFont val="Tahoma"/>
            <family val="2"/>
          </rPr>
          <t xml:space="preserve">
The text in this cell is </t>
        </r>
        <r>
          <rPr>
            <b/>
            <sz val="9"/>
            <color indexed="10"/>
            <rFont val="Tahoma"/>
            <family val="2"/>
          </rPr>
          <t>red</t>
        </r>
        <r>
          <rPr>
            <b/>
            <sz val="9"/>
            <color indexed="81"/>
            <rFont val="Tahoma"/>
            <family val="2"/>
          </rPr>
          <t xml:space="preserve"> if:
</t>
        </r>
        <r>
          <rPr>
            <b/>
            <sz val="9"/>
            <color indexed="10"/>
            <rFont val="Tahoma"/>
            <family val="2"/>
          </rPr>
          <t>-The input voltage ripple is zero.</t>
        </r>
      </text>
    </comment>
    <comment ref="E41" authorId="0" shapeId="0" xr:uid="{00000000-0006-0000-0000-000010000000}">
      <text>
        <r>
          <rPr>
            <b/>
            <u/>
            <sz val="9"/>
            <color indexed="81"/>
            <rFont val="Tahoma"/>
            <family val="2"/>
          </rPr>
          <t>Input Capacitance</t>
        </r>
        <r>
          <rPr>
            <b/>
            <sz val="9"/>
            <color indexed="81"/>
            <rFont val="Tahoma"/>
            <family val="2"/>
          </rPr>
          <t xml:space="preserve">:
</t>
        </r>
        <r>
          <rPr>
            <sz val="9"/>
            <color indexed="81"/>
            <rFont val="Tahoma"/>
            <family val="2"/>
          </rPr>
          <t xml:space="preserve">Enter the input capacitance here based on the minimum calculated result. Make sure that the nominal capacitance is appropriately derated for applied voltage.
</t>
        </r>
        <r>
          <rPr>
            <b/>
            <sz val="9"/>
            <color indexed="81"/>
            <rFont val="Tahoma"/>
            <family val="2"/>
          </rPr>
          <t xml:space="preserve">The text in this cell is flagged </t>
        </r>
        <r>
          <rPr>
            <b/>
            <sz val="9"/>
            <color indexed="10"/>
            <rFont val="Tahoma"/>
            <family val="2"/>
          </rPr>
          <t>red</t>
        </r>
        <r>
          <rPr>
            <b/>
            <sz val="9"/>
            <color indexed="81"/>
            <rFont val="Tahoma"/>
            <family val="2"/>
          </rPr>
          <t xml:space="preserve"> if:
</t>
        </r>
        <r>
          <rPr>
            <b/>
            <sz val="9"/>
            <color indexed="10"/>
            <rFont val="Tahoma"/>
            <family val="2"/>
          </rPr>
          <t>-The chosen input capacitor is smaller than the minimum ideal capacitance.</t>
        </r>
      </text>
    </comment>
    <comment ref="E43" authorId="0" shapeId="0" xr:uid="{00000000-0006-0000-0000-000011000000}">
      <text>
        <r>
          <rPr>
            <b/>
            <u/>
            <sz val="9"/>
            <color indexed="81"/>
            <rFont val="Tahoma"/>
            <family val="2"/>
          </rPr>
          <t>Input Capacitor ESR</t>
        </r>
        <r>
          <rPr>
            <b/>
            <sz val="9"/>
            <color indexed="81"/>
            <rFont val="Tahoma"/>
            <family val="2"/>
          </rPr>
          <t xml:space="preserve">:
</t>
        </r>
        <r>
          <rPr>
            <sz val="9"/>
            <color indexed="81"/>
            <rFont val="Tahoma"/>
            <family val="2"/>
          </rPr>
          <t>Enter the input capacitor ESR here based on the maximum allowed input capacitor ESR to meet the ripple voltage specification.</t>
        </r>
        <r>
          <rPr>
            <b/>
            <sz val="9"/>
            <color indexed="81"/>
            <rFont val="Tahoma"/>
            <family val="2"/>
          </rPr>
          <t xml:space="preserve">
The text in this cell will be </t>
        </r>
        <r>
          <rPr>
            <b/>
            <sz val="9"/>
            <color indexed="10"/>
            <rFont val="Tahoma"/>
            <family val="2"/>
          </rPr>
          <t>red</t>
        </r>
        <r>
          <rPr>
            <b/>
            <sz val="9"/>
            <color indexed="81"/>
            <rFont val="Tahoma"/>
            <family val="2"/>
          </rPr>
          <t xml:space="preserve"> if:
</t>
        </r>
        <r>
          <rPr>
            <b/>
            <sz val="9"/>
            <color indexed="10"/>
            <rFont val="Tahoma"/>
            <family val="2"/>
          </rPr>
          <t>-ESR is zero, or
-ESR exceeds maximum allowable ESR to meet the voltage ripple specification.</t>
        </r>
        <r>
          <rPr>
            <sz val="11"/>
            <color indexed="81"/>
            <rFont val="Tahoma"/>
            <family val="2"/>
          </rPr>
          <t xml:space="preserve">
</t>
        </r>
      </text>
    </comment>
    <comment ref="E48" authorId="0" shapeId="0" xr:uid="{00000000-0006-0000-0000-000012000000}">
      <text>
        <r>
          <rPr>
            <b/>
            <u/>
            <sz val="8"/>
            <color indexed="81"/>
            <rFont val="Tahoma"/>
            <family val="2"/>
          </rPr>
          <t>Soft-Start Time</t>
        </r>
        <r>
          <rPr>
            <b/>
            <sz val="8"/>
            <color indexed="81"/>
            <rFont val="Tahoma"/>
            <family val="2"/>
          </rPr>
          <t xml:space="preserve">:
</t>
        </r>
        <r>
          <rPr>
            <sz val="8"/>
            <color indexed="81"/>
            <rFont val="Tahoma"/>
            <family val="2"/>
          </rPr>
          <t xml:space="preserve">Enter the desired soft-start time here. </t>
        </r>
      </text>
    </comment>
    <comment ref="E50" authorId="0" shapeId="0" xr:uid="{00000000-0006-0000-0000-000013000000}">
      <text>
        <r>
          <rPr>
            <b/>
            <u/>
            <sz val="9"/>
            <color indexed="81"/>
            <rFont val="Tahoma"/>
            <family val="2"/>
          </rPr>
          <t>Nominal UVLO Turn-On Input Voltage</t>
        </r>
        <r>
          <rPr>
            <b/>
            <sz val="9"/>
            <color indexed="81"/>
            <rFont val="Tahoma"/>
            <family val="2"/>
          </rPr>
          <t xml:space="preserve">:
</t>
        </r>
        <r>
          <rPr>
            <sz val="9"/>
            <color indexed="81"/>
            <rFont val="Tahoma"/>
            <family val="2"/>
          </rPr>
          <t xml:space="preserve">Enter the nominal input voltage at turn on.
The LM5146-Q1 input operating voltage range is 5.5V to 95V.
</t>
        </r>
        <r>
          <rPr>
            <b/>
            <sz val="9"/>
            <color indexed="81"/>
            <rFont val="Tahoma"/>
            <family val="2"/>
          </rPr>
          <t>The text in this cell is red if:</t>
        </r>
        <r>
          <rPr>
            <sz val="9"/>
            <color indexed="81"/>
            <rFont val="Tahoma"/>
            <family val="2"/>
          </rPr>
          <t xml:space="preserve">
-The input voltage is above </t>
        </r>
        <r>
          <rPr>
            <b/>
            <sz val="9"/>
            <color indexed="10"/>
            <rFont val="Tahoma"/>
            <family val="2"/>
          </rPr>
          <t>95V</t>
        </r>
        <r>
          <rPr>
            <sz val="9"/>
            <color indexed="81"/>
            <rFont val="Tahoma"/>
            <family val="2"/>
          </rPr>
          <t xml:space="preserve">
-The input voltage is below </t>
        </r>
        <r>
          <rPr>
            <b/>
            <sz val="9"/>
            <color indexed="10"/>
            <rFont val="Tahoma"/>
            <family val="2"/>
          </rPr>
          <t>5.5V</t>
        </r>
      </text>
    </comment>
    <comment ref="E51" authorId="0" shapeId="0" xr:uid="{00000000-0006-0000-0000-000014000000}">
      <text>
        <r>
          <rPr>
            <b/>
            <u/>
            <sz val="9"/>
            <color indexed="81"/>
            <rFont val="Tahoma"/>
            <family val="2"/>
          </rPr>
          <t>Nominal UVLO Turn-Off Input Voltage</t>
        </r>
        <r>
          <rPr>
            <b/>
            <sz val="9"/>
            <color indexed="81"/>
            <rFont val="Tahoma"/>
            <family val="2"/>
          </rPr>
          <t>:</t>
        </r>
        <r>
          <rPr>
            <sz val="9"/>
            <color indexed="81"/>
            <rFont val="Tahoma"/>
            <family val="2"/>
          </rPr>
          <t xml:space="preserve">
Enter the nominal input voltage at turn off.
The LM5146-Q1 input operating voltage range is 5.5V to 95V.
</t>
        </r>
        <r>
          <rPr>
            <b/>
            <sz val="9"/>
            <color indexed="81"/>
            <rFont val="Tahoma"/>
            <family val="2"/>
          </rPr>
          <t xml:space="preserve">
The text in this cell is red if:</t>
        </r>
        <r>
          <rPr>
            <sz val="9"/>
            <color indexed="81"/>
            <rFont val="Tahoma"/>
            <family val="2"/>
          </rPr>
          <t xml:space="preserve">
-The input voltage is above </t>
        </r>
        <r>
          <rPr>
            <b/>
            <sz val="9"/>
            <color indexed="10"/>
            <rFont val="Tahoma"/>
            <family val="2"/>
          </rPr>
          <t>90V</t>
        </r>
        <r>
          <rPr>
            <sz val="9"/>
            <color indexed="81"/>
            <rFont val="Tahoma"/>
            <family val="2"/>
          </rPr>
          <t xml:space="preserve">
-The input voltage is below </t>
        </r>
        <r>
          <rPr>
            <b/>
            <sz val="9"/>
            <color indexed="10"/>
            <rFont val="Tahoma"/>
            <family val="2"/>
          </rPr>
          <t>5.5V</t>
        </r>
      </text>
    </comment>
    <comment ref="F60" authorId="0" shapeId="0" xr:uid="{00000000-0006-0000-0000-000015000000}">
      <text>
        <r>
          <rPr>
            <b/>
            <u/>
            <sz val="9"/>
            <color indexed="81"/>
            <rFont val="Tahoma"/>
            <family val="2"/>
          </rPr>
          <t>Crossover Frequency</t>
        </r>
        <r>
          <rPr>
            <b/>
            <sz val="9"/>
            <color indexed="81"/>
            <rFont val="Tahoma"/>
            <family val="2"/>
          </rPr>
          <t>:</t>
        </r>
        <r>
          <rPr>
            <sz val="9"/>
            <color indexed="81"/>
            <rFont val="Tahoma"/>
            <family val="2"/>
          </rPr>
          <t xml:space="preserve">
Enter the desired open loop crossover frequency (usually between 10% and 20% of switching frequency). The LM5146 design tool determines feedback compensation components based on this target performance metric.</t>
        </r>
      </text>
    </comment>
    <comment ref="E62" authorId="0" shapeId="0" xr:uid="{00000000-0006-0000-0000-000016000000}">
      <text>
        <r>
          <rPr>
            <b/>
            <sz val="9"/>
            <color indexed="81"/>
            <rFont val="Tahoma"/>
            <family val="2"/>
          </rPr>
          <t>R</t>
        </r>
        <r>
          <rPr>
            <b/>
            <vertAlign val="subscript"/>
            <sz val="9"/>
            <color indexed="81"/>
            <rFont val="Tahoma"/>
            <family val="2"/>
          </rPr>
          <t>FB1</t>
        </r>
        <r>
          <rPr>
            <b/>
            <sz val="9"/>
            <color indexed="81"/>
            <rFont val="Tahoma"/>
            <family val="2"/>
          </rPr>
          <t>:</t>
        </r>
        <r>
          <rPr>
            <sz val="9"/>
            <color indexed="81"/>
            <rFont val="Tahoma"/>
            <family val="2"/>
          </rPr>
          <t xml:space="preserve">
This is the upper feedback resistor that sets the output voltage. A recommended starting value of </t>
        </r>
        <r>
          <rPr>
            <b/>
            <sz val="9"/>
            <color indexed="81"/>
            <rFont val="Tahoma"/>
            <family val="2"/>
          </rPr>
          <t>R</t>
        </r>
        <r>
          <rPr>
            <b/>
            <vertAlign val="subscript"/>
            <sz val="9"/>
            <color indexed="81"/>
            <rFont val="Tahoma"/>
            <family val="2"/>
          </rPr>
          <t>FB1</t>
        </r>
        <r>
          <rPr>
            <sz val="9"/>
            <color indexed="81"/>
            <rFont val="Tahoma"/>
            <family val="2"/>
          </rPr>
          <t xml:space="preserve"> is 20kΩ.</t>
        </r>
      </text>
    </comment>
    <comment ref="D66" authorId="0" shapeId="0" xr:uid="{00000000-0006-0000-0000-000017000000}">
      <text>
        <r>
          <rPr>
            <b/>
            <sz val="9"/>
            <color indexed="81"/>
            <rFont val="Tahoma"/>
            <family val="2"/>
          </rPr>
          <t>F</t>
        </r>
        <r>
          <rPr>
            <b/>
            <vertAlign val="subscript"/>
            <sz val="9"/>
            <color indexed="81"/>
            <rFont val="Tahoma"/>
            <family val="2"/>
          </rPr>
          <t>Z1</t>
        </r>
        <r>
          <rPr>
            <b/>
            <sz val="9"/>
            <color indexed="81"/>
            <rFont val="Tahoma"/>
            <family val="2"/>
          </rPr>
          <t>:
F</t>
        </r>
        <r>
          <rPr>
            <b/>
            <vertAlign val="subscript"/>
            <sz val="9"/>
            <color indexed="81"/>
            <rFont val="Tahoma"/>
            <family val="2"/>
          </rPr>
          <t>Z1</t>
        </r>
        <r>
          <rPr>
            <sz val="9"/>
            <color indexed="81"/>
            <rFont val="Tahoma"/>
            <family val="2"/>
          </rPr>
          <t xml:space="preserve"> is the first zero of the compensator. By default, </t>
        </r>
        <r>
          <rPr>
            <b/>
            <sz val="9"/>
            <color indexed="81"/>
            <rFont val="Tahoma"/>
            <family val="2"/>
          </rPr>
          <t>F</t>
        </r>
        <r>
          <rPr>
            <b/>
            <vertAlign val="subscript"/>
            <sz val="9"/>
            <color indexed="81"/>
            <rFont val="Tahoma"/>
            <family val="2"/>
          </rPr>
          <t>Z1</t>
        </r>
        <r>
          <rPr>
            <sz val="9"/>
            <color indexed="81"/>
            <rFont val="Tahoma"/>
            <family val="2"/>
          </rPr>
          <t xml:space="preserve"> is located near the complex double pole (F</t>
        </r>
        <r>
          <rPr>
            <vertAlign val="subscript"/>
            <sz val="9"/>
            <color indexed="81"/>
            <rFont val="Tahoma"/>
            <family val="2"/>
          </rPr>
          <t>LC</t>
        </r>
        <r>
          <rPr>
            <sz val="9"/>
            <color indexed="81"/>
            <rFont val="Tahoma"/>
            <family val="2"/>
          </rPr>
          <t>) associated with L</t>
        </r>
        <r>
          <rPr>
            <vertAlign val="subscript"/>
            <sz val="9"/>
            <color indexed="81"/>
            <rFont val="Tahoma"/>
            <family val="2"/>
          </rPr>
          <t>F</t>
        </r>
        <r>
          <rPr>
            <sz val="9"/>
            <color indexed="81"/>
            <rFont val="Tahoma"/>
            <family val="2"/>
          </rPr>
          <t xml:space="preserve"> and C</t>
        </r>
        <r>
          <rPr>
            <vertAlign val="subscript"/>
            <sz val="9"/>
            <color indexed="81"/>
            <rFont val="Tahoma"/>
            <family val="2"/>
          </rPr>
          <t>OUT</t>
        </r>
        <r>
          <rPr>
            <sz val="9"/>
            <color indexed="81"/>
            <rFont val="Tahoma"/>
            <family val="2"/>
          </rPr>
          <t xml:space="preserve"> filter components. </t>
        </r>
        <r>
          <rPr>
            <b/>
            <sz val="9"/>
            <color indexed="81"/>
            <rFont val="Tahoma"/>
            <family val="2"/>
          </rPr>
          <t>F</t>
        </r>
        <r>
          <rPr>
            <b/>
            <vertAlign val="subscript"/>
            <sz val="9"/>
            <color indexed="81"/>
            <rFont val="Tahoma"/>
            <family val="2"/>
          </rPr>
          <t>Z1</t>
        </r>
        <r>
          <rPr>
            <sz val="9"/>
            <color indexed="81"/>
            <rFont val="Tahoma"/>
            <family val="2"/>
          </rPr>
          <t xml:space="preserve"> can be changed by direct entry into the </t>
        </r>
        <r>
          <rPr>
            <b/>
            <sz val="9"/>
            <color indexed="81"/>
            <rFont val="Tahoma"/>
            <family val="2"/>
          </rPr>
          <t>F</t>
        </r>
        <r>
          <rPr>
            <b/>
            <vertAlign val="subscript"/>
            <sz val="9"/>
            <color indexed="81"/>
            <rFont val="Tahoma"/>
            <family val="2"/>
          </rPr>
          <t>Z1</t>
        </r>
        <r>
          <rPr>
            <sz val="9"/>
            <color indexed="81"/>
            <rFont val="Tahoma"/>
            <family val="2"/>
          </rPr>
          <t xml:space="preserve"> cell.</t>
        </r>
      </text>
    </comment>
    <comment ref="D67" authorId="0" shapeId="0" xr:uid="{00000000-0006-0000-0000-000018000000}">
      <text>
        <r>
          <rPr>
            <b/>
            <sz val="9"/>
            <color indexed="81"/>
            <rFont val="Tahoma"/>
            <family val="2"/>
          </rPr>
          <t>F</t>
        </r>
        <r>
          <rPr>
            <b/>
            <vertAlign val="subscript"/>
            <sz val="9"/>
            <color indexed="81"/>
            <rFont val="Tahoma"/>
            <family val="2"/>
          </rPr>
          <t>Z2</t>
        </r>
        <r>
          <rPr>
            <b/>
            <sz val="9"/>
            <color indexed="81"/>
            <rFont val="Tahoma"/>
            <family val="2"/>
          </rPr>
          <t>:
F</t>
        </r>
        <r>
          <rPr>
            <b/>
            <vertAlign val="subscript"/>
            <sz val="9"/>
            <color indexed="81"/>
            <rFont val="Tahoma"/>
            <family val="2"/>
          </rPr>
          <t>Z2</t>
        </r>
        <r>
          <rPr>
            <sz val="9"/>
            <color indexed="81"/>
            <rFont val="Tahoma"/>
            <family val="2"/>
          </rPr>
          <t xml:space="preserve"> is the second zero of the compensator. By default, </t>
        </r>
        <r>
          <rPr>
            <b/>
            <sz val="9"/>
            <color indexed="81"/>
            <rFont val="Tahoma"/>
            <family val="2"/>
          </rPr>
          <t>F</t>
        </r>
        <r>
          <rPr>
            <b/>
            <vertAlign val="subscript"/>
            <sz val="9"/>
            <color indexed="81"/>
            <rFont val="Tahoma"/>
            <family val="2"/>
          </rPr>
          <t>Z2</t>
        </r>
        <r>
          <rPr>
            <sz val="9"/>
            <color indexed="81"/>
            <rFont val="Tahoma"/>
            <family val="2"/>
          </rPr>
          <t xml:space="preserve">  is located near the LC resonant frequency (F</t>
        </r>
        <r>
          <rPr>
            <vertAlign val="subscript"/>
            <sz val="9"/>
            <color indexed="81"/>
            <rFont val="Tahoma"/>
            <family val="2"/>
          </rPr>
          <t>LC</t>
        </r>
        <r>
          <rPr>
            <sz val="9"/>
            <color indexed="81"/>
            <rFont val="Tahoma"/>
            <family val="2"/>
          </rPr>
          <t>) caused by L</t>
        </r>
        <r>
          <rPr>
            <vertAlign val="subscript"/>
            <sz val="9"/>
            <color indexed="81"/>
            <rFont val="Tahoma"/>
            <family val="2"/>
          </rPr>
          <t>F</t>
        </r>
        <r>
          <rPr>
            <sz val="9"/>
            <color indexed="81"/>
            <rFont val="Tahoma"/>
            <family val="2"/>
          </rPr>
          <t xml:space="preserve"> and C</t>
        </r>
        <r>
          <rPr>
            <vertAlign val="subscript"/>
            <sz val="9"/>
            <color indexed="81"/>
            <rFont val="Tahoma"/>
            <family val="2"/>
          </rPr>
          <t>OUT</t>
        </r>
        <r>
          <rPr>
            <sz val="9"/>
            <color indexed="81"/>
            <rFont val="Tahoma"/>
            <family val="2"/>
          </rPr>
          <t xml:space="preserve"> filter components.  </t>
        </r>
        <r>
          <rPr>
            <b/>
            <sz val="9"/>
            <color indexed="81"/>
            <rFont val="Tahoma"/>
            <family val="2"/>
          </rPr>
          <t>F</t>
        </r>
        <r>
          <rPr>
            <b/>
            <vertAlign val="subscript"/>
            <sz val="9"/>
            <color indexed="81"/>
            <rFont val="Tahoma"/>
            <family val="2"/>
          </rPr>
          <t>Z2</t>
        </r>
        <r>
          <rPr>
            <sz val="9"/>
            <color indexed="81"/>
            <rFont val="Tahoma"/>
            <family val="2"/>
          </rPr>
          <t xml:space="preserve"> can be changed by direct entry into the </t>
        </r>
        <r>
          <rPr>
            <b/>
            <sz val="9"/>
            <color indexed="81"/>
            <rFont val="Tahoma"/>
            <family val="2"/>
          </rPr>
          <t>F</t>
        </r>
        <r>
          <rPr>
            <b/>
            <vertAlign val="subscript"/>
            <sz val="9"/>
            <color indexed="81"/>
            <rFont val="Tahoma"/>
            <family val="2"/>
          </rPr>
          <t>Z2</t>
        </r>
        <r>
          <rPr>
            <sz val="9"/>
            <color indexed="81"/>
            <rFont val="Tahoma"/>
            <family val="2"/>
          </rPr>
          <t xml:space="preserve"> cell.</t>
        </r>
      </text>
    </comment>
    <comment ref="D68" authorId="0" shapeId="0" xr:uid="{00000000-0006-0000-0000-000019000000}">
      <text>
        <r>
          <rPr>
            <b/>
            <sz val="9"/>
            <color indexed="81"/>
            <rFont val="Tahoma"/>
            <family val="2"/>
          </rPr>
          <t>F</t>
        </r>
        <r>
          <rPr>
            <b/>
            <vertAlign val="subscript"/>
            <sz val="9"/>
            <color indexed="81"/>
            <rFont val="Tahoma"/>
            <family val="2"/>
          </rPr>
          <t>P1</t>
        </r>
        <r>
          <rPr>
            <b/>
            <sz val="9"/>
            <color indexed="81"/>
            <rFont val="Tahoma"/>
            <family val="2"/>
          </rPr>
          <t>:</t>
        </r>
        <r>
          <rPr>
            <sz val="9"/>
            <color indexed="81"/>
            <rFont val="Tahoma"/>
            <family val="2"/>
          </rPr>
          <t xml:space="preserve">
</t>
        </r>
        <r>
          <rPr>
            <b/>
            <sz val="9"/>
            <color indexed="81"/>
            <rFont val="Tahoma"/>
            <family val="2"/>
          </rPr>
          <t>F</t>
        </r>
        <r>
          <rPr>
            <b/>
            <vertAlign val="subscript"/>
            <sz val="9"/>
            <color indexed="81"/>
            <rFont val="Tahoma"/>
            <family val="2"/>
          </rPr>
          <t>P1</t>
        </r>
        <r>
          <rPr>
            <sz val="9"/>
            <color indexed="81"/>
            <rFont val="Tahoma"/>
            <family val="2"/>
          </rPr>
          <t xml:space="preserve"> is the first pole of the compensator. By default, </t>
        </r>
        <r>
          <rPr>
            <b/>
            <sz val="9"/>
            <color indexed="81"/>
            <rFont val="Tahoma"/>
            <family val="2"/>
          </rPr>
          <t>F</t>
        </r>
        <r>
          <rPr>
            <b/>
            <vertAlign val="subscript"/>
            <sz val="9"/>
            <color indexed="81"/>
            <rFont val="Tahoma"/>
            <family val="2"/>
          </rPr>
          <t>P1</t>
        </r>
        <r>
          <rPr>
            <sz val="9"/>
            <color indexed="81"/>
            <rFont val="Tahoma"/>
            <family val="2"/>
          </rPr>
          <t xml:space="preserve"> is located at the zero (F</t>
        </r>
        <r>
          <rPr>
            <vertAlign val="subscript"/>
            <sz val="9"/>
            <color indexed="81"/>
            <rFont val="Tahoma"/>
            <family val="2"/>
          </rPr>
          <t>ESR</t>
        </r>
        <r>
          <rPr>
            <sz val="9"/>
            <color indexed="81"/>
            <rFont val="Tahoma"/>
            <family val="2"/>
          </rPr>
          <t>) caused by the output capacitance (C</t>
        </r>
        <r>
          <rPr>
            <vertAlign val="subscript"/>
            <sz val="9"/>
            <color indexed="81"/>
            <rFont val="Tahoma"/>
            <family val="2"/>
          </rPr>
          <t>OUT</t>
        </r>
        <r>
          <rPr>
            <sz val="9"/>
            <color indexed="81"/>
            <rFont val="Tahoma"/>
            <family val="2"/>
          </rPr>
          <t xml:space="preserve">) and its associated ESR. </t>
        </r>
        <r>
          <rPr>
            <b/>
            <sz val="9"/>
            <color indexed="81"/>
            <rFont val="Tahoma"/>
            <family val="2"/>
          </rPr>
          <t>F</t>
        </r>
        <r>
          <rPr>
            <b/>
            <vertAlign val="subscript"/>
            <sz val="9"/>
            <color indexed="81"/>
            <rFont val="Tahoma"/>
            <family val="2"/>
          </rPr>
          <t>P1</t>
        </r>
        <r>
          <rPr>
            <sz val="9"/>
            <color indexed="81"/>
            <rFont val="Tahoma"/>
            <family val="2"/>
          </rPr>
          <t xml:space="preserve"> can be changed by direct entry into the </t>
        </r>
        <r>
          <rPr>
            <b/>
            <sz val="9"/>
            <color indexed="81"/>
            <rFont val="Tahoma"/>
            <family val="2"/>
          </rPr>
          <t>F</t>
        </r>
        <r>
          <rPr>
            <b/>
            <vertAlign val="subscript"/>
            <sz val="9"/>
            <color indexed="81"/>
            <rFont val="Tahoma"/>
            <family val="2"/>
          </rPr>
          <t>P1</t>
        </r>
        <r>
          <rPr>
            <sz val="9"/>
            <color indexed="81"/>
            <rFont val="Tahoma"/>
            <family val="2"/>
          </rPr>
          <t xml:space="preserve"> cell.</t>
        </r>
      </text>
    </comment>
    <comment ref="D69" authorId="0" shapeId="0" xr:uid="{00000000-0006-0000-0000-00001A000000}">
      <text>
        <r>
          <rPr>
            <b/>
            <sz val="9"/>
            <color indexed="81"/>
            <rFont val="Tahoma"/>
            <family val="2"/>
          </rPr>
          <t>F</t>
        </r>
        <r>
          <rPr>
            <b/>
            <vertAlign val="subscript"/>
            <sz val="9"/>
            <color indexed="81"/>
            <rFont val="Tahoma"/>
            <family val="2"/>
          </rPr>
          <t>P2</t>
        </r>
        <r>
          <rPr>
            <b/>
            <sz val="9"/>
            <color indexed="81"/>
            <rFont val="Tahoma"/>
            <family val="2"/>
          </rPr>
          <t>:</t>
        </r>
        <r>
          <rPr>
            <sz val="9"/>
            <color indexed="81"/>
            <rFont val="Tahoma"/>
            <family val="2"/>
          </rPr>
          <t xml:space="preserve">
</t>
        </r>
        <r>
          <rPr>
            <b/>
            <sz val="9"/>
            <color indexed="81"/>
            <rFont val="Tahoma"/>
            <family val="2"/>
          </rPr>
          <t>F</t>
        </r>
        <r>
          <rPr>
            <b/>
            <vertAlign val="subscript"/>
            <sz val="9"/>
            <color indexed="81"/>
            <rFont val="Tahoma"/>
            <family val="2"/>
          </rPr>
          <t>P2</t>
        </r>
        <r>
          <rPr>
            <sz val="9"/>
            <color indexed="81"/>
            <rFont val="Tahoma"/>
            <family val="2"/>
          </rPr>
          <t xml:space="preserve"> is the second pole of the compensator. By default, </t>
        </r>
        <r>
          <rPr>
            <b/>
            <sz val="9"/>
            <color indexed="81"/>
            <rFont val="Tahoma"/>
            <family val="2"/>
          </rPr>
          <t>F</t>
        </r>
        <r>
          <rPr>
            <b/>
            <vertAlign val="subscript"/>
            <sz val="9"/>
            <color indexed="81"/>
            <rFont val="Tahoma"/>
            <family val="2"/>
          </rPr>
          <t>P2</t>
        </r>
        <r>
          <rPr>
            <sz val="9"/>
            <color indexed="81"/>
            <rFont val="Tahoma"/>
            <family val="2"/>
          </rPr>
          <t xml:space="preserve"> is located at F</t>
        </r>
        <r>
          <rPr>
            <vertAlign val="subscript"/>
            <sz val="9"/>
            <color indexed="81"/>
            <rFont val="Tahoma"/>
            <family val="2"/>
          </rPr>
          <t>SW</t>
        </r>
        <r>
          <rPr>
            <sz val="9"/>
            <color indexed="81"/>
            <rFont val="Tahoma"/>
            <family val="2"/>
          </rPr>
          <t xml:space="preserve">/2. </t>
        </r>
        <r>
          <rPr>
            <b/>
            <sz val="9"/>
            <color indexed="81"/>
            <rFont val="Tahoma"/>
            <family val="2"/>
          </rPr>
          <t>F</t>
        </r>
        <r>
          <rPr>
            <b/>
            <vertAlign val="subscript"/>
            <sz val="9"/>
            <color indexed="81"/>
            <rFont val="Tahoma"/>
            <family val="2"/>
          </rPr>
          <t>P2</t>
        </r>
        <r>
          <rPr>
            <sz val="9"/>
            <color indexed="81"/>
            <rFont val="Tahoma"/>
            <family val="2"/>
          </rPr>
          <t xml:space="preserve"> can be changed by direct entry into the </t>
        </r>
        <r>
          <rPr>
            <b/>
            <sz val="9"/>
            <color indexed="81"/>
            <rFont val="Tahoma"/>
            <family val="2"/>
          </rPr>
          <t>F</t>
        </r>
        <r>
          <rPr>
            <b/>
            <vertAlign val="subscript"/>
            <sz val="9"/>
            <color indexed="81"/>
            <rFont val="Tahoma"/>
            <family val="2"/>
          </rPr>
          <t>P2</t>
        </r>
        <r>
          <rPr>
            <sz val="9"/>
            <color indexed="81"/>
            <rFont val="Tahoma"/>
            <family val="2"/>
          </rPr>
          <t xml:space="preserve"> cell.</t>
        </r>
      </text>
    </comment>
    <comment ref="E84" authorId="1" shapeId="0" xr:uid="{00000000-0006-0000-0000-00001B000000}">
      <text>
        <r>
          <rPr>
            <b/>
            <sz val="10"/>
            <color indexed="81"/>
            <rFont val="Tahoma"/>
            <family val="2"/>
          </rPr>
          <t>On-State Resistance (R</t>
        </r>
        <r>
          <rPr>
            <b/>
            <vertAlign val="subscript"/>
            <sz val="10"/>
            <color indexed="81"/>
            <rFont val="Tahoma"/>
            <family val="2"/>
          </rPr>
          <t>DS(on)</t>
        </r>
        <r>
          <rPr>
            <b/>
            <sz val="10"/>
            <color indexed="81"/>
            <rFont val="Tahoma"/>
            <family val="2"/>
          </rPr>
          <t xml:space="preserve">):
</t>
        </r>
        <r>
          <rPr>
            <sz val="10"/>
            <color indexed="81"/>
            <rFont val="Tahoma"/>
            <family val="2"/>
          </rPr>
          <t xml:space="preserve">Enter the </t>
        </r>
        <r>
          <rPr>
            <b/>
            <sz val="10"/>
            <color indexed="81"/>
            <rFont val="Tahoma"/>
            <family val="2"/>
          </rPr>
          <t>R</t>
        </r>
        <r>
          <rPr>
            <b/>
            <vertAlign val="subscript"/>
            <sz val="10"/>
            <color indexed="81"/>
            <rFont val="Tahoma"/>
            <family val="2"/>
          </rPr>
          <t>DS(on)</t>
        </r>
        <r>
          <rPr>
            <sz val="10"/>
            <color indexed="81"/>
            <rFont val="Tahoma"/>
            <family val="2"/>
          </rPr>
          <t xml:space="preserve"> of the high-side MOSFET here (V</t>
        </r>
        <r>
          <rPr>
            <vertAlign val="subscript"/>
            <sz val="10"/>
            <color indexed="81"/>
            <rFont val="Tahoma"/>
            <family val="2"/>
          </rPr>
          <t>GS</t>
        </r>
        <r>
          <rPr>
            <sz val="10"/>
            <color indexed="81"/>
            <rFont val="Tahoma"/>
            <family val="2"/>
          </rPr>
          <t xml:space="preserve"> = 7.5V).
High current designs (&gt;10A) will incur large conduction losses and, as such, demand MOSFETs with low </t>
        </r>
        <r>
          <rPr>
            <b/>
            <sz val="10"/>
            <color indexed="81"/>
            <rFont val="Tahoma"/>
            <family val="2"/>
          </rPr>
          <t>R</t>
        </r>
        <r>
          <rPr>
            <b/>
            <vertAlign val="subscript"/>
            <sz val="10"/>
            <color indexed="81"/>
            <rFont val="Tahoma"/>
            <family val="2"/>
          </rPr>
          <t>DS(on)</t>
        </r>
        <r>
          <rPr>
            <sz val="10"/>
            <color indexed="81"/>
            <rFont val="Tahoma"/>
            <family val="2"/>
          </rPr>
          <t xml:space="preserve"> usually at the expense of larger Q</t>
        </r>
        <r>
          <rPr>
            <vertAlign val="subscript"/>
            <sz val="10"/>
            <color indexed="81"/>
            <rFont val="Tahoma"/>
            <family val="2"/>
          </rPr>
          <t>G</t>
        </r>
        <r>
          <rPr>
            <sz val="10"/>
            <color indexed="81"/>
            <rFont val="Tahoma"/>
            <family val="2"/>
          </rPr>
          <t xml:space="preserve">.
MOSFET </t>
        </r>
        <r>
          <rPr>
            <b/>
            <sz val="10"/>
            <color indexed="81"/>
            <rFont val="Tahoma"/>
            <family val="2"/>
          </rPr>
          <t>R</t>
        </r>
        <r>
          <rPr>
            <b/>
            <vertAlign val="subscript"/>
            <sz val="10"/>
            <color indexed="81"/>
            <rFont val="Tahoma"/>
            <family val="2"/>
          </rPr>
          <t>DS(ON)</t>
        </r>
        <r>
          <rPr>
            <sz val="10"/>
            <color indexed="81"/>
            <rFont val="Tahoma"/>
            <family val="2"/>
          </rPr>
          <t xml:space="preserve"> has a positive temperature coefficient (resistance increases with increasing temperature). This temperature coefficient is accounted for in the efficiency and power dissipation calculations.</t>
        </r>
      </text>
    </comment>
    <comment ref="E85" authorId="1" shapeId="0" xr:uid="{00000000-0006-0000-0000-00001C000000}">
      <text>
        <r>
          <rPr>
            <b/>
            <sz val="10"/>
            <color indexed="81"/>
            <rFont val="Tahoma"/>
            <family val="2"/>
          </rPr>
          <t>Total Gate Charge (Q</t>
        </r>
        <r>
          <rPr>
            <b/>
            <vertAlign val="subscript"/>
            <sz val="10"/>
            <color indexed="81"/>
            <rFont val="Tahoma"/>
            <family val="2"/>
          </rPr>
          <t>g</t>
        </r>
        <r>
          <rPr>
            <b/>
            <sz val="10"/>
            <color indexed="81"/>
            <rFont val="Tahoma"/>
            <family val="2"/>
          </rPr>
          <t>):</t>
        </r>
        <r>
          <rPr>
            <sz val="10"/>
            <color indexed="81"/>
            <rFont val="Tahoma"/>
            <family val="2"/>
          </rPr>
          <t xml:space="preserve">
Enter the total gate charge of the high-side MOSFET here.</t>
        </r>
      </text>
    </comment>
    <comment ref="E86" authorId="1" shapeId="0" xr:uid="{00000000-0006-0000-0000-00001D000000}">
      <text>
        <r>
          <rPr>
            <b/>
            <sz val="10"/>
            <color indexed="81"/>
            <rFont val="Tahoma"/>
            <family val="2"/>
          </rPr>
          <t>Gate-Drain Charge (Q</t>
        </r>
        <r>
          <rPr>
            <b/>
            <vertAlign val="subscript"/>
            <sz val="10"/>
            <color indexed="81"/>
            <rFont val="Tahoma"/>
            <family val="2"/>
          </rPr>
          <t>GD</t>
        </r>
        <r>
          <rPr>
            <b/>
            <sz val="10"/>
            <color indexed="81"/>
            <rFont val="Tahoma"/>
            <family val="2"/>
          </rPr>
          <t xml:space="preserve">):
</t>
        </r>
        <r>
          <rPr>
            <sz val="10"/>
            <color indexed="81"/>
            <rFont val="Tahoma"/>
            <family val="2"/>
          </rPr>
          <t>Enter the Q</t>
        </r>
        <r>
          <rPr>
            <vertAlign val="subscript"/>
            <sz val="10"/>
            <color indexed="81"/>
            <rFont val="Tahoma"/>
            <family val="2"/>
          </rPr>
          <t>GD</t>
        </r>
        <r>
          <rPr>
            <sz val="10"/>
            <color indexed="81"/>
            <rFont val="Tahoma"/>
            <family val="2"/>
          </rPr>
          <t xml:space="preserve"> of the high-side MOSFET here.
MOSFET Q</t>
        </r>
        <r>
          <rPr>
            <vertAlign val="subscript"/>
            <sz val="10"/>
            <color indexed="81"/>
            <rFont val="Tahoma"/>
            <family val="2"/>
          </rPr>
          <t>GD</t>
        </r>
        <r>
          <rPr>
            <sz val="10"/>
            <color indexed="81"/>
            <rFont val="Tahoma"/>
            <family val="2"/>
          </rPr>
          <t xml:space="preserve"> will affect the turn-on and-off transition times. Slow transition times will result in a decrease in efficiency, especially at higher input voltages.</t>
        </r>
      </text>
    </comment>
    <comment ref="E87" authorId="1" shapeId="0" xr:uid="{00000000-0006-0000-0000-00001E000000}">
      <text>
        <r>
          <rPr>
            <b/>
            <sz val="10"/>
            <color indexed="81"/>
            <rFont val="Tahoma"/>
            <family val="2"/>
          </rPr>
          <t>Gate-Source Charge (Q</t>
        </r>
        <r>
          <rPr>
            <b/>
            <vertAlign val="subscript"/>
            <sz val="10"/>
            <color indexed="81"/>
            <rFont val="Tahoma"/>
            <family val="2"/>
          </rPr>
          <t>GS</t>
        </r>
        <r>
          <rPr>
            <b/>
            <sz val="10"/>
            <color indexed="81"/>
            <rFont val="Tahoma"/>
            <family val="2"/>
          </rPr>
          <t xml:space="preserve">):
</t>
        </r>
        <r>
          <rPr>
            <sz val="10"/>
            <color indexed="81"/>
            <rFont val="Tahoma"/>
            <family val="2"/>
          </rPr>
          <t xml:space="preserve">Enter the gate-source charge here. </t>
        </r>
      </text>
    </comment>
    <comment ref="E88" authorId="1" shapeId="0" xr:uid="{00000000-0006-0000-0000-00001F000000}">
      <text>
        <r>
          <rPr>
            <b/>
            <sz val="10"/>
            <color indexed="81"/>
            <rFont val="Tahoma"/>
            <family val="2"/>
          </rPr>
          <t>Output Charge (Q</t>
        </r>
        <r>
          <rPr>
            <b/>
            <vertAlign val="subscript"/>
            <sz val="10"/>
            <color indexed="81"/>
            <rFont val="Tahoma"/>
            <family val="2"/>
          </rPr>
          <t>OSS</t>
        </r>
        <r>
          <rPr>
            <b/>
            <sz val="10"/>
            <color indexed="81"/>
            <rFont val="Tahoma"/>
            <family val="2"/>
          </rPr>
          <t xml:space="preserve">):
</t>
        </r>
        <r>
          <rPr>
            <sz val="10"/>
            <color indexed="81"/>
            <rFont val="Tahoma"/>
            <family val="2"/>
          </rPr>
          <t xml:space="preserve">Enter the output capacitance of the high-side MOSFET at the relevant input voltage here. </t>
        </r>
      </text>
    </comment>
    <comment ref="E89" authorId="1" shapeId="0" xr:uid="{00000000-0006-0000-0000-000020000000}">
      <text>
        <r>
          <rPr>
            <b/>
            <sz val="10"/>
            <color indexed="81"/>
            <rFont val="Tahoma"/>
            <family val="2"/>
          </rPr>
          <t>Gate Resistance (R</t>
        </r>
        <r>
          <rPr>
            <b/>
            <vertAlign val="subscript"/>
            <sz val="10"/>
            <color indexed="81"/>
            <rFont val="Tahoma"/>
            <family val="2"/>
          </rPr>
          <t>G</t>
        </r>
        <r>
          <rPr>
            <b/>
            <sz val="10"/>
            <color indexed="81"/>
            <rFont val="Tahoma"/>
            <family val="2"/>
          </rPr>
          <t>):</t>
        </r>
        <r>
          <rPr>
            <sz val="10"/>
            <color indexed="81"/>
            <rFont val="Tahoma"/>
            <family val="2"/>
          </rPr>
          <t xml:space="preserve">
Enter the high-side MOSFET gate resistance here. </t>
        </r>
      </text>
    </comment>
    <comment ref="E90" authorId="1" shapeId="0" xr:uid="{00000000-0006-0000-0000-000021000000}">
      <text>
        <r>
          <rPr>
            <b/>
            <sz val="10"/>
            <color indexed="81"/>
            <rFont val="Tahoma"/>
            <family val="2"/>
          </rPr>
          <t>Forward Transconductance (g</t>
        </r>
        <r>
          <rPr>
            <b/>
            <vertAlign val="subscript"/>
            <sz val="10"/>
            <color indexed="81"/>
            <rFont val="Tahoma"/>
            <family val="2"/>
          </rPr>
          <t>FS</t>
        </r>
        <r>
          <rPr>
            <b/>
            <sz val="10"/>
            <color indexed="81"/>
            <rFont val="Tahoma"/>
            <family val="2"/>
          </rPr>
          <t xml:space="preserve">):
</t>
        </r>
        <r>
          <rPr>
            <sz val="10"/>
            <color indexed="81"/>
            <rFont val="Tahoma"/>
            <family val="2"/>
          </rPr>
          <t>Enter the forward transconductance rating of the high-side MOSFET here.</t>
        </r>
      </text>
    </comment>
    <comment ref="E91" authorId="1" shapeId="0" xr:uid="{00000000-0006-0000-0000-000022000000}">
      <text>
        <r>
          <rPr>
            <b/>
            <sz val="10"/>
            <color indexed="81"/>
            <rFont val="Tahoma"/>
            <family val="2"/>
          </rPr>
          <t>Gate to Source Threshold Voltage (V</t>
        </r>
        <r>
          <rPr>
            <b/>
            <vertAlign val="subscript"/>
            <sz val="10"/>
            <color indexed="81"/>
            <rFont val="Tahoma"/>
            <family val="2"/>
          </rPr>
          <t>GS(TH)</t>
        </r>
        <r>
          <rPr>
            <b/>
            <sz val="10"/>
            <color indexed="81"/>
            <rFont val="Tahoma"/>
            <family val="2"/>
          </rPr>
          <t xml:space="preserve">):
</t>
        </r>
        <r>
          <rPr>
            <sz val="10"/>
            <color indexed="81"/>
            <rFont val="Tahoma"/>
            <family val="2"/>
          </rPr>
          <t>Enter the MOSFET gate-source threshold voltage at rated current here. This can be taken as the plateau voltage in the V</t>
        </r>
        <r>
          <rPr>
            <vertAlign val="subscript"/>
            <sz val="10"/>
            <color indexed="81"/>
            <rFont val="Tahoma"/>
            <family val="2"/>
          </rPr>
          <t>GS</t>
        </r>
        <r>
          <rPr>
            <sz val="10"/>
            <color indexed="81"/>
            <rFont val="Tahoma"/>
            <family val="2"/>
          </rPr>
          <t>-Q</t>
        </r>
        <r>
          <rPr>
            <vertAlign val="subscript"/>
            <sz val="10"/>
            <color indexed="81"/>
            <rFont val="Tahoma"/>
            <family val="2"/>
          </rPr>
          <t>G</t>
        </r>
        <r>
          <rPr>
            <sz val="10"/>
            <color indexed="81"/>
            <rFont val="Tahoma"/>
            <family val="2"/>
          </rPr>
          <t xml:space="preserve"> curve in the MOSFET datasheet.
</t>
        </r>
      </text>
    </comment>
    <comment ref="E92" authorId="1" shapeId="0" xr:uid="{00000000-0006-0000-0000-000023000000}">
      <text>
        <r>
          <rPr>
            <b/>
            <sz val="10"/>
            <color indexed="81"/>
            <rFont val="Tahoma"/>
            <family val="2"/>
          </rPr>
          <t>Body Diode Forward Voltage (V</t>
        </r>
        <r>
          <rPr>
            <b/>
            <vertAlign val="subscript"/>
            <sz val="10"/>
            <color indexed="81"/>
            <rFont val="Tahoma"/>
            <family val="2"/>
          </rPr>
          <t>bd1</t>
        </r>
        <r>
          <rPr>
            <b/>
            <sz val="10"/>
            <color indexed="81"/>
            <rFont val="Tahoma"/>
            <family val="2"/>
          </rPr>
          <t xml:space="preserve">):
</t>
        </r>
        <r>
          <rPr>
            <sz val="10"/>
            <color indexed="81"/>
            <rFont val="Tahoma"/>
            <family val="2"/>
          </rPr>
          <t>A MOSFET has an inherent reverse body diode, and the voltage drop usually is specified at a rated current. The high-side MOSFET body diode contributes power loss during negative current events.</t>
        </r>
      </text>
    </comment>
    <comment ref="E93" authorId="1" shapeId="0" xr:uid="{00000000-0006-0000-0000-000024000000}">
      <text>
        <r>
          <rPr>
            <b/>
            <sz val="10"/>
            <color indexed="81"/>
            <rFont val="Tahoma"/>
            <family val="2"/>
          </rPr>
          <t>θ</t>
        </r>
        <r>
          <rPr>
            <b/>
            <vertAlign val="subscript"/>
            <sz val="10"/>
            <color indexed="81"/>
            <rFont val="Tahoma"/>
            <family val="2"/>
          </rPr>
          <t>JA</t>
        </r>
        <r>
          <rPr>
            <b/>
            <sz val="10"/>
            <color indexed="81"/>
            <rFont val="Tahoma"/>
            <family val="2"/>
          </rPr>
          <t xml:space="preserve">:
</t>
        </r>
        <r>
          <rPr>
            <sz val="10"/>
            <color indexed="81"/>
            <rFont val="Tahoma"/>
            <family val="2"/>
          </rPr>
          <t>θ</t>
        </r>
        <r>
          <rPr>
            <vertAlign val="subscript"/>
            <sz val="10"/>
            <color indexed="81"/>
            <rFont val="Tahoma"/>
            <family val="2"/>
          </rPr>
          <t>JA</t>
        </r>
        <r>
          <rPr>
            <sz val="10"/>
            <color indexed="81"/>
            <rFont val="Tahoma"/>
            <family val="2"/>
          </rPr>
          <t xml:space="preserve"> is the junction-to-ambient thermal resistance of the MOSFET. Higher θ</t>
        </r>
        <r>
          <rPr>
            <vertAlign val="subscript"/>
            <sz val="10"/>
            <color indexed="81"/>
            <rFont val="Tahoma"/>
            <family val="2"/>
          </rPr>
          <t>JA</t>
        </r>
        <r>
          <rPr>
            <sz val="10"/>
            <color indexed="81"/>
            <rFont val="Tahoma"/>
            <family val="2"/>
          </rPr>
          <t xml:space="preserve"> will lead to higher power loss and reduced efficiency. High current designs demand low θ</t>
        </r>
        <r>
          <rPr>
            <vertAlign val="subscript"/>
            <sz val="10"/>
            <color indexed="81"/>
            <rFont val="Tahoma"/>
            <family val="2"/>
          </rPr>
          <t>JA</t>
        </r>
        <r>
          <rPr>
            <sz val="10"/>
            <color indexed="81"/>
            <rFont val="Tahoma"/>
            <family val="2"/>
          </rPr>
          <t xml:space="preserve"> rating to help maintain low MOSFET operating junction temperature. What's imperative here is consciencious PCB design and layout to maximize heat removal from the MOSFET.</t>
        </r>
      </text>
    </comment>
    <comment ref="E96" authorId="1" shapeId="0" xr:uid="{00000000-0006-0000-0000-000025000000}">
      <text>
        <r>
          <rPr>
            <b/>
            <sz val="10"/>
            <color indexed="81"/>
            <rFont val="Tahoma"/>
            <family val="2"/>
          </rPr>
          <t>MOSFET On-State Resistance (R</t>
        </r>
        <r>
          <rPr>
            <b/>
            <vertAlign val="subscript"/>
            <sz val="10"/>
            <color indexed="81"/>
            <rFont val="Tahoma"/>
            <family val="2"/>
          </rPr>
          <t>DS(on)</t>
        </r>
        <r>
          <rPr>
            <b/>
            <sz val="10"/>
            <color indexed="81"/>
            <rFont val="Tahoma"/>
            <family val="2"/>
          </rPr>
          <t xml:space="preserve">):
</t>
        </r>
        <r>
          <rPr>
            <sz val="10"/>
            <color indexed="81"/>
            <rFont val="Tahoma"/>
            <family val="2"/>
          </rPr>
          <t>Enter the R</t>
        </r>
        <r>
          <rPr>
            <vertAlign val="subscript"/>
            <sz val="10"/>
            <color indexed="81"/>
            <rFont val="Tahoma"/>
            <family val="2"/>
          </rPr>
          <t>DS(on)</t>
        </r>
        <r>
          <rPr>
            <sz val="10"/>
            <color indexed="81"/>
            <rFont val="Tahoma"/>
            <family val="2"/>
          </rPr>
          <t xml:space="preserve"> of the low-side MOSFET here (V</t>
        </r>
        <r>
          <rPr>
            <vertAlign val="subscript"/>
            <sz val="10"/>
            <color indexed="81"/>
            <rFont val="Tahoma"/>
            <family val="2"/>
          </rPr>
          <t>GS</t>
        </r>
        <r>
          <rPr>
            <sz val="10"/>
            <color indexed="81"/>
            <rFont val="Tahoma"/>
            <family val="2"/>
          </rPr>
          <t xml:space="preserve"> = 7.5V).
High current designs (&gt;10A) can incur large conduction losses and, as such, demand MOSFETs with low R</t>
        </r>
        <r>
          <rPr>
            <vertAlign val="subscript"/>
            <sz val="10"/>
            <color indexed="81"/>
            <rFont val="Tahoma"/>
            <family val="2"/>
          </rPr>
          <t>DS(on)</t>
        </r>
        <r>
          <rPr>
            <sz val="10"/>
            <color indexed="81"/>
            <rFont val="Tahoma"/>
            <family val="2"/>
          </rPr>
          <t xml:space="preserve"> </t>
        </r>
        <r>
          <rPr>
            <sz val="10"/>
            <color indexed="81"/>
            <rFont val="Calibri"/>
            <family val="2"/>
          </rPr>
          <t xml:space="preserve">– </t>
        </r>
        <r>
          <rPr>
            <sz val="10"/>
            <color indexed="81"/>
            <rFont val="Tahoma"/>
            <family val="2"/>
          </rPr>
          <t>usually at the expense of larger Q</t>
        </r>
        <r>
          <rPr>
            <vertAlign val="subscript"/>
            <sz val="10"/>
            <color indexed="81"/>
            <rFont val="Tahoma"/>
            <family val="2"/>
          </rPr>
          <t>G</t>
        </r>
        <r>
          <rPr>
            <sz val="10"/>
            <color indexed="81"/>
            <rFont val="Tahoma"/>
            <family val="2"/>
          </rPr>
          <t>. MOSFET R</t>
        </r>
        <r>
          <rPr>
            <vertAlign val="subscript"/>
            <sz val="10"/>
            <color indexed="81"/>
            <rFont val="Tahoma"/>
            <family val="2"/>
          </rPr>
          <t>DS(on)</t>
        </r>
        <r>
          <rPr>
            <sz val="10"/>
            <color indexed="81"/>
            <rFont val="Tahoma"/>
            <family val="2"/>
          </rPr>
          <t xml:space="preserve"> temperature coefficient is accounted for in the efficiency and power dissipation calculations.  </t>
        </r>
      </text>
    </comment>
    <comment ref="E97" authorId="1" shapeId="0" xr:uid="{00000000-0006-0000-0000-000026000000}">
      <text>
        <r>
          <rPr>
            <b/>
            <sz val="10"/>
            <color indexed="81"/>
            <rFont val="Tahoma"/>
            <family val="2"/>
          </rPr>
          <t>Total Gate Charge (Q</t>
        </r>
        <r>
          <rPr>
            <b/>
            <vertAlign val="subscript"/>
            <sz val="10"/>
            <color indexed="81"/>
            <rFont val="Tahoma"/>
            <family val="2"/>
          </rPr>
          <t>G</t>
        </r>
        <r>
          <rPr>
            <b/>
            <sz val="10"/>
            <color indexed="81"/>
            <rFont val="Tahoma"/>
            <family val="2"/>
          </rPr>
          <t xml:space="preserve">):
</t>
        </r>
        <r>
          <rPr>
            <sz val="10"/>
            <color indexed="81"/>
            <rFont val="Tahoma"/>
            <family val="2"/>
          </rPr>
          <t>Enter the total gate charge of the low-side MOSFET here.</t>
        </r>
      </text>
    </comment>
    <comment ref="E98" authorId="1" shapeId="0" xr:uid="{00000000-0006-0000-0000-000027000000}">
      <text>
        <r>
          <rPr>
            <b/>
            <sz val="10"/>
            <color indexed="81"/>
            <rFont val="Tahoma"/>
            <family val="2"/>
          </rPr>
          <t>Output Charge (Q</t>
        </r>
        <r>
          <rPr>
            <b/>
            <vertAlign val="subscript"/>
            <sz val="10"/>
            <color indexed="81"/>
            <rFont val="Tahoma"/>
            <family val="2"/>
          </rPr>
          <t>OSS</t>
        </r>
        <r>
          <rPr>
            <b/>
            <sz val="10"/>
            <color indexed="81"/>
            <rFont val="Tahoma"/>
            <family val="2"/>
          </rPr>
          <t xml:space="preserve">):
</t>
        </r>
        <r>
          <rPr>
            <sz val="10"/>
            <color indexed="81"/>
            <rFont val="Tahoma"/>
            <family val="2"/>
          </rPr>
          <t xml:space="preserve">Enter the output charge of the low-side MOSFET at the relevant input voltage here. </t>
        </r>
      </text>
    </comment>
    <comment ref="E99" authorId="1" shapeId="0" xr:uid="{00000000-0006-0000-0000-000028000000}">
      <text>
        <r>
          <rPr>
            <b/>
            <sz val="10"/>
            <color indexed="81"/>
            <rFont val="Tahoma"/>
            <family val="2"/>
          </rPr>
          <t>Output Charge (Q</t>
        </r>
        <r>
          <rPr>
            <b/>
            <vertAlign val="subscript"/>
            <sz val="10"/>
            <color indexed="81"/>
            <rFont val="Tahoma"/>
            <family val="2"/>
          </rPr>
          <t>OSS</t>
        </r>
        <r>
          <rPr>
            <b/>
            <sz val="10"/>
            <color indexed="81"/>
            <rFont val="Tahoma"/>
            <family val="2"/>
          </rPr>
          <t xml:space="preserve">):
</t>
        </r>
        <r>
          <rPr>
            <sz val="10"/>
            <color indexed="81"/>
            <rFont val="Tahoma"/>
            <family val="2"/>
          </rPr>
          <t xml:space="preserve">Enter the MOSFET's output capacitance at the relevant input voltage here. </t>
        </r>
      </text>
    </comment>
    <comment ref="E100" authorId="1" shapeId="0" xr:uid="{00000000-0006-0000-0000-000029000000}">
      <text>
        <r>
          <rPr>
            <b/>
            <sz val="9"/>
            <color indexed="81"/>
            <rFont val="Tahoma"/>
            <family val="2"/>
          </rPr>
          <t>Body Diode Voltage (V</t>
        </r>
        <r>
          <rPr>
            <b/>
            <vertAlign val="subscript"/>
            <sz val="9"/>
            <color indexed="81"/>
            <rFont val="Tahoma"/>
            <family val="2"/>
          </rPr>
          <t>sd</t>
        </r>
        <r>
          <rPr>
            <b/>
            <sz val="9"/>
            <color indexed="81"/>
            <rFont val="Tahoma"/>
            <family val="2"/>
          </rPr>
          <t xml:space="preserve">):
</t>
        </r>
        <r>
          <rPr>
            <sz val="9"/>
            <color indexed="81"/>
            <rFont val="Tahoma"/>
            <family val="2"/>
          </rPr>
          <t>The low-side MOSFET body diode can contribute substantial power loss related to (1) body diode conduction drop during the deadtime, and (2) diode reverse recovery current.</t>
        </r>
      </text>
    </comment>
    <comment ref="E101" authorId="1" shapeId="0" xr:uid="{00000000-0006-0000-0000-00002A000000}">
      <text>
        <r>
          <rPr>
            <b/>
            <sz val="10"/>
            <color indexed="81"/>
            <rFont val="Tahoma"/>
            <family val="2"/>
          </rPr>
          <t>Body Diode Recovery Charge (Q</t>
        </r>
        <r>
          <rPr>
            <b/>
            <vertAlign val="subscript"/>
            <sz val="10"/>
            <color indexed="81"/>
            <rFont val="Tahoma"/>
            <family val="2"/>
          </rPr>
          <t>RR</t>
        </r>
        <r>
          <rPr>
            <b/>
            <sz val="10"/>
            <color indexed="81"/>
            <rFont val="Tahoma"/>
            <family val="2"/>
          </rPr>
          <t xml:space="preserve">):
</t>
        </r>
        <r>
          <rPr>
            <sz val="10"/>
            <color indexed="81"/>
            <rFont val="Tahoma"/>
            <family val="2"/>
          </rPr>
          <t xml:space="preserve">Enter the reverse recovery charge of the low-side MOSFET body diode here. </t>
        </r>
      </text>
    </comment>
    <comment ref="E102" authorId="1" shapeId="0" xr:uid="{00000000-0006-0000-0000-00002B000000}">
      <text>
        <r>
          <rPr>
            <b/>
            <sz val="10"/>
            <color indexed="81"/>
            <rFont val="Tahoma"/>
            <family val="2"/>
          </rPr>
          <t>θ</t>
        </r>
        <r>
          <rPr>
            <b/>
            <vertAlign val="subscript"/>
            <sz val="10"/>
            <color indexed="81"/>
            <rFont val="Tahoma"/>
            <family val="2"/>
          </rPr>
          <t>JA</t>
        </r>
        <r>
          <rPr>
            <b/>
            <sz val="10"/>
            <color indexed="81"/>
            <rFont val="Tahoma"/>
            <family val="2"/>
          </rPr>
          <t xml:space="preserve">:
</t>
        </r>
        <r>
          <rPr>
            <sz val="10"/>
            <color indexed="81"/>
            <rFont val="Tahoma"/>
            <family val="2"/>
          </rPr>
          <t>θ</t>
        </r>
        <r>
          <rPr>
            <vertAlign val="subscript"/>
            <sz val="10"/>
            <color indexed="81"/>
            <rFont val="Tahoma"/>
            <family val="2"/>
          </rPr>
          <t>JA</t>
        </r>
        <r>
          <rPr>
            <sz val="10"/>
            <color indexed="81"/>
            <rFont val="Tahoma"/>
            <family val="2"/>
          </rPr>
          <t xml:space="preserve"> is the junction-to-ambient thermal resistance of the MOSFET. Higher θ</t>
        </r>
        <r>
          <rPr>
            <vertAlign val="subscript"/>
            <sz val="10"/>
            <color indexed="81"/>
            <rFont val="Tahoma"/>
            <family val="2"/>
          </rPr>
          <t>JA</t>
        </r>
        <r>
          <rPr>
            <sz val="10"/>
            <color indexed="81"/>
            <rFont val="Tahoma"/>
            <family val="2"/>
          </rPr>
          <t xml:space="preserve"> will lead to higher power loss and reduced efficiency. High current designs demand low θ</t>
        </r>
        <r>
          <rPr>
            <vertAlign val="subscript"/>
            <sz val="10"/>
            <color indexed="81"/>
            <rFont val="Tahoma"/>
            <family val="2"/>
          </rPr>
          <t>JA</t>
        </r>
        <r>
          <rPr>
            <sz val="10"/>
            <color indexed="81"/>
            <rFont val="Tahoma"/>
            <family val="2"/>
          </rPr>
          <t xml:space="preserve"> rating to help maintain low MOSFET operating junction temperature. What's imperative here is consciencious PCB design and layout to maximize heat removal from the MOSFET.</t>
        </r>
      </text>
    </comment>
    <comment ref="E104" authorId="1" shapeId="0" xr:uid="{00000000-0006-0000-0000-00002C000000}">
      <text>
        <r>
          <rPr>
            <b/>
            <sz val="10"/>
            <color indexed="81"/>
            <rFont val="Tahoma"/>
            <family val="2"/>
          </rPr>
          <t xml:space="preserve">Schottky Forward Voltage:
</t>
        </r>
        <r>
          <rPr>
            <sz val="10"/>
            <color indexed="81"/>
            <rFont val="Tahoma"/>
            <family val="2"/>
          </rPr>
          <t>If a Schottky diode is used, enter the forward voltage at the rated current here. If a Schottky diode is not used, enter "0" into this cell.</t>
        </r>
      </text>
    </comment>
    <comment ref="E105" authorId="1" shapeId="0" xr:uid="{00000000-0006-0000-0000-00002D000000}">
      <text>
        <r>
          <rPr>
            <b/>
            <sz val="10"/>
            <color indexed="81"/>
            <rFont val="Tahoma"/>
            <family val="2"/>
          </rPr>
          <t xml:space="preserve">Schottky Diode Reverse Recovery Charge:
</t>
        </r>
        <r>
          <rPr>
            <sz val="10"/>
            <color indexed="81"/>
            <rFont val="Tahoma"/>
            <family val="2"/>
          </rPr>
          <t>Enter the diode reverse recovery charge here. If a Schottky diode is not used, enter "0" into this cell.</t>
        </r>
      </text>
    </comment>
  </commentList>
</comments>
</file>

<file path=xl/sharedStrings.xml><?xml version="1.0" encoding="utf-8"?>
<sst xmlns="http://schemas.openxmlformats.org/spreadsheetml/2006/main" count="1354" uniqueCount="757">
  <si>
    <t>V</t>
  </si>
  <si>
    <t>Output Voltage</t>
  </si>
  <si>
    <t>A</t>
  </si>
  <si>
    <t>kHz</t>
  </si>
  <si>
    <t>Vin</t>
  </si>
  <si>
    <t>Vout</t>
  </si>
  <si>
    <t>Iout</t>
  </si>
  <si>
    <t>Fsw</t>
  </si>
  <si>
    <t>Value</t>
  </si>
  <si>
    <t>STD Units</t>
  </si>
  <si>
    <t>Hz</t>
  </si>
  <si>
    <t>uH</t>
  </si>
  <si>
    <t>Rdcr</t>
  </si>
  <si>
    <t>Notes</t>
  </si>
  <si>
    <t>Nominal input voltage</t>
  </si>
  <si>
    <t>Maximum output Current</t>
  </si>
  <si>
    <t>Nominal Operational Frequency</t>
  </si>
  <si>
    <t>ideal Duty Cycle</t>
  </si>
  <si>
    <t>Ideal 1- Duty Cycle</t>
  </si>
  <si>
    <t>Don1</t>
  </si>
  <si>
    <t>Doff1</t>
  </si>
  <si>
    <t>Don2</t>
  </si>
  <si>
    <t>Doff2</t>
  </si>
  <si>
    <t>index</t>
  </si>
  <si>
    <t>H</t>
  </si>
  <si>
    <t>Ohms</t>
  </si>
  <si>
    <t>Vripple1</t>
  </si>
  <si>
    <t>Choosen Initial Voltage ripple Value</t>
  </si>
  <si>
    <t>Minimum Output Capacitnace</t>
  </si>
  <si>
    <t>Coutmin</t>
  </si>
  <si>
    <t>uF</t>
  </si>
  <si>
    <t>Lout1</t>
  </si>
  <si>
    <t>Lout2</t>
  </si>
  <si>
    <t>Irripple1</t>
  </si>
  <si>
    <t>F</t>
  </si>
  <si>
    <t>Choosen Output Capacitor</t>
  </si>
  <si>
    <t>Cout</t>
  </si>
  <si>
    <t>Compensation</t>
  </si>
  <si>
    <t>iteration</t>
  </si>
  <si>
    <t>Fo</t>
  </si>
  <si>
    <t>LC Double Pole Location</t>
  </si>
  <si>
    <t>Fesr</t>
  </si>
  <si>
    <t>Q</t>
  </si>
  <si>
    <t>Quality Factor of LC output Filter</t>
  </si>
  <si>
    <t>Frequency</t>
  </si>
  <si>
    <t>Bode Plot Setup</t>
  </si>
  <si>
    <t>Output Filter</t>
  </si>
  <si>
    <t>Esr zero</t>
  </si>
  <si>
    <t>LC Double Pole</t>
  </si>
  <si>
    <t>V/V</t>
  </si>
  <si>
    <t>Origin Pole</t>
  </si>
  <si>
    <t>Kmidband</t>
  </si>
  <si>
    <t>Rfb1</t>
  </si>
  <si>
    <t>pF</t>
  </si>
  <si>
    <t>Cc1ea</t>
  </si>
  <si>
    <t>Cc2ea</t>
  </si>
  <si>
    <t>Rcea2</t>
  </si>
  <si>
    <t>Cc3ea</t>
  </si>
  <si>
    <t>Rcea1</t>
  </si>
  <si>
    <t>Rcea1_u</t>
  </si>
  <si>
    <t>Cc1ea_u</t>
  </si>
  <si>
    <t>Cc2ea_u</t>
  </si>
  <si>
    <t>Rcea2_u</t>
  </si>
  <si>
    <t>Cc3ea_u</t>
  </si>
  <si>
    <t>Fz1</t>
  </si>
  <si>
    <t>Fz2</t>
  </si>
  <si>
    <t>Fp1</t>
  </si>
  <si>
    <t>Fp2</t>
  </si>
  <si>
    <t>Gain</t>
  </si>
  <si>
    <t>Phase</t>
  </si>
  <si>
    <t>Pi</t>
  </si>
  <si>
    <t>Total Gain</t>
  </si>
  <si>
    <t>Total Phase</t>
  </si>
  <si>
    <t>Phase margin</t>
  </si>
  <si>
    <t>Vramp</t>
  </si>
  <si>
    <t>Vp-p</t>
  </si>
  <si>
    <t>Pwm</t>
  </si>
  <si>
    <t>Rfb2</t>
  </si>
  <si>
    <t>Vref</t>
  </si>
  <si>
    <t>Reference Voltage</t>
  </si>
  <si>
    <t>Ro</t>
  </si>
  <si>
    <t>Eadcg</t>
  </si>
  <si>
    <t>GBP</t>
  </si>
  <si>
    <t>A(s)</t>
  </si>
  <si>
    <t>xover</t>
  </si>
  <si>
    <t>phase margin</t>
  </si>
  <si>
    <t>Z1</t>
  </si>
  <si>
    <t>Z3</t>
  </si>
  <si>
    <t>Real</t>
  </si>
  <si>
    <t>Imag</t>
  </si>
  <si>
    <t>Num</t>
  </si>
  <si>
    <t>Den</t>
  </si>
  <si>
    <t>Total</t>
  </si>
  <si>
    <t>a</t>
  </si>
  <si>
    <t>b</t>
  </si>
  <si>
    <t>c</t>
  </si>
  <si>
    <t>d</t>
  </si>
  <si>
    <t>Z1 Real</t>
  </si>
  <si>
    <t>Z1 Imag</t>
  </si>
  <si>
    <t>Z3 Imag</t>
  </si>
  <si>
    <t>Z3 Real</t>
  </si>
  <si>
    <t>EAGain</t>
  </si>
  <si>
    <t>Ea Phase</t>
  </si>
  <si>
    <t>Ea Gain (db)</t>
  </si>
  <si>
    <t>Total Phase Margin</t>
  </si>
  <si>
    <t>Design Output</t>
  </si>
  <si>
    <t>EA MODELING</t>
  </si>
  <si>
    <t>Ea Gain BW</t>
  </si>
  <si>
    <t>Complex EA</t>
  </si>
  <si>
    <t>Actual EA Response</t>
  </si>
  <si>
    <t>Actual Total System Response</t>
  </si>
  <si>
    <t>XOVER SEARCH</t>
  </si>
  <si>
    <t>Step 2: Inductor</t>
  </si>
  <si>
    <t>Variable Name</t>
  </si>
  <si>
    <t>Resrmax</t>
  </si>
  <si>
    <t>mΩ</t>
  </si>
  <si>
    <t>kΩ</t>
  </si>
  <si>
    <t>TERMS OF USE</t>
  </si>
  <si>
    <t>Currents</t>
  </si>
  <si>
    <t>IQ</t>
  </si>
  <si>
    <t>Step</t>
  </si>
  <si>
    <t>Core</t>
  </si>
  <si>
    <t>Total Loss</t>
  </si>
  <si>
    <t>OUTPUT POWER</t>
  </si>
  <si>
    <t>EFF</t>
  </si>
  <si>
    <t>Design</t>
  </si>
  <si>
    <t>L</t>
  </si>
  <si>
    <t>Cin</t>
  </si>
  <si>
    <t>Components</t>
  </si>
  <si>
    <t>Top FET</t>
  </si>
  <si>
    <t>Bottom FET</t>
  </si>
  <si>
    <t>RdsonDRB</t>
  </si>
  <si>
    <t>RdsonDRT</t>
  </si>
  <si>
    <t>Deadtime</t>
  </si>
  <si>
    <t>mOhms</t>
  </si>
  <si>
    <t>mA</t>
  </si>
  <si>
    <t>nC</t>
  </si>
  <si>
    <t>S</t>
  </si>
  <si>
    <t>QgBot</t>
  </si>
  <si>
    <t>RdsonBot</t>
  </si>
  <si>
    <t>GfsTop</t>
  </si>
  <si>
    <t>QgTop</t>
  </si>
  <si>
    <t>RdsonTop</t>
  </si>
  <si>
    <t xml:space="preserve">INDUCTOR </t>
  </si>
  <si>
    <t>VsdBot</t>
  </si>
  <si>
    <t>QrrBot</t>
  </si>
  <si>
    <t>TrrBot</t>
  </si>
  <si>
    <t>ns</t>
  </si>
  <si>
    <t>Units</t>
  </si>
  <si>
    <t>Outputs</t>
  </si>
  <si>
    <t>Bottom FET/Diode</t>
  </si>
  <si>
    <t>Dprime</t>
  </si>
  <si>
    <t>RdsonTopTc</t>
  </si>
  <si>
    <t>RdsonBotTc</t>
  </si>
  <si>
    <t>ppm</t>
  </si>
  <si>
    <t>LTc</t>
  </si>
  <si>
    <t>Ta</t>
  </si>
  <si>
    <t>Irms</t>
  </si>
  <si>
    <t>RCoutEsr</t>
  </si>
  <si>
    <t>RCinEsr</t>
  </si>
  <si>
    <t>ThetaJaBot</t>
  </si>
  <si>
    <t>ThetaJaTop</t>
  </si>
  <si>
    <t>RDSON Loss</t>
  </si>
  <si>
    <t>Cin Esr   Loss</t>
  </si>
  <si>
    <t>Cout Esr Loss</t>
  </si>
  <si>
    <t>DCR    Loss</t>
  </si>
  <si>
    <t>Tr</t>
  </si>
  <si>
    <t>Tf</t>
  </si>
  <si>
    <t>RGateTop</t>
  </si>
  <si>
    <t>RGateBot</t>
  </si>
  <si>
    <t>VthTop</t>
  </si>
  <si>
    <t>Reverse Recovery Loss</t>
  </si>
  <si>
    <t>DeadTime Loss</t>
  </si>
  <si>
    <t>Switching Frequency</t>
  </si>
  <si>
    <t>Max Output Current</t>
  </si>
  <si>
    <t>Ambient Temperature</t>
  </si>
  <si>
    <t>Inductor Series Resistance Temp Co</t>
  </si>
  <si>
    <t>Input Capacitor Capacitance</t>
  </si>
  <si>
    <t>Input Capacitor Series Resistance</t>
  </si>
  <si>
    <t>Total Deadtime</t>
  </si>
  <si>
    <t>Gate Charge Of Top FET</t>
  </si>
  <si>
    <t>Gate Resistance</t>
  </si>
  <si>
    <t>Transconductance of Top FET</t>
  </si>
  <si>
    <t>Threshold Voltage of Top FET</t>
  </si>
  <si>
    <t>Junction to Ambient Resistance</t>
  </si>
  <si>
    <t>Drain To Source Resitance Temp Co</t>
  </si>
  <si>
    <t>Diode Forward Voltage of Bottom FET Body Diode</t>
  </si>
  <si>
    <t>Reverse Recovery Time of Body Diode</t>
  </si>
  <si>
    <t>Description</t>
  </si>
  <si>
    <t>Input Parameters</t>
  </si>
  <si>
    <t>Output Inductor Inductance Value</t>
  </si>
  <si>
    <t>Inductor Series Resistance at 25 Degrees C</t>
  </si>
  <si>
    <t>Drain To Source Resistance of Bottom FET Driver</t>
  </si>
  <si>
    <t>Drain to Source Resistance Temp Co</t>
  </si>
  <si>
    <t xml:space="preserve">Drain to Source Resistance of Top FET </t>
  </si>
  <si>
    <t>BUCK CONTROLLER POWER TOOL</t>
  </si>
  <si>
    <t>Reverse Recovery Charge of Body Diode</t>
  </si>
  <si>
    <t>IQ      Loss</t>
  </si>
  <si>
    <t>Enter the values of your design and FET datasheet specifications below. Note that thermal resistance ("Theta JA") will change when components are placed on the PCB</t>
  </si>
  <si>
    <t>Output Capacitor Capcitance</t>
  </si>
  <si>
    <t>Output Capacitor Series Resistance</t>
  </si>
  <si>
    <t>Input Value</t>
  </si>
  <si>
    <t>Top Driver</t>
  </si>
  <si>
    <t>Bottom Driver</t>
  </si>
  <si>
    <t>Drain to Source Resistance of pull up Top FET Driver</t>
  </si>
  <si>
    <t>Drain to Source Resistance of pull down Top FET Driver</t>
  </si>
  <si>
    <t>Part Power</t>
  </si>
  <si>
    <t>Power Dis</t>
  </si>
  <si>
    <t>W</t>
  </si>
  <si>
    <t>Controller</t>
  </si>
  <si>
    <t>Theta Ja</t>
  </si>
  <si>
    <t>Temp rise</t>
  </si>
  <si>
    <t>θJA=80</t>
  </si>
  <si>
    <t>θJA=100</t>
  </si>
  <si>
    <t>θJA=120</t>
  </si>
  <si>
    <t>θJA=140</t>
  </si>
  <si>
    <t>θJA=160</t>
  </si>
  <si>
    <t>θJA=180</t>
  </si>
  <si>
    <t>QgdTop</t>
  </si>
  <si>
    <t>Gate to Drain Charge</t>
  </si>
  <si>
    <t>Qg</t>
  </si>
  <si>
    <t>θJA=20</t>
  </si>
  <si>
    <t>θJA=30</t>
  </si>
  <si>
    <t>θJA=40</t>
  </si>
  <si>
    <t>θJA=50</t>
  </si>
  <si>
    <t>250kHz / 5-1.2V /25A</t>
  </si>
  <si>
    <t>250kHz / 12-5V / 30A</t>
  </si>
  <si>
    <t>500kHz / 5-1.2V / 15A</t>
  </si>
  <si>
    <t>1Mhz / 5-1.2V / 10A</t>
  </si>
  <si>
    <t>1Mhz / 12-1.2V/ 10A</t>
  </si>
  <si>
    <t>500kHz / 12-5V / 15A</t>
  </si>
  <si>
    <t>250kHz / 18-1.2V / 20A</t>
  </si>
  <si>
    <t>500kHz / 18-1.2V / 20A</t>
  </si>
  <si>
    <t>θJA=120°C/W - 160°C/W</t>
  </si>
  <si>
    <t>θJA=30°C/W - 50°C/W</t>
  </si>
  <si>
    <t>VspTop</t>
  </si>
  <si>
    <t>QgsTop</t>
  </si>
  <si>
    <t>Part Losses</t>
  </si>
  <si>
    <t>RdsonDRB2</t>
  </si>
  <si>
    <t>RdsonDRT2</t>
  </si>
  <si>
    <t>EFF_1 @ 25°C</t>
  </si>
  <si>
    <t>Efficiency</t>
  </si>
  <si>
    <t>Pdis</t>
  </si>
  <si>
    <t>Vin=10V</t>
  </si>
  <si>
    <t>Vout=5.1V</t>
  </si>
  <si>
    <t xml:space="preserve">L=3.3uH/30mOhm </t>
  </si>
  <si>
    <t>4394 Top and Bottom Fets</t>
  </si>
  <si>
    <t>Duty Cycle</t>
  </si>
  <si>
    <t>Current Ripple p-p</t>
  </si>
  <si>
    <t xml:space="preserve">IQ </t>
  </si>
  <si>
    <t>ThetaCa</t>
  </si>
  <si>
    <t>Core to Ambient Thermal Resistance</t>
  </si>
  <si>
    <t>IRMS</t>
  </si>
  <si>
    <t>Total Part Loss</t>
  </si>
  <si>
    <t>RESULSTS</t>
  </si>
  <si>
    <t xml:space="preserve">LOW SIDE FET Losses </t>
  </si>
  <si>
    <t xml:space="preserve">HIGH SIDE FET losses </t>
  </si>
  <si>
    <t>Top FET Temp Rise</t>
  </si>
  <si>
    <t>Bottom FET Temp Rise</t>
  </si>
  <si>
    <t>Quiescent Current Of Controller (Not Switching!)</t>
  </si>
  <si>
    <t>Top Feedback Resistor</t>
  </si>
  <si>
    <t>This along with Rcea1 will set a zero</t>
  </si>
  <si>
    <t>This pole is set at half the switching frequency</t>
  </si>
  <si>
    <t>This pole cancels the zero from the Output Cap ESR</t>
  </si>
  <si>
    <t>PI</t>
  </si>
  <si>
    <t>s</t>
  </si>
  <si>
    <t>Switch Point Voltage of Top FET</t>
  </si>
  <si>
    <t>ThetaJaCtrl</t>
  </si>
  <si>
    <t>Part Characteristics</t>
  </si>
  <si>
    <t>C</t>
  </si>
  <si>
    <t>Switching Current Loss</t>
  </si>
  <si>
    <t>Rfb2_u</t>
  </si>
  <si>
    <t>CoutEsr</t>
  </si>
  <si>
    <t>Ilimit</t>
  </si>
  <si>
    <t>Ω</t>
  </si>
  <si>
    <t>Step 3: Current Limit</t>
  </si>
  <si>
    <t>Step 4: Output Capacitor</t>
  </si>
  <si>
    <t>Step 5: Input Capacitor</t>
  </si>
  <si>
    <t>nF</t>
  </si>
  <si>
    <t>R1</t>
  </si>
  <si>
    <t>R2</t>
  </si>
  <si>
    <t>VIN</t>
  </si>
  <si>
    <t>A (rms)</t>
  </si>
  <si>
    <t>Icinrms</t>
  </si>
  <si>
    <t>Icoutrms</t>
  </si>
  <si>
    <t>= Input Box</t>
  </si>
  <si>
    <t>Excel Variables Names/Calculations</t>
  </si>
  <si>
    <t>Input capacitance</t>
  </si>
  <si>
    <t>Step 1: Operational Specs</t>
  </si>
  <si>
    <t>Ilimit2</t>
  </si>
  <si>
    <t>Step 6: Soft Start</t>
  </si>
  <si>
    <t>ms</t>
  </si>
  <si>
    <t>Tss</t>
  </si>
  <si>
    <t>Soft Start Time</t>
  </si>
  <si>
    <t>Iss</t>
  </si>
  <si>
    <t>Css</t>
  </si>
  <si>
    <t>Rfadj</t>
  </si>
  <si>
    <t>C1</t>
  </si>
  <si>
    <t>C2</t>
  </si>
  <si>
    <t>Ripple I</t>
  </si>
  <si>
    <t>%</t>
  </si>
  <si>
    <t xml:space="preserve">I1 </t>
  </si>
  <si>
    <t xml:space="preserve">I2 </t>
  </si>
  <si>
    <t>Part Number</t>
  </si>
  <si>
    <t>Cby</t>
  </si>
  <si>
    <t>Csb</t>
  </si>
  <si>
    <t>Rh</t>
  </si>
  <si>
    <t>Capacitors</t>
  </si>
  <si>
    <t>(pF)</t>
  </si>
  <si>
    <t>Standard Result</t>
  </si>
  <si>
    <t>Inputs</t>
  </si>
  <si>
    <t>Css_u</t>
  </si>
  <si>
    <t>Resistors</t>
  </si>
  <si>
    <t>Radj</t>
  </si>
  <si>
    <t>inputs</t>
  </si>
  <si>
    <t>Cb</t>
  </si>
  <si>
    <t>Rs1</t>
  </si>
  <si>
    <t>Rs2</t>
  </si>
  <si>
    <t>Rs3</t>
  </si>
  <si>
    <t>Rs4</t>
  </si>
  <si>
    <t xml:space="preserve">                </t>
  </si>
  <si>
    <t>Cdd</t>
  </si>
  <si>
    <t>Cc1</t>
  </si>
  <si>
    <t>Cc2</t>
  </si>
  <si>
    <t>Cc3</t>
  </si>
  <si>
    <t>Csby</t>
  </si>
  <si>
    <t>Rc1</t>
  </si>
  <si>
    <t>Rc2</t>
  </si>
  <si>
    <t>Other Input Variables</t>
  </si>
  <si>
    <t>Step 7: Other Components</t>
  </si>
  <si>
    <t>Step 8: Compensation</t>
  </si>
  <si>
    <r>
      <t>R</t>
    </r>
    <r>
      <rPr>
        <vertAlign val="subscript"/>
        <sz val="10"/>
        <rFont val="Arial"/>
        <family val="2"/>
      </rPr>
      <t>PG</t>
    </r>
  </si>
  <si>
    <r>
      <t>R</t>
    </r>
    <r>
      <rPr>
        <vertAlign val="subscript"/>
        <sz val="10"/>
        <rFont val="Arial"/>
        <family val="2"/>
      </rPr>
      <t>SB</t>
    </r>
  </si>
  <si>
    <t>CSBY</t>
  </si>
  <si>
    <t>Actual Open Loop System Response</t>
  </si>
  <si>
    <t>Comp To Output</t>
  </si>
  <si>
    <t>Total Phase margin</t>
  </si>
  <si>
    <t>Rfets</t>
  </si>
  <si>
    <t>cap loss eq res</t>
  </si>
  <si>
    <t>Fet loss eq res</t>
  </si>
  <si>
    <t>Diode loss eq res</t>
  </si>
  <si>
    <t>Sw cap</t>
  </si>
  <si>
    <t>Output to Comp 5V In @ 500kHz 0A Iout 25DegC</t>
  </si>
  <si>
    <t xml:space="preserve"> </t>
  </si>
  <si>
    <t>Resulting Poles/Zero/Q Locations</t>
  </si>
  <si>
    <t>Rc1ea</t>
  </si>
  <si>
    <t>Rc2ea</t>
  </si>
  <si>
    <t>Frequency of Ringing</t>
  </si>
  <si>
    <t>MHz</t>
  </si>
  <si>
    <t>STD UNITS</t>
  </si>
  <si>
    <t>UNITS</t>
  </si>
  <si>
    <t>SW capacitance</t>
  </si>
  <si>
    <t>Csnub</t>
  </si>
  <si>
    <t>Lpar</t>
  </si>
  <si>
    <t>nH</t>
  </si>
  <si>
    <t>Rsnub</t>
  </si>
  <si>
    <t>TL</t>
  </si>
  <si>
    <t>L/R Time Constant</t>
  </si>
  <si>
    <t>Blank out</t>
  </si>
  <si>
    <t>Sugested Cs</t>
  </si>
  <si>
    <t>Input from user =</t>
  </si>
  <si>
    <t>Constant</t>
  </si>
  <si>
    <t>Step 8: Efficiency</t>
  </si>
  <si>
    <t>Vripple</t>
  </si>
  <si>
    <t>Bottom Shotkey</t>
  </si>
  <si>
    <t>VfdSky</t>
  </si>
  <si>
    <t>QrrSky</t>
  </si>
  <si>
    <t>Ireverse</t>
  </si>
  <si>
    <t>Diode Forward Voltage</t>
  </si>
  <si>
    <t>Diode Reverse Recovery Charge</t>
  </si>
  <si>
    <t>Reverse Leakage Current</t>
  </si>
  <si>
    <t>Diod/eFET</t>
  </si>
  <si>
    <t>External Diode</t>
  </si>
  <si>
    <t>Total Inductor Loss/Diss</t>
  </si>
  <si>
    <t>Total Cout Loss/Diss</t>
  </si>
  <si>
    <t>Total Cin Loss/Diss</t>
  </si>
  <si>
    <t>Total Top FET Loss/Diss</t>
  </si>
  <si>
    <t xml:space="preserve">Dead Time Loss </t>
  </si>
  <si>
    <t>VsdTop</t>
  </si>
  <si>
    <t>Switching Current Diss</t>
  </si>
  <si>
    <t>Diode Forward Voltage of Top FET Body diode</t>
  </si>
  <si>
    <t>°C/W</t>
  </si>
  <si>
    <t>SCHEMATIC LABELS</t>
  </si>
  <si>
    <r>
      <t xml:space="preserve">Choosen Compensation Components from the </t>
    </r>
    <r>
      <rPr>
        <b/>
        <u/>
        <sz val="10"/>
        <color indexed="10"/>
        <rFont val="Arial"/>
        <family val="2"/>
      </rPr>
      <t>standard value sheet</t>
    </r>
  </si>
  <si>
    <t>\</t>
  </si>
  <si>
    <t>OUTPUT CURRENT</t>
  </si>
  <si>
    <t>Dmax</t>
  </si>
  <si>
    <t>Ipp</t>
  </si>
  <si>
    <t>Current (switching)</t>
  </si>
  <si>
    <t>Qrr Current</t>
  </si>
  <si>
    <t>Diode Current</t>
  </si>
  <si>
    <t>Std Units</t>
  </si>
  <si>
    <t>Part Power Disipation</t>
  </si>
  <si>
    <t>Total Application Switching IQ</t>
  </si>
  <si>
    <t xml:space="preserve">VIN </t>
  </si>
  <si>
    <t>CBOOT</t>
  </si>
  <si>
    <t>VDD</t>
  </si>
  <si>
    <t>SYNC</t>
  </si>
  <si>
    <t>EN</t>
  </si>
  <si>
    <t>PGOOD</t>
  </si>
  <si>
    <t>SS/TRACK</t>
  </si>
  <si>
    <t>FADJ</t>
  </si>
  <si>
    <t>GND</t>
  </si>
  <si>
    <t>COMP</t>
  </si>
  <si>
    <t>FB</t>
  </si>
  <si>
    <t>CS-</t>
  </si>
  <si>
    <t>CS+</t>
  </si>
  <si>
    <t>LG</t>
  </si>
  <si>
    <t>SW</t>
  </si>
  <si>
    <t>HG</t>
  </si>
  <si>
    <t>CIN</t>
  </si>
  <si>
    <t>DCR at hot</t>
  </si>
  <si>
    <t>Temp</t>
  </si>
  <si>
    <t>µH</t>
  </si>
  <si>
    <t>µF</t>
  </si>
  <si>
    <t>Cinmin</t>
  </si>
  <si>
    <t>Vinripple1</t>
  </si>
  <si>
    <t>CinEsrMax</t>
  </si>
  <si>
    <t>Vinripple2</t>
  </si>
  <si>
    <t>DCR</t>
  </si>
  <si>
    <t>Output =</t>
  </si>
  <si>
    <t>Calculated Inductor value for 30% ripple</t>
  </si>
  <si>
    <t>Duty Cycle with DCR accounted for</t>
  </si>
  <si>
    <t>1-Duty Cycle with DCR accounted for</t>
  </si>
  <si>
    <t>OTP</t>
  </si>
  <si>
    <t>D+</t>
  </si>
  <si>
    <t>D-</t>
  </si>
  <si>
    <t>RS</t>
  </si>
  <si>
    <t>Bottom Schottky</t>
  </si>
  <si>
    <t>Rotp</t>
  </si>
  <si>
    <t>Step 2: Filter Inductor</t>
  </si>
  <si>
    <t>This component will first set the midband gain</t>
  </si>
  <si>
    <t>Error Amplifier Finite DC Gain (AOL)</t>
  </si>
  <si>
    <t>Error Amplifier Gain Bandwidth Product (GBW)</t>
  </si>
  <si>
    <t>Cout ESR Zero Location</t>
  </si>
  <si>
    <t>EA Gain (dB)</t>
  </si>
  <si>
    <t>EA Phase</t>
  </si>
  <si>
    <t>EA Gain</t>
  </si>
  <si>
    <t>EA Gain BW</t>
  </si>
  <si>
    <t>Midband Gain For the Error Amplifier</t>
  </si>
  <si>
    <t>Load Cap current during soft start</t>
  </si>
  <si>
    <t>Step 1: Operating Specifications</t>
  </si>
  <si>
    <t>°C</t>
  </si>
  <si>
    <t>Std Values</t>
  </si>
  <si>
    <t>Compensation Components</t>
  </si>
  <si>
    <t>Actual P/Z Frequencies</t>
  </si>
  <si>
    <r>
      <t>A</t>
    </r>
    <r>
      <rPr>
        <vertAlign val="subscript"/>
        <sz val="10"/>
        <rFont val="Arial"/>
        <family val="2"/>
      </rPr>
      <t>pk-pk</t>
    </r>
  </si>
  <si>
    <r>
      <t>mV</t>
    </r>
    <r>
      <rPr>
        <b/>
        <vertAlign val="subscript"/>
        <sz val="10"/>
        <rFont val="Arial"/>
        <family val="2"/>
      </rPr>
      <t>pk-pk</t>
    </r>
  </si>
  <si>
    <r>
      <t>R</t>
    </r>
    <r>
      <rPr>
        <b/>
        <vertAlign val="subscript"/>
        <sz val="10"/>
        <rFont val="Arial"/>
        <family val="2"/>
      </rPr>
      <t>C1</t>
    </r>
  </si>
  <si>
    <r>
      <t>kHz (F</t>
    </r>
    <r>
      <rPr>
        <b/>
        <vertAlign val="subscript"/>
        <sz val="10"/>
        <rFont val="Arial"/>
        <family val="2"/>
      </rPr>
      <t>Z1</t>
    </r>
    <r>
      <rPr>
        <b/>
        <sz val="10"/>
        <rFont val="Arial"/>
        <family val="2"/>
      </rPr>
      <t>)</t>
    </r>
  </si>
  <si>
    <r>
      <t>C</t>
    </r>
    <r>
      <rPr>
        <b/>
        <vertAlign val="subscript"/>
        <sz val="10"/>
        <rFont val="Arial"/>
        <family val="2"/>
      </rPr>
      <t>C1</t>
    </r>
  </si>
  <si>
    <r>
      <t>kHz (F</t>
    </r>
    <r>
      <rPr>
        <b/>
        <vertAlign val="subscript"/>
        <sz val="10"/>
        <rFont val="Arial"/>
        <family val="2"/>
      </rPr>
      <t>Z2</t>
    </r>
    <r>
      <rPr>
        <b/>
        <sz val="10"/>
        <rFont val="Arial"/>
        <family val="2"/>
      </rPr>
      <t>)</t>
    </r>
  </si>
  <si>
    <r>
      <t>C</t>
    </r>
    <r>
      <rPr>
        <b/>
        <vertAlign val="subscript"/>
        <sz val="10"/>
        <rFont val="Arial"/>
        <family val="2"/>
      </rPr>
      <t>C2</t>
    </r>
  </si>
  <si>
    <r>
      <t>kHz (F</t>
    </r>
    <r>
      <rPr>
        <b/>
        <vertAlign val="subscript"/>
        <sz val="10"/>
        <rFont val="Arial"/>
        <family val="2"/>
      </rPr>
      <t>P1</t>
    </r>
    <r>
      <rPr>
        <b/>
        <sz val="10"/>
        <rFont val="Arial"/>
        <family val="2"/>
      </rPr>
      <t>)</t>
    </r>
  </si>
  <si>
    <r>
      <t>R</t>
    </r>
    <r>
      <rPr>
        <b/>
        <vertAlign val="subscript"/>
        <sz val="10"/>
        <rFont val="Arial"/>
        <family val="2"/>
      </rPr>
      <t>C2</t>
    </r>
  </si>
  <si>
    <r>
      <t>kHz (F</t>
    </r>
    <r>
      <rPr>
        <b/>
        <vertAlign val="subscript"/>
        <sz val="10"/>
        <rFont val="Arial"/>
        <family val="2"/>
      </rPr>
      <t>P2</t>
    </r>
    <r>
      <rPr>
        <b/>
        <sz val="10"/>
        <rFont val="Arial"/>
        <family val="2"/>
      </rPr>
      <t>)</t>
    </r>
  </si>
  <si>
    <r>
      <t>C</t>
    </r>
    <r>
      <rPr>
        <b/>
        <vertAlign val="subscript"/>
        <sz val="10"/>
        <rFont val="Arial"/>
        <family val="2"/>
      </rPr>
      <t>C3</t>
    </r>
  </si>
  <si>
    <r>
      <t>mV</t>
    </r>
    <r>
      <rPr>
        <vertAlign val="subscript"/>
        <sz val="10"/>
        <rFont val="Arial"/>
        <family val="2"/>
      </rPr>
      <t>pk-pk</t>
    </r>
  </si>
  <si>
    <t>Efficiency / Power Loss Analyzer</t>
  </si>
  <si>
    <t>Step 7: Compensation Design</t>
  </si>
  <si>
    <t>Calculated /</t>
  </si>
  <si>
    <t xml:space="preserve">Recommended Filter Inductance </t>
  </si>
  <si>
    <t xml:space="preserve">Inductor DCR </t>
  </si>
  <si>
    <t xml:space="preserve">Required Current Limit Setpoint </t>
  </si>
  <si>
    <t xml:space="preserve">Output Voltage Ripple Specification </t>
  </si>
  <si>
    <t xml:space="preserve">Minimum Ideal Output Capacitance </t>
  </si>
  <si>
    <t xml:space="preserve">Maximum Permitted ESR </t>
  </si>
  <si>
    <t xml:space="preserve">Output Capacitor ESR </t>
  </si>
  <si>
    <t xml:space="preserve">Resulting Output Voltage Ripple </t>
  </si>
  <si>
    <t xml:space="preserve">Output Capacitor Ripple Current </t>
  </si>
  <si>
    <t xml:space="preserve">Input Voltage Ripple Specification </t>
  </si>
  <si>
    <t xml:space="preserve">Minimum Ideal Input Capacitance </t>
  </si>
  <si>
    <t xml:space="preserve">Input Capacitor ESR </t>
  </si>
  <si>
    <t xml:space="preserve">Resulting Input Voltage Ripple </t>
  </si>
  <si>
    <t xml:space="preserve">Input Capacitor Ripple Current </t>
  </si>
  <si>
    <t xml:space="preserve">LC Complex Pole Frequency </t>
  </si>
  <si>
    <t xml:space="preserve">ESR Zero Frequency </t>
  </si>
  <si>
    <t xml:space="preserve">Appropriate Midband Gain </t>
  </si>
  <si>
    <t>About</t>
  </si>
  <si>
    <t>xx</t>
  </si>
  <si>
    <t>Current limit setpoint after standard components are selected</t>
  </si>
  <si>
    <t>Output Cap rms current</t>
  </si>
  <si>
    <t>Max ESR before ripple exceeds Vripple1</t>
  </si>
  <si>
    <t>Chosen ESR</t>
  </si>
  <si>
    <t>Input capacitance series resistance (ESR)</t>
  </si>
  <si>
    <t xml:space="preserve">Desired Crossover Frequency </t>
  </si>
  <si>
    <r>
      <t>VIN</t>
    </r>
    <r>
      <rPr>
        <vertAlign val="subscript"/>
        <sz val="10"/>
        <rFont val="Arial"/>
        <family val="2"/>
      </rPr>
      <t>UVLO_ON</t>
    </r>
  </si>
  <si>
    <r>
      <t>VIN</t>
    </r>
    <r>
      <rPr>
        <vertAlign val="subscript"/>
        <sz val="10"/>
        <rFont val="Arial"/>
        <family val="2"/>
      </rPr>
      <t>UVLO_OFF</t>
    </r>
  </si>
  <si>
    <t>Rising UVLO/EN Threshold</t>
  </si>
  <si>
    <t>Falling UVLO/EN Threshold</t>
  </si>
  <si>
    <t>Falling UVLO/EN Falling</t>
  </si>
  <si>
    <t xml:space="preserve">Rising UVLO/EN Hysteresis </t>
  </si>
  <si>
    <t>UVLO/EN Current Hysteresis</t>
  </si>
  <si>
    <t>kΩ</t>
  </si>
  <si>
    <r>
      <t>VIN</t>
    </r>
    <r>
      <rPr>
        <vertAlign val="subscript"/>
        <sz val="10"/>
        <rFont val="Arial"/>
        <family val="2"/>
      </rPr>
      <t>UVLO_ON_ACTUAL</t>
    </r>
  </si>
  <si>
    <r>
      <t>VIN</t>
    </r>
    <r>
      <rPr>
        <vertAlign val="subscript"/>
        <sz val="10"/>
        <rFont val="Arial"/>
        <family val="2"/>
      </rPr>
      <t>UVLO_OFF_ACTUAL</t>
    </r>
  </si>
  <si>
    <t>Size</t>
  </si>
  <si>
    <t>MFR</t>
  </si>
  <si>
    <t>Std</t>
  </si>
  <si>
    <t>See description</t>
  </si>
  <si>
    <t>TI</t>
  </si>
  <si>
    <t>0603</t>
  </si>
  <si>
    <r>
      <t>C</t>
    </r>
    <r>
      <rPr>
        <vertAlign val="subscript"/>
        <sz val="10"/>
        <rFont val="Arial"/>
        <family val="2"/>
      </rPr>
      <t>C1</t>
    </r>
  </si>
  <si>
    <r>
      <t>C</t>
    </r>
    <r>
      <rPr>
        <vertAlign val="subscript"/>
        <sz val="10"/>
        <rFont val="Arial"/>
        <family val="2"/>
      </rPr>
      <t>C2</t>
    </r>
  </si>
  <si>
    <r>
      <t>C</t>
    </r>
    <r>
      <rPr>
        <vertAlign val="subscript"/>
        <sz val="10"/>
        <rFont val="Arial"/>
        <family val="2"/>
      </rPr>
      <t>C3</t>
    </r>
  </si>
  <si>
    <r>
      <t>C</t>
    </r>
    <r>
      <rPr>
        <vertAlign val="subscript"/>
        <sz val="10"/>
        <rFont val="Arial"/>
        <family val="2"/>
      </rPr>
      <t>IN</t>
    </r>
  </si>
  <si>
    <r>
      <t>C</t>
    </r>
    <r>
      <rPr>
        <vertAlign val="subscript"/>
        <sz val="10"/>
        <rFont val="Arial"/>
        <family val="2"/>
      </rPr>
      <t>OUT</t>
    </r>
  </si>
  <si>
    <r>
      <t>C</t>
    </r>
    <r>
      <rPr>
        <vertAlign val="subscript"/>
        <sz val="10"/>
        <rFont val="Arial"/>
        <family val="2"/>
      </rPr>
      <t>SS</t>
    </r>
  </si>
  <si>
    <r>
      <t>C</t>
    </r>
    <r>
      <rPr>
        <vertAlign val="subscript"/>
        <sz val="10"/>
        <rFont val="Arial"/>
        <family val="2"/>
      </rPr>
      <t>VIN</t>
    </r>
  </si>
  <si>
    <t>Ref Des</t>
  </si>
  <si>
    <t>Count</t>
  </si>
  <si>
    <t>Various</t>
  </si>
  <si>
    <r>
      <t>Q</t>
    </r>
    <r>
      <rPr>
        <vertAlign val="subscript"/>
        <sz val="10"/>
        <rFont val="Arial"/>
        <family val="2"/>
      </rPr>
      <t>1</t>
    </r>
  </si>
  <si>
    <r>
      <t>Q</t>
    </r>
    <r>
      <rPr>
        <vertAlign val="subscript"/>
        <sz val="10"/>
        <rFont val="Arial"/>
        <family val="2"/>
      </rPr>
      <t>2</t>
    </r>
  </si>
  <si>
    <r>
      <t>R</t>
    </r>
    <r>
      <rPr>
        <vertAlign val="subscript"/>
        <sz val="10"/>
        <rFont val="Arial"/>
        <family val="2"/>
      </rPr>
      <t>C1</t>
    </r>
  </si>
  <si>
    <r>
      <t>R</t>
    </r>
    <r>
      <rPr>
        <vertAlign val="subscript"/>
        <sz val="10"/>
        <rFont val="Arial"/>
        <family val="2"/>
      </rPr>
      <t>C2</t>
    </r>
  </si>
  <si>
    <r>
      <t>R</t>
    </r>
    <r>
      <rPr>
        <vertAlign val="subscript"/>
        <sz val="10"/>
        <rFont val="Arial"/>
        <family val="2"/>
      </rPr>
      <t>UV1</t>
    </r>
  </si>
  <si>
    <r>
      <t>R</t>
    </r>
    <r>
      <rPr>
        <vertAlign val="subscript"/>
        <sz val="10"/>
        <rFont val="Arial"/>
        <family val="2"/>
      </rPr>
      <t>UV2</t>
    </r>
  </si>
  <si>
    <r>
      <t>R</t>
    </r>
    <r>
      <rPr>
        <vertAlign val="subscript"/>
        <sz val="10"/>
        <rFont val="Arial"/>
        <family val="2"/>
      </rPr>
      <t>VIN</t>
    </r>
  </si>
  <si>
    <r>
      <t>R</t>
    </r>
    <r>
      <rPr>
        <vertAlign val="subscript"/>
        <sz val="10"/>
        <rFont val="Arial"/>
        <family val="2"/>
      </rPr>
      <t>S</t>
    </r>
  </si>
  <si>
    <r>
      <t>R</t>
    </r>
    <r>
      <rPr>
        <vertAlign val="subscript"/>
        <sz val="10"/>
        <rFont val="Arial"/>
        <family val="2"/>
      </rPr>
      <t>PGOOD</t>
    </r>
  </si>
  <si>
    <r>
      <t>R</t>
    </r>
    <r>
      <rPr>
        <vertAlign val="subscript"/>
        <sz val="10"/>
        <rFont val="Arial"/>
        <family val="2"/>
      </rPr>
      <t>FB1</t>
    </r>
  </si>
  <si>
    <r>
      <t>R</t>
    </r>
    <r>
      <rPr>
        <vertAlign val="subscript"/>
        <sz val="10"/>
        <rFont val="Arial"/>
        <family val="2"/>
      </rPr>
      <t>FB2</t>
    </r>
  </si>
  <si>
    <r>
      <t>U</t>
    </r>
    <r>
      <rPr>
        <b/>
        <vertAlign val="subscript"/>
        <sz val="10"/>
        <rFont val="Arial"/>
        <family val="2"/>
      </rPr>
      <t>1</t>
    </r>
  </si>
  <si>
    <t>Rpgood</t>
  </si>
  <si>
    <t>20kΩ</t>
  </si>
  <si>
    <t>Cd</t>
  </si>
  <si>
    <t>Ruv1</t>
  </si>
  <si>
    <t>Ruv2</t>
  </si>
  <si>
    <t># of input caps</t>
  </si>
  <si>
    <t>Capacitance per component (Cin)</t>
  </si>
  <si>
    <t>Capacitance per component (Cout)</t>
  </si>
  <si>
    <t># of output caps</t>
  </si>
  <si>
    <r>
      <t>High-Side MOSFET (Q</t>
    </r>
    <r>
      <rPr>
        <b/>
        <vertAlign val="subscript"/>
        <sz val="10"/>
        <color rgb="FF0000FF"/>
        <rFont val="Arial"/>
        <family val="2"/>
      </rPr>
      <t>1</t>
    </r>
    <r>
      <rPr>
        <b/>
        <sz val="10"/>
        <color rgb="FF0000FF"/>
        <rFont val="Arial"/>
        <family val="2"/>
      </rPr>
      <t>) Specifications</t>
    </r>
  </si>
  <si>
    <r>
      <t>Low-Side MOSFET (Q</t>
    </r>
    <r>
      <rPr>
        <b/>
        <vertAlign val="subscript"/>
        <sz val="10"/>
        <color rgb="FF0000FF"/>
        <rFont val="Arial"/>
        <family val="2"/>
      </rPr>
      <t>2</t>
    </r>
    <r>
      <rPr>
        <b/>
        <sz val="10"/>
        <color rgb="FF0000FF"/>
        <rFont val="Arial"/>
        <family val="2"/>
      </rPr>
      <t>) Specifications</t>
    </r>
  </si>
  <si>
    <r>
      <t>F</t>
    </r>
    <r>
      <rPr>
        <b/>
        <vertAlign val="subscript"/>
        <sz val="10"/>
        <rFont val="Arial"/>
        <family val="2"/>
      </rPr>
      <t>P1</t>
    </r>
    <r>
      <rPr>
        <b/>
        <sz val="10"/>
        <rFont val="Arial"/>
        <family val="2"/>
      </rPr>
      <t xml:space="preserve">  </t>
    </r>
  </si>
  <si>
    <r>
      <t>F</t>
    </r>
    <r>
      <rPr>
        <b/>
        <vertAlign val="subscript"/>
        <sz val="10"/>
        <rFont val="Arial"/>
        <family val="2"/>
      </rPr>
      <t>P2</t>
    </r>
    <r>
      <rPr>
        <b/>
        <sz val="10"/>
        <rFont val="Arial"/>
        <family val="2"/>
      </rPr>
      <t xml:space="preserve">  </t>
    </r>
  </si>
  <si>
    <r>
      <t>F</t>
    </r>
    <r>
      <rPr>
        <b/>
        <vertAlign val="subscript"/>
        <sz val="10"/>
        <rFont val="Arial"/>
        <family val="2"/>
      </rPr>
      <t xml:space="preserve">Z1  </t>
    </r>
  </si>
  <si>
    <r>
      <t>F</t>
    </r>
    <r>
      <rPr>
        <b/>
        <vertAlign val="subscript"/>
        <sz val="10"/>
        <rFont val="Arial"/>
        <family val="2"/>
      </rPr>
      <t xml:space="preserve">Z2  </t>
    </r>
  </si>
  <si>
    <t>Ω</t>
  </si>
  <si>
    <t>** Inductor saturation current should be higher than the current limit setpoint at all operating temperatures **</t>
  </si>
  <si>
    <r>
      <rPr>
        <b/>
        <u/>
        <sz val="10"/>
        <rFont val="Arial"/>
        <family val="2"/>
      </rPr>
      <t>NOTES</t>
    </r>
    <r>
      <rPr>
        <b/>
        <sz val="10"/>
        <rFont val="Arial"/>
        <family val="2"/>
      </rPr>
      <t>:</t>
    </r>
  </si>
  <si>
    <t>Series resistance due to FETs</t>
  </si>
  <si>
    <t>Chosen Inductor Value</t>
  </si>
  <si>
    <t>Ripple Current after Chosen inductor (p-p)</t>
  </si>
  <si>
    <t>Chosen Crossover</t>
  </si>
  <si>
    <t>Output Resistance</t>
  </si>
  <si>
    <t>This zero is set at or below the double pole location</t>
  </si>
  <si>
    <r>
      <t>Inductor Ripple Current as a % of Max I</t>
    </r>
    <r>
      <rPr>
        <vertAlign val="subscript"/>
        <sz val="10"/>
        <rFont val="Arial"/>
        <family val="2"/>
      </rPr>
      <t>OUT</t>
    </r>
    <r>
      <rPr>
        <sz val="10"/>
        <rFont val="Arial"/>
        <family val="2"/>
      </rPr>
      <t xml:space="preserve"> </t>
    </r>
  </si>
  <si>
    <r>
      <t>On-State Resistance, R</t>
    </r>
    <r>
      <rPr>
        <b/>
        <vertAlign val="subscript"/>
        <sz val="10"/>
        <rFont val="Arial"/>
        <family val="2"/>
      </rPr>
      <t>DS(on)</t>
    </r>
    <r>
      <rPr>
        <b/>
        <sz val="10"/>
        <rFont val="Arial"/>
        <family val="2"/>
      </rPr>
      <t xml:space="preserve"> </t>
    </r>
  </si>
  <si>
    <r>
      <t>Total Gate Charge, Q</t>
    </r>
    <r>
      <rPr>
        <b/>
        <vertAlign val="subscript"/>
        <sz val="10"/>
        <rFont val="Arial"/>
        <family val="2"/>
      </rPr>
      <t>G</t>
    </r>
    <r>
      <rPr>
        <b/>
        <sz val="10"/>
        <rFont val="Arial"/>
        <family val="2"/>
      </rPr>
      <t xml:space="preserve"> </t>
    </r>
  </si>
  <si>
    <r>
      <t>Gate-Drain Charge, Q</t>
    </r>
    <r>
      <rPr>
        <b/>
        <vertAlign val="subscript"/>
        <sz val="10"/>
        <rFont val="Arial"/>
        <family val="2"/>
      </rPr>
      <t>GD</t>
    </r>
    <r>
      <rPr>
        <b/>
        <sz val="10"/>
        <rFont val="Arial"/>
        <family val="2"/>
      </rPr>
      <t xml:space="preserve"> </t>
    </r>
  </si>
  <si>
    <r>
      <t>Gate-Source Charge, Q</t>
    </r>
    <r>
      <rPr>
        <b/>
        <vertAlign val="subscript"/>
        <sz val="10"/>
        <rFont val="Arial"/>
        <family val="2"/>
      </rPr>
      <t>GS</t>
    </r>
    <r>
      <rPr>
        <b/>
        <sz val="10"/>
        <rFont val="Arial"/>
        <family val="2"/>
      </rPr>
      <t xml:space="preserve"> </t>
    </r>
  </si>
  <si>
    <r>
      <t>Gate Resistance, R</t>
    </r>
    <r>
      <rPr>
        <b/>
        <vertAlign val="subscript"/>
        <sz val="10"/>
        <rFont val="Arial"/>
        <family val="2"/>
      </rPr>
      <t>G</t>
    </r>
    <r>
      <rPr>
        <b/>
        <sz val="10"/>
        <rFont val="Arial"/>
        <family val="2"/>
      </rPr>
      <t xml:space="preserve"> </t>
    </r>
  </si>
  <si>
    <r>
      <t>Transconductance, g</t>
    </r>
    <r>
      <rPr>
        <b/>
        <vertAlign val="subscript"/>
        <sz val="10"/>
        <rFont val="Arial"/>
        <family val="2"/>
      </rPr>
      <t>FS</t>
    </r>
    <r>
      <rPr>
        <b/>
        <sz val="10"/>
        <rFont val="Arial"/>
        <family val="2"/>
      </rPr>
      <t xml:space="preserve"> </t>
    </r>
  </si>
  <si>
    <r>
      <t>Gate-Source Threshold Voltage, V</t>
    </r>
    <r>
      <rPr>
        <b/>
        <vertAlign val="subscript"/>
        <sz val="10"/>
        <rFont val="Arial"/>
        <family val="2"/>
      </rPr>
      <t>GS(TH)</t>
    </r>
    <r>
      <rPr>
        <b/>
        <sz val="10"/>
        <rFont val="Arial"/>
        <family val="2"/>
      </rPr>
      <t xml:space="preserve"> </t>
    </r>
  </si>
  <si>
    <r>
      <t>Thermal Resistance, θ</t>
    </r>
    <r>
      <rPr>
        <b/>
        <vertAlign val="subscript"/>
        <sz val="10"/>
        <rFont val="Arial"/>
        <family val="2"/>
      </rPr>
      <t>JA</t>
    </r>
    <r>
      <rPr>
        <b/>
        <sz val="10"/>
        <rFont val="Arial"/>
        <family val="2"/>
      </rPr>
      <t xml:space="preserve"> </t>
    </r>
  </si>
  <si>
    <r>
      <t>Body Diode Recovery Charge, Q</t>
    </r>
    <r>
      <rPr>
        <b/>
        <vertAlign val="subscript"/>
        <sz val="10"/>
        <rFont val="Arial"/>
        <family val="2"/>
      </rPr>
      <t>RR</t>
    </r>
    <r>
      <rPr>
        <b/>
        <sz val="10"/>
        <rFont val="Arial"/>
        <family val="2"/>
      </rPr>
      <t xml:space="preserve"> </t>
    </r>
  </si>
  <si>
    <r>
      <t>Schottky Diode Recovery Charge, Q</t>
    </r>
    <r>
      <rPr>
        <b/>
        <vertAlign val="subscript"/>
        <sz val="10"/>
        <rFont val="Arial"/>
        <family val="2"/>
      </rPr>
      <t>RR2</t>
    </r>
    <r>
      <rPr>
        <b/>
        <sz val="10"/>
        <rFont val="Arial"/>
        <family val="2"/>
      </rPr>
      <t xml:space="preserve"> </t>
    </r>
  </si>
  <si>
    <r>
      <t>Body Diode Forward Voltage, V</t>
    </r>
    <r>
      <rPr>
        <b/>
        <vertAlign val="subscript"/>
        <sz val="10"/>
        <rFont val="Arial"/>
        <family val="2"/>
      </rPr>
      <t>BD2</t>
    </r>
    <r>
      <rPr>
        <b/>
        <sz val="10"/>
        <rFont val="Arial"/>
        <family val="2"/>
      </rPr>
      <t xml:space="preserve"> </t>
    </r>
  </si>
  <si>
    <r>
      <t>Schottky Diode Forward Voltage, V</t>
    </r>
    <r>
      <rPr>
        <b/>
        <vertAlign val="subscript"/>
        <sz val="10"/>
        <rFont val="Arial"/>
        <family val="2"/>
      </rPr>
      <t>SD</t>
    </r>
    <r>
      <rPr>
        <b/>
        <sz val="10"/>
        <rFont val="Arial"/>
        <family val="2"/>
      </rPr>
      <t xml:space="preserve"> </t>
    </r>
  </si>
  <si>
    <r>
      <t>Body Diode Forward Voltage, V</t>
    </r>
    <r>
      <rPr>
        <b/>
        <vertAlign val="subscript"/>
        <sz val="10"/>
        <rFont val="Arial"/>
        <family val="2"/>
      </rPr>
      <t>BD1</t>
    </r>
    <r>
      <rPr>
        <b/>
        <sz val="10"/>
        <rFont val="Arial"/>
        <family val="2"/>
      </rPr>
      <t xml:space="preserve"> </t>
    </r>
  </si>
  <si>
    <t>Peak-to-Peak Ramp Voltage of PWM</t>
  </si>
  <si>
    <t>%/°C</t>
  </si>
  <si>
    <t>1nF</t>
  </si>
  <si>
    <r>
      <t>Step 3: R</t>
    </r>
    <r>
      <rPr>
        <b/>
        <vertAlign val="subscript"/>
        <sz val="12"/>
        <color indexed="12"/>
        <rFont val="Arial"/>
        <family val="2"/>
      </rPr>
      <t>DS(on)</t>
    </r>
    <r>
      <rPr>
        <b/>
        <sz val="12"/>
        <color indexed="12"/>
        <rFont val="Arial"/>
        <family val="2"/>
      </rPr>
      <t xml:space="preserve"> or Shunt-Based Current Limit</t>
    </r>
  </si>
  <si>
    <r>
      <t>Maximum Output Current, I</t>
    </r>
    <r>
      <rPr>
        <b/>
        <vertAlign val="subscript"/>
        <sz val="10"/>
        <color theme="1"/>
        <rFont val="Arial"/>
        <family val="2"/>
      </rPr>
      <t>OUT</t>
    </r>
    <r>
      <rPr>
        <b/>
        <sz val="10"/>
        <color theme="1"/>
        <rFont val="Arial"/>
        <family val="2"/>
      </rPr>
      <t xml:space="preserve"> </t>
    </r>
  </si>
  <si>
    <r>
      <t>Output Voltage, V</t>
    </r>
    <r>
      <rPr>
        <b/>
        <vertAlign val="subscript"/>
        <sz val="10"/>
        <color theme="1"/>
        <rFont val="Arial"/>
        <family val="2"/>
      </rPr>
      <t>OUT</t>
    </r>
    <r>
      <rPr>
        <b/>
        <sz val="10"/>
        <color theme="1"/>
        <rFont val="Arial"/>
        <family val="2"/>
      </rPr>
      <t xml:space="preserve"> </t>
    </r>
  </si>
  <si>
    <r>
      <t>Inductance, L</t>
    </r>
    <r>
      <rPr>
        <b/>
        <vertAlign val="subscript"/>
        <sz val="10"/>
        <color theme="1"/>
        <rFont val="Arial"/>
        <family val="2"/>
      </rPr>
      <t>F</t>
    </r>
    <r>
      <rPr>
        <b/>
        <sz val="10"/>
        <color theme="1"/>
        <rFont val="Arial"/>
        <family val="2"/>
      </rPr>
      <t xml:space="preserve"> </t>
    </r>
  </si>
  <si>
    <r>
      <t>Frequency Set Resistor, R</t>
    </r>
    <r>
      <rPr>
        <vertAlign val="subscript"/>
        <sz val="10"/>
        <rFont val="Arial"/>
        <family val="2"/>
      </rPr>
      <t>RT</t>
    </r>
    <r>
      <rPr>
        <sz val="10"/>
        <rFont val="Arial"/>
        <family val="2"/>
      </rPr>
      <t xml:space="preserve"> </t>
    </r>
  </si>
  <si>
    <r>
      <t>Min Inductor Sat Current, I</t>
    </r>
    <r>
      <rPr>
        <vertAlign val="subscript"/>
        <sz val="10"/>
        <rFont val="Arial"/>
        <family val="2"/>
      </rPr>
      <t>L(SAT)</t>
    </r>
  </si>
  <si>
    <r>
      <t>Pk-to-Pk Ripple Current at V</t>
    </r>
    <r>
      <rPr>
        <vertAlign val="subscript"/>
        <sz val="10"/>
        <rFont val="Arial"/>
        <family val="2"/>
      </rPr>
      <t>IN(nom)</t>
    </r>
    <r>
      <rPr>
        <sz val="10"/>
        <rFont val="Arial"/>
        <family val="2"/>
      </rPr>
      <t xml:space="preserve">, </t>
    </r>
    <r>
      <rPr>
        <sz val="10"/>
        <rFont val="Symbol"/>
        <family val="1"/>
        <charset val="2"/>
      </rPr>
      <t>D</t>
    </r>
    <r>
      <rPr>
        <sz val="10"/>
        <rFont val="Arial"/>
        <family val="2"/>
      </rPr>
      <t>I</t>
    </r>
    <r>
      <rPr>
        <vertAlign val="subscript"/>
        <sz val="10"/>
        <rFont val="Arial"/>
        <family val="2"/>
      </rPr>
      <t>L</t>
    </r>
  </si>
  <si>
    <r>
      <t>Input Voltage ‒ Min, V</t>
    </r>
    <r>
      <rPr>
        <b/>
        <vertAlign val="subscript"/>
        <sz val="10"/>
        <color theme="1"/>
        <rFont val="Arial"/>
        <family val="2"/>
      </rPr>
      <t>IN(min)</t>
    </r>
    <r>
      <rPr>
        <b/>
        <sz val="10"/>
        <color theme="1"/>
        <rFont val="Arial"/>
        <family val="2"/>
      </rPr>
      <t xml:space="preserve"> </t>
    </r>
  </si>
  <si>
    <r>
      <t>Input Voltage ‒ Nom, V</t>
    </r>
    <r>
      <rPr>
        <b/>
        <vertAlign val="subscript"/>
        <sz val="10"/>
        <color theme="1"/>
        <rFont val="Arial"/>
        <family val="2"/>
      </rPr>
      <t>IN(nom)</t>
    </r>
    <r>
      <rPr>
        <b/>
        <sz val="10"/>
        <color theme="1"/>
        <rFont val="Arial"/>
        <family val="2"/>
      </rPr>
      <t xml:space="preserve"> </t>
    </r>
  </si>
  <si>
    <r>
      <t>Input Voltage ‒ Max, V</t>
    </r>
    <r>
      <rPr>
        <b/>
        <vertAlign val="subscript"/>
        <sz val="10"/>
        <color theme="1"/>
        <rFont val="Arial"/>
        <family val="2"/>
      </rPr>
      <t>IN(max)</t>
    </r>
    <r>
      <rPr>
        <b/>
        <sz val="10"/>
        <color theme="1"/>
        <rFont val="Arial"/>
        <family val="2"/>
      </rPr>
      <t xml:space="preserve"> </t>
    </r>
  </si>
  <si>
    <t>1 = Yes, 2 = No</t>
  </si>
  <si>
    <t>R_RT</t>
  </si>
  <si>
    <t>Vinmax</t>
  </si>
  <si>
    <t>Vinmin</t>
  </si>
  <si>
    <t>Doff_Vinmax</t>
  </si>
  <si>
    <t>Don_Vinmax</t>
  </si>
  <si>
    <t>Min input voltage</t>
  </si>
  <si>
    <t>Max input voltage</t>
  </si>
  <si>
    <t>Chosen current limit level - valley current</t>
  </si>
  <si>
    <t>Current Limit Current Source - Rdson sensing</t>
  </si>
  <si>
    <t>Current Limit Current Source - shunt sensing</t>
  </si>
  <si>
    <t>Rshunt</t>
  </si>
  <si>
    <t>Standard value current limit set resistor</t>
  </si>
  <si>
    <t>Ideal Rset for the chosen current limit</t>
  </si>
  <si>
    <r>
      <t>Current Limit Set Resistor, R</t>
    </r>
    <r>
      <rPr>
        <vertAlign val="subscript"/>
        <sz val="10"/>
        <rFont val="Arial"/>
        <family val="2"/>
      </rPr>
      <t>ILIM</t>
    </r>
    <r>
      <rPr>
        <sz val="10"/>
        <rFont val="Arial"/>
        <family val="2"/>
      </rPr>
      <t xml:space="preserve"> </t>
    </r>
  </si>
  <si>
    <t>Power dissipation in the shunt</t>
  </si>
  <si>
    <t>Rilim_shunt_ideal</t>
  </si>
  <si>
    <t>Ilim1</t>
  </si>
  <si>
    <t>Ilim2</t>
  </si>
  <si>
    <t>Rilim_Rdson_ideal</t>
  </si>
  <si>
    <t>Rilim_Rdson</t>
  </si>
  <si>
    <t>Rilim_shunt</t>
  </si>
  <si>
    <r>
      <t>Power Loss in R</t>
    </r>
    <r>
      <rPr>
        <vertAlign val="subscript"/>
        <sz val="10"/>
        <color theme="1"/>
        <rFont val="Arial"/>
        <family val="2"/>
      </rPr>
      <t>S</t>
    </r>
    <r>
      <rPr>
        <sz val="10"/>
        <color theme="1"/>
        <rFont val="Arial"/>
        <family val="2"/>
      </rPr>
      <t xml:space="preserve"> at Full Load, Max V</t>
    </r>
    <r>
      <rPr>
        <vertAlign val="subscript"/>
        <sz val="10"/>
        <color theme="1"/>
        <rFont val="Arial"/>
        <family val="2"/>
      </rPr>
      <t>IN</t>
    </r>
  </si>
  <si>
    <r>
      <t>UVLO Upper Resistor, R</t>
    </r>
    <r>
      <rPr>
        <vertAlign val="subscript"/>
        <sz val="10"/>
        <rFont val="Arial"/>
        <family val="2"/>
      </rPr>
      <t>UV1</t>
    </r>
  </si>
  <si>
    <r>
      <t>UVLO Lower Resistor, R</t>
    </r>
    <r>
      <rPr>
        <vertAlign val="subscript"/>
        <sz val="10"/>
        <rFont val="Arial"/>
        <family val="2"/>
      </rPr>
      <t>UV2</t>
    </r>
  </si>
  <si>
    <r>
      <t>Upper Feedback Resistor, R</t>
    </r>
    <r>
      <rPr>
        <b/>
        <vertAlign val="subscript"/>
        <sz val="10"/>
        <rFont val="Arial"/>
        <family val="2"/>
      </rPr>
      <t xml:space="preserve">FB1 </t>
    </r>
  </si>
  <si>
    <r>
      <t>Lower Feedback Resistor, R</t>
    </r>
    <r>
      <rPr>
        <vertAlign val="subscript"/>
        <sz val="10"/>
        <rFont val="Arial"/>
        <family val="2"/>
      </rPr>
      <t>FB2</t>
    </r>
    <r>
      <rPr>
        <sz val="10"/>
        <rFont val="Arial"/>
        <family val="2"/>
      </rPr>
      <t xml:space="preserve"> </t>
    </r>
  </si>
  <si>
    <t>Rilim</t>
  </si>
  <si>
    <r>
      <t>R</t>
    </r>
    <r>
      <rPr>
        <vertAlign val="subscript"/>
        <sz val="10"/>
        <rFont val="Arial"/>
        <family val="2"/>
      </rPr>
      <t>DS(on)</t>
    </r>
    <r>
      <rPr>
        <sz val="10"/>
        <rFont val="Arial"/>
        <family val="2"/>
      </rPr>
      <t xml:space="preserve"> sensing</t>
    </r>
  </si>
  <si>
    <t>Shunt sensing</t>
  </si>
  <si>
    <r>
      <t>Shunt, R</t>
    </r>
    <r>
      <rPr>
        <b/>
        <vertAlign val="subscript"/>
        <sz val="10"/>
        <color theme="1"/>
        <rFont val="Arial"/>
        <family val="2"/>
      </rPr>
      <t>S</t>
    </r>
  </si>
  <si>
    <r>
      <t>L</t>
    </r>
    <r>
      <rPr>
        <vertAlign val="subscript"/>
        <sz val="10"/>
        <rFont val="Arial"/>
        <family val="2"/>
      </rPr>
      <t>F</t>
    </r>
  </si>
  <si>
    <t>Ilsat</t>
  </si>
  <si>
    <r>
      <t>C</t>
    </r>
    <r>
      <rPr>
        <vertAlign val="subscript"/>
        <sz val="10"/>
        <rFont val="Arial"/>
        <family val="2"/>
      </rPr>
      <t>VCC</t>
    </r>
  </si>
  <si>
    <r>
      <t>C</t>
    </r>
    <r>
      <rPr>
        <vertAlign val="subscript"/>
        <sz val="10"/>
        <rFont val="Arial"/>
        <family val="2"/>
      </rPr>
      <t>BOOT</t>
    </r>
  </si>
  <si>
    <r>
      <t>R</t>
    </r>
    <r>
      <rPr>
        <vertAlign val="subscript"/>
        <sz val="10"/>
        <rFont val="Arial"/>
        <family val="2"/>
      </rPr>
      <t>ILIM</t>
    </r>
  </si>
  <si>
    <r>
      <t>R</t>
    </r>
    <r>
      <rPr>
        <vertAlign val="subscript"/>
        <sz val="10"/>
        <rFont val="Arial"/>
        <family val="2"/>
      </rPr>
      <t>RT</t>
    </r>
  </si>
  <si>
    <t>DC Current Limit Setpoint</t>
  </si>
  <si>
    <t xml:space="preserve">     kHz</t>
  </si>
  <si>
    <t>Step 6: Soft-start, UVLO</t>
  </si>
  <si>
    <t>Input Voltage UVLO Turn-On</t>
  </si>
  <si>
    <t>Input Voltage UVLO Turn-Off</t>
  </si>
  <si>
    <r>
      <t>Soft-Start Time, t</t>
    </r>
    <r>
      <rPr>
        <b/>
        <vertAlign val="subscript"/>
        <sz val="10"/>
        <color theme="1"/>
        <rFont val="Arial"/>
        <family val="2"/>
      </rPr>
      <t>SS</t>
    </r>
    <r>
      <rPr>
        <b/>
        <sz val="10"/>
        <color theme="1"/>
        <rFont val="Arial"/>
        <family val="2"/>
      </rPr>
      <t xml:space="preserve"> </t>
    </r>
  </si>
  <si>
    <r>
      <t>Soft-Start Capacitance, C</t>
    </r>
    <r>
      <rPr>
        <vertAlign val="subscript"/>
        <sz val="10"/>
        <rFont val="Arial"/>
        <family val="2"/>
      </rPr>
      <t>SS</t>
    </r>
    <r>
      <rPr>
        <sz val="10"/>
        <rFont val="Arial"/>
        <family val="2"/>
      </rPr>
      <t xml:space="preserve"> </t>
    </r>
  </si>
  <si>
    <t>Vcc</t>
  </si>
  <si>
    <t>Shunt</t>
  </si>
  <si>
    <t>Shunt Loss (if applicable)</t>
  </si>
  <si>
    <r>
      <t>m</t>
    </r>
    <r>
      <rPr>
        <sz val="10"/>
        <rFont val="Symbol"/>
        <family val="1"/>
        <charset val="2"/>
      </rPr>
      <t>W</t>
    </r>
  </si>
  <si>
    <t>ppm/°C</t>
  </si>
  <si>
    <t>Subregulated VCC rail</t>
  </si>
  <si>
    <r>
      <t>Free-running Switching Frequency, F</t>
    </r>
    <r>
      <rPr>
        <b/>
        <vertAlign val="subscript"/>
        <sz val="10"/>
        <color theme="1"/>
        <rFont val="Arial"/>
        <family val="2"/>
      </rPr>
      <t>SW</t>
    </r>
  </si>
  <si>
    <r>
      <t>SYNC Frequency (if used), F</t>
    </r>
    <r>
      <rPr>
        <b/>
        <vertAlign val="subscript"/>
        <sz val="10"/>
        <color theme="1"/>
        <rFont val="Arial"/>
        <family val="2"/>
      </rPr>
      <t>SW-SYNC</t>
    </r>
  </si>
  <si>
    <t>VQFN-20</t>
  </si>
  <si>
    <t>6.3V</t>
  </si>
  <si>
    <t>Vout&lt;=8V</t>
  </si>
  <si>
    <t>10V</t>
  </si>
  <si>
    <t>Vout&lt;=12V</t>
  </si>
  <si>
    <t>16V</t>
  </si>
  <si>
    <t>Vout&lt;=20V</t>
  </si>
  <si>
    <t>25V</t>
  </si>
  <si>
    <t>50V</t>
  </si>
  <si>
    <t>Cout Voltage Rating</t>
  </si>
  <si>
    <t>0402</t>
  </si>
  <si>
    <t>1.0 x 0.5</t>
  </si>
  <si>
    <t>1.6 x 0.8</t>
  </si>
  <si>
    <t>0805</t>
  </si>
  <si>
    <t>2.0 x 1.25</t>
  </si>
  <si>
    <t>1206</t>
  </si>
  <si>
    <t>3.2 x 1.6</t>
  </si>
  <si>
    <t>1210</t>
  </si>
  <si>
    <t>3.2 x 2.5</t>
  </si>
  <si>
    <t>Component Size</t>
  </si>
  <si>
    <t>3mm x 3mm</t>
  </si>
  <si>
    <t>3.0 x 3.0</t>
  </si>
  <si>
    <t>4mm x 4mm</t>
  </si>
  <si>
    <t>4.0 x 4.0</t>
  </si>
  <si>
    <t>5mm x 5mm</t>
  </si>
  <si>
    <t>5.0 x 5.0</t>
  </si>
  <si>
    <t>6mm x 6mm</t>
  </si>
  <si>
    <t>6.0 x 6.0</t>
  </si>
  <si>
    <t>7mm x 7mm</t>
  </si>
  <si>
    <t>7.0 x 7.0</t>
  </si>
  <si>
    <t>Inductor Size</t>
  </si>
  <si>
    <t>Vout&lt;=42V</t>
  </si>
  <si>
    <t>Vout&lt;60V</t>
  </si>
  <si>
    <t>100V</t>
  </si>
  <si>
    <t>Current Sensing</t>
  </si>
  <si>
    <t>MOSFET package</t>
  </si>
  <si>
    <t>8mm x 8mm</t>
  </si>
  <si>
    <t>8.0 x 8.0</t>
  </si>
  <si>
    <t>10mm x 10mm</t>
  </si>
  <si>
    <t>10.0 x 10.0</t>
  </si>
  <si>
    <t>12mm x 12mm</t>
  </si>
  <si>
    <t>12.0 x 12.0</t>
  </si>
  <si>
    <t>Cin Voltage Rating</t>
  </si>
  <si>
    <t>Vin(max)&lt;=8V</t>
  </si>
  <si>
    <t>Vin(max)&lt;=12V</t>
  </si>
  <si>
    <t>Vin(max)&lt;=20V</t>
  </si>
  <si>
    <t>Vin(max)&lt;=42V</t>
  </si>
  <si>
    <t>Vin(max)&lt;100V</t>
  </si>
  <si>
    <t>Footprint (mm)</t>
  </si>
  <si>
    <r>
      <t>Area (mm</t>
    </r>
    <r>
      <rPr>
        <b/>
        <vertAlign val="superscript"/>
        <sz val="10"/>
        <color theme="0"/>
        <rFont val="Arial"/>
        <family val="2"/>
      </rPr>
      <t>2</t>
    </r>
    <r>
      <rPr>
        <b/>
        <sz val="10"/>
        <color theme="0"/>
        <rFont val="Arial"/>
        <family val="2"/>
      </rPr>
      <t>)</t>
    </r>
  </si>
  <si>
    <t>Total Solution Size (buffered by 25%)</t>
  </si>
  <si>
    <r>
      <t>mm</t>
    </r>
    <r>
      <rPr>
        <b/>
        <vertAlign val="superscript"/>
        <sz val="12"/>
        <color rgb="FFFF0000"/>
        <rFont val="Arial"/>
        <family val="2"/>
      </rPr>
      <t>2</t>
    </r>
    <r>
      <rPr>
        <b/>
        <sz val="12"/>
        <color rgb="FFFF0000"/>
        <rFont val="Arial"/>
        <family val="2"/>
      </rPr>
      <t xml:space="preserve">  =</t>
    </r>
  </si>
  <si>
    <r>
      <t>in</t>
    </r>
    <r>
      <rPr>
        <b/>
        <vertAlign val="superscript"/>
        <sz val="12"/>
        <color rgb="FFFF0000"/>
        <rFont val="Arial"/>
        <family val="2"/>
      </rPr>
      <t>2</t>
    </r>
  </si>
  <si>
    <t>5.0 x 6.0</t>
  </si>
  <si>
    <t>3.3 x 3.3</t>
  </si>
  <si>
    <t>15.0 x 10.0</t>
  </si>
  <si>
    <t>SON 5 x 6</t>
  </si>
  <si>
    <t>SON 3 x 3</t>
  </si>
  <si>
    <t>DPAK, TO-252</t>
  </si>
  <si>
    <t>D2PAK, TO-263</t>
  </si>
  <si>
    <t>10.0 x 6.6</t>
  </si>
  <si>
    <t>Don_Vinmin</t>
  </si>
  <si>
    <t>Doff_Vinmin</t>
  </si>
  <si>
    <t>Don2_Vinmin</t>
  </si>
  <si>
    <t>Doff2_Vinmin</t>
  </si>
  <si>
    <t>Don2_Vinmax</t>
  </si>
  <si>
    <t>Doff2_Vinmax</t>
  </si>
  <si>
    <t>Toff at Vin-min</t>
  </si>
  <si>
    <t>Ton at Vin-max</t>
  </si>
  <si>
    <t>Full-load/high line efficiency</t>
  </si>
  <si>
    <t>Half-load/mid-line efficiency</t>
  </si>
  <si>
    <t>Vout_actual</t>
  </si>
  <si>
    <t>Actual VOUT</t>
  </si>
  <si>
    <t>** Tie SYNCIN to VCC and GND for CCM and DCM operation, respectively **</t>
  </si>
  <si>
    <t>Cilim</t>
  </si>
  <si>
    <t>Cilim_ideal</t>
  </si>
  <si>
    <t>&gt; specify shunt on schematic</t>
  </si>
  <si>
    <t>&gt; specify ILIM cap</t>
  </si>
  <si>
    <t>Choose cap for 6ns time constant</t>
  </si>
  <si>
    <t>Calculated Lower Feedback Resistor</t>
  </si>
  <si>
    <t>Lower Feedback Resistor</t>
  </si>
  <si>
    <r>
      <t>Actual Output Voltage, V</t>
    </r>
    <r>
      <rPr>
        <vertAlign val="subscript"/>
        <sz val="10"/>
        <color theme="1"/>
        <rFont val="Arial"/>
        <family val="2"/>
      </rPr>
      <t>OUT</t>
    </r>
    <r>
      <rPr>
        <sz val="10"/>
        <color theme="1"/>
        <rFont val="Arial"/>
        <family val="2"/>
      </rPr>
      <t xml:space="preserve"> </t>
    </r>
  </si>
  <si>
    <t>VIN_range</t>
  </si>
  <si>
    <r>
      <t>Wide V</t>
    </r>
    <r>
      <rPr>
        <b/>
        <vertAlign val="subscript"/>
        <sz val="16"/>
        <rFont val="Arial"/>
        <family val="2"/>
      </rPr>
      <t>IN</t>
    </r>
    <r>
      <rPr>
        <b/>
        <sz val="16"/>
        <rFont val="Arial"/>
        <family val="2"/>
      </rPr>
      <t>, High Efficiency Synchronous Buck Regulator BOM</t>
    </r>
  </si>
  <si>
    <t>Fsw_freerunning</t>
  </si>
  <si>
    <t>Free-running switching frequency</t>
  </si>
  <si>
    <r>
      <t xml:space="preserve">** Effective output capacitance should be appropriately </t>
    </r>
    <r>
      <rPr>
        <b/>
        <sz val="10"/>
        <rFont val="Arial"/>
        <family val="2"/>
      </rPr>
      <t>derated</t>
    </r>
    <r>
      <rPr>
        <sz val="10"/>
        <rFont val="Arial"/>
        <family val="2"/>
      </rPr>
      <t xml:space="preserve"> for applied voltage and temperature, particularly with </t>
    </r>
    <r>
      <rPr>
        <b/>
        <sz val="10"/>
        <rFont val="Arial"/>
        <family val="2"/>
      </rPr>
      <t>ceramics</t>
    </r>
    <r>
      <rPr>
        <sz val="10"/>
        <rFont val="Arial"/>
        <family val="2"/>
      </rPr>
      <t xml:space="preserve"> **</t>
    </r>
  </si>
  <si>
    <t>3.5 x 4.5 x 1.0</t>
  </si>
  <si>
    <t>Cout Capacitance</t>
  </si>
  <si>
    <t>Quantity: 1</t>
  </si>
  <si>
    <t>Quantity: 2</t>
  </si>
  <si>
    <r>
      <t>C</t>
    </r>
    <r>
      <rPr>
        <vertAlign val="subscript"/>
        <sz val="10"/>
        <rFont val="Arial"/>
        <family val="2"/>
      </rPr>
      <t>S</t>
    </r>
  </si>
  <si>
    <r>
      <t>Output Charge, Q</t>
    </r>
    <r>
      <rPr>
        <b/>
        <vertAlign val="subscript"/>
        <sz val="10"/>
        <rFont val="Arial"/>
        <family val="2"/>
      </rPr>
      <t>OSS</t>
    </r>
    <r>
      <rPr>
        <b/>
        <sz val="10"/>
        <rFont val="Arial"/>
        <family val="2"/>
      </rPr>
      <t xml:space="preserve"> </t>
    </r>
  </si>
  <si>
    <r>
      <rPr>
        <sz val="10"/>
        <rFont val="Symbol"/>
        <family val="1"/>
        <charset val="2"/>
      </rPr>
      <t>°</t>
    </r>
    <r>
      <rPr>
        <sz val="10"/>
        <rFont val="Arial"/>
        <family val="2"/>
      </rPr>
      <t>C</t>
    </r>
  </si>
  <si>
    <r>
      <rPr>
        <sz val="10"/>
        <rFont val="Symbol"/>
        <family val="1"/>
        <charset val="2"/>
      </rPr>
      <t>°</t>
    </r>
    <r>
      <rPr>
        <sz val="10"/>
        <rFont val="Arial"/>
        <family val="2"/>
      </rPr>
      <t>C/W</t>
    </r>
  </si>
  <si>
    <t>Gate to Source Charge</t>
  </si>
  <si>
    <t>QossBot</t>
  </si>
  <si>
    <t>Output Charge Of Bottom FET</t>
  </si>
  <si>
    <t>Gate Charge Of Bottom FET</t>
  </si>
  <si>
    <r>
      <t>Output Capacitance, C</t>
    </r>
    <r>
      <rPr>
        <b/>
        <vertAlign val="subscript"/>
        <sz val="10"/>
        <rFont val="Arial"/>
        <family val="2"/>
      </rPr>
      <t>OSS</t>
    </r>
    <r>
      <rPr>
        <b/>
        <sz val="10"/>
        <rFont val="Arial"/>
        <family val="2"/>
      </rPr>
      <t xml:space="preserve"> </t>
    </r>
  </si>
  <si>
    <t>Output Capacitance Of Bottom FET</t>
  </si>
  <si>
    <t>CossBot</t>
  </si>
  <si>
    <t>CossTop</t>
  </si>
  <si>
    <t>Output Capacitance of High-side FET</t>
  </si>
  <si>
    <t>Gate Resistance of High-side FET</t>
  </si>
  <si>
    <t>MOSFET Output Capacitance Loss</t>
  </si>
  <si>
    <t>Step 4: Output Capacitance</t>
  </si>
  <si>
    <t>Step 5: Input Capacitance</t>
  </si>
  <si>
    <t xml:space="preserve"> If the SYNC feature is not required, connect SYNCIN to GND</t>
  </si>
  <si>
    <t xml:space="preserve"> or VCC for DCM or CCM operation, respectively</t>
  </si>
  <si>
    <t xml:space="preserve"> Pole &amp; Zero Placement</t>
  </si>
  <si>
    <t>Antiparallel Schottky Diode (if applicable)</t>
  </si>
  <si>
    <r>
      <t>Total Output Capacitance (Derated), C</t>
    </r>
    <r>
      <rPr>
        <b/>
        <vertAlign val="subscript"/>
        <sz val="10"/>
        <rFont val="Arial"/>
        <family val="2"/>
      </rPr>
      <t>OUT</t>
    </r>
    <r>
      <rPr>
        <b/>
        <sz val="10"/>
        <rFont val="Arial"/>
        <family val="2"/>
      </rPr>
      <t xml:space="preserve"> </t>
    </r>
  </si>
  <si>
    <r>
      <t>Total Input Capacitance (Derated), C</t>
    </r>
    <r>
      <rPr>
        <b/>
        <vertAlign val="subscript"/>
        <sz val="10"/>
        <color theme="1"/>
        <rFont val="Arial"/>
        <family val="2"/>
      </rPr>
      <t>IN</t>
    </r>
    <r>
      <rPr>
        <b/>
        <sz val="10"/>
        <color theme="1"/>
        <rFont val="Arial"/>
        <family val="2"/>
      </rPr>
      <t xml:space="preserve"> </t>
    </r>
  </si>
  <si>
    <t>Vout&lt;5V</t>
  </si>
  <si>
    <t>SW node voltage at Q1 turn-on</t>
  </si>
  <si>
    <t>Peak Inductor Current</t>
  </si>
  <si>
    <t>Valley Inductor Current</t>
  </si>
  <si>
    <t>Transitional Loss (not including capacitive loss)</t>
  </si>
  <si>
    <t>** Specify Inductor Core Loss **</t>
  </si>
  <si>
    <t>Total Bottom FET Diss/Loss</t>
  </si>
  <si>
    <t xml:space="preserve"> LM5146-Q1 Quickstart Calculator</t>
  </si>
  <si>
    <t xml:space="preserve">                             LM5146-Q1 DC-DC Controller Design Tool</t>
  </si>
  <si>
    <t>LM5146-Q1</t>
  </si>
  <si>
    <t>NVMFS6B14NL</t>
  </si>
  <si>
    <t>NVMFS6B25NL</t>
  </si>
  <si>
    <t>LM5146-Q1-EVM12V</t>
  </si>
  <si>
    <t>x</t>
  </si>
  <si>
    <t>IC, LM5146-Q1, PWM Controller, 5.5V-95V Input</t>
  </si>
  <si>
    <t>LM5146QRGYRQ1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</si>
</sst>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3" formatCode="_(* #,##0.00_);_(* \(#,##0.00\);_(* &quot;-&quot;??_);_(@_)"/>
    <numFmt numFmtId="164" formatCode="0.00000"/>
    <numFmt numFmtId="165" formatCode="0.0000"/>
    <numFmt numFmtId="166" formatCode="0.000"/>
    <numFmt numFmtId="167" formatCode="0.0"/>
    <numFmt numFmtId="168" formatCode="0.000E+00"/>
    <numFmt numFmtId="169" formatCode="0.00000000"/>
    <numFmt numFmtId="170" formatCode="0.000000000"/>
    <numFmt numFmtId="171" formatCode="#0.0#"/>
    <numFmt numFmtId="172" formatCode="General&quot;nF&quot;"/>
    <numFmt numFmtId="173" formatCode="General&quot;k&quot;"/>
    <numFmt numFmtId="174" formatCode="General&quot;pF&quot;"/>
    <numFmt numFmtId="175" formatCode="General&quot;µF&quot;"/>
    <numFmt numFmtId="176" formatCode="General&quot;µH&quot;"/>
    <numFmt numFmtId="177" formatCode="&quot;MOSFET, N-CH, 100V, &quot;General&quot;mΩ&quot;"/>
    <numFmt numFmtId="178" formatCode="General&quot;mΩ&quot;"/>
    <numFmt numFmtId="179" formatCode="&quot;Capacitor, Ceramic, &quot;General&quot;pF, 50V, NP0, 5%&quot;"/>
    <numFmt numFmtId="180" formatCode="&quot;Capacitor, Ceramic, &quot;General&quot;pF, 16V, X7R, 10%&quot;"/>
    <numFmt numFmtId="181" formatCode="&quot;Capacitor, Ceramic, &quot;General&quot;µF, 25V, X7R, 20%&quot;"/>
    <numFmt numFmtId="182" formatCode="&quot;Capacitor, Ceramic, &quot;General&quot;nF, 16V, X7R, 10%&quot;"/>
    <numFmt numFmtId="183" formatCode="&quot;Capacitor, Ceramic, &quot;General&quot;µF, 50V, X7R, 20%&quot;"/>
    <numFmt numFmtId="184" formatCode="&quot;Resistor, Chip, &quot;General&quot;kΩ, 1/16W, 1%&quot;"/>
    <numFmt numFmtId="185" formatCode="&quot;Resistor, Chip, &quot;General&quot;Ω, 1/16W, 1%&quot;"/>
    <numFmt numFmtId="186" formatCode="&quot;Resistor, &quot;General&quot;mΩ, 1/4W, 1%&quot;"/>
    <numFmt numFmtId="187" formatCode="&quot;MOSFET, N-CH, 80V/100V, &quot;General&quot;mΩ&quot;"/>
  </numFmts>
  <fonts count="105" x14ac:knownFonts="1">
    <font>
      <sz val="10"/>
      <name val="Arial"/>
    </font>
    <font>
      <sz val="11"/>
      <color theme="1"/>
      <name val="Calibri"/>
      <family val="2"/>
      <scheme val="minor"/>
    </font>
    <font>
      <sz val="10"/>
      <name val="Arial"/>
      <family val="2"/>
    </font>
    <font>
      <b/>
      <sz val="10"/>
      <name val="Arial"/>
      <family val="2"/>
    </font>
    <font>
      <b/>
      <sz val="22"/>
      <color indexed="44"/>
      <name val="Arial"/>
      <family val="2"/>
    </font>
    <font>
      <sz val="8"/>
      <name val="Arial"/>
      <family val="2"/>
    </font>
    <font>
      <i/>
      <sz val="10"/>
      <name val="Arial"/>
      <family val="2"/>
    </font>
    <font>
      <b/>
      <i/>
      <sz val="10"/>
      <name val="Arial"/>
      <family val="2"/>
    </font>
    <font>
      <sz val="10"/>
      <name val="Arial"/>
      <family val="2"/>
    </font>
    <font>
      <b/>
      <sz val="20"/>
      <color indexed="44"/>
      <name val="Arial"/>
      <family val="2"/>
    </font>
    <font>
      <vertAlign val="subscript"/>
      <sz val="10"/>
      <name val="Arial"/>
      <family val="2"/>
    </font>
    <font>
      <u/>
      <sz val="10"/>
      <color indexed="12"/>
      <name val="Arial"/>
      <family val="2"/>
    </font>
    <font>
      <b/>
      <sz val="16"/>
      <name val="Arial"/>
      <family val="2"/>
    </font>
    <font>
      <sz val="10"/>
      <color indexed="44"/>
      <name val="Arial"/>
      <family val="2"/>
    </font>
    <font>
      <b/>
      <sz val="28"/>
      <color indexed="44"/>
      <name val="Arial"/>
      <family val="2"/>
    </font>
    <font>
      <b/>
      <sz val="10"/>
      <color indexed="44"/>
      <name val="Arial"/>
      <family val="2"/>
    </font>
    <font>
      <sz val="10"/>
      <color indexed="8"/>
      <name val="Arial"/>
      <family val="2"/>
    </font>
    <font>
      <b/>
      <sz val="24"/>
      <color indexed="44"/>
      <name val="Arial"/>
      <family val="2"/>
    </font>
    <font>
      <sz val="10"/>
      <name val="Calibri"/>
      <family val="2"/>
    </font>
    <font>
      <b/>
      <sz val="10"/>
      <name val="Calibri"/>
      <family val="2"/>
    </font>
    <font>
      <sz val="10"/>
      <color indexed="55"/>
      <name val="Calibri"/>
      <family val="2"/>
    </font>
    <font>
      <sz val="10"/>
      <color indexed="8"/>
      <name val="Arial"/>
      <family val="2"/>
    </font>
    <font>
      <b/>
      <sz val="10"/>
      <color indexed="9"/>
      <name val="Calibri"/>
      <family val="2"/>
    </font>
    <font>
      <b/>
      <sz val="12"/>
      <color indexed="48"/>
      <name val="Arial"/>
      <family val="2"/>
    </font>
    <font>
      <b/>
      <sz val="12"/>
      <color indexed="12"/>
      <name val="Arial"/>
      <family val="2"/>
    </font>
    <font>
      <sz val="10"/>
      <color indexed="23"/>
      <name val="Calibri"/>
      <family val="2"/>
    </font>
    <font>
      <b/>
      <sz val="12"/>
      <color indexed="9"/>
      <name val="Calibri"/>
      <family val="2"/>
    </font>
    <font>
      <sz val="12"/>
      <name val="Calibri"/>
      <family val="2"/>
    </font>
    <font>
      <b/>
      <sz val="22"/>
      <color indexed="9"/>
      <name val="Calibri"/>
      <family val="2"/>
    </font>
    <font>
      <b/>
      <u/>
      <sz val="10"/>
      <color indexed="10"/>
      <name val="Arial"/>
      <family val="2"/>
    </font>
    <font>
      <sz val="10"/>
      <color indexed="56"/>
      <name val="Calibri"/>
      <family val="2"/>
    </font>
    <font>
      <sz val="10"/>
      <color indexed="8"/>
      <name val="Arial"/>
      <family val="2"/>
    </font>
    <font>
      <b/>
      <sz val="14"/>
      <color indexed="9"/>
      <name val="Calibri"/>
      <family val="2"/>
    </font>
    <font>
      <sz val="11"/>
      <color indexed="81"/>
      <name val="Tahoma"/>
      <family val="2"/>
    </font>
    <font>
      <b/>
      <i/>
      <sz val="14"/>
      <color indexed="12"/>
      <name val="Calibri"/>
      <family val="2"/>
    </font>
    <font>
      <b/>
      <sz val="8"/>
      <color indexed="81"/>
      <name val="Tahoma"/>
      <family val="2"/>
    </font>
    <font>
      <b/>
      <sz val="9"/>
      <color indexed="81"/>
      <name val="Tahoma"/>
      <family val="2"/>
    </font>
    <font>
      <sz val="8"/>
      <color indexed="81"/>
      <name val="Tahoma"/>
      <family val="2"/>
    </font>
    <font>
      <b/>
      <sz val="10"/>
      <color indexed="81"/>
      <name val="Tahoma"/>
      <family val="2"/>
    </font>
    <font>
      <sz val="9"/>
      <color indexed="81"/>
      <name val="Tahoma"/>
      <family val="2"/>
    </font>
    <font>
      <b/>
      <u/>
      <sz val="8"/>
      <color indexed="81"/>
      <name val="Tahoma"/>
      <family val="2"/>
    </font>
    <font>
      <b/>
      <u/>
      <sz val="9"/>
      <color indexed="81"/>
      <name val="Tahoma"/>
      <family val="2"/>
    </font>
    <font>
      <sz val="11"/>
      <color indexed="10"/>
      <name val="Tahoma"/>
      <family val="2"/>
    </font>
    <font>
      <b/>
      <sz val="11"/>
      <color indexed="10"/>
      <name val="Tahoma"/>
      <family val="2"/>
    </font>
    <font>
      <b/>
      <sz val="9"/>
      <color indexed="10"/>
      <name val="Tahoma"/>
      <family val="2"/>
    </font>
    <font>
      <sz val="10"/>
      <color indexed="81"/>
      <name val="Tahoma"/>
      <family val="2"/>
    </font>
    <font>
      <sz val="9"/>
      <color indexed="39"/>
      <name val="Tahoma"/>
      <family val="2"/>
    </font>
    <font>
      <b/>
      <sz val="9"/>
      <color indexed="39"/>
      <name val="Tahoma"/>
      <family val="2"/>
    </font>
    <font>
      <b/>
      <vertAlign val="subscript"/>
      <sz val="9"/>
      <color indexed="81"/>
      <name val="Tahoma"/>
      <family val="2"/>
    </font>
    <font>
      <vertAlign val="subscript"/>
      <sz val="9"/>
      <color indexed="81"/>
      <name val="Tahoma"/>
      <family val="2"/>
    </font>
    <font>
      <b/>
      <vertAlign val="subscript"/>
      <sz val="10"/>
      <color indexed="81"/>
      <name val="Tahoma"/>
      <family val="2"/>
    </font>
    <font>
      <vertAlign val="subscript"/>
      <sz val="10"/>
      <color indexed="81"/>
      <name val="Tahoma"/>
      <family val="2"/>
    </font>
    <font>
      <sz val="10"/>
      <color indexed="81"/>
      <name val="Calibri"/>
      <family val="2"/>
    </font>
    <font>
      <b/>
      <vertAlign val="subscript"/>
      <sz val="9"/>
      <color indexed="39"/>
      <name val="Tahoma"/>
      <family val="2"/>
    </font>
    <font>
      <b/>
      <vertAlign val="subscript"/>
      <sz val="9"/>
      <color indexed="10"/>
      <name val="Tahoma"/>
      <family val="2"/>
    </font>
    <font>
      <b/>
      <u/>
      <sz val="11"/>
      <color indexed="10"/>
      <name val="Tahoma"/>
      <family val="2"/>
    </font>
    <font>
      <b/>
      <vertAlign val="subscript"/>
      <sz val="10"/>
      <name val="Arial"/>
      <family val="2"/>
    </font>
    <font>
      <sz val="10"/>
      <color indexed="23"/>
      <name val="Arial"/>
      <family val="2"/>
    </font>
    <font>
      <sz val="10"/>
      <color indexed="55"/>
      <name val="Arial"/>
      <family val="2"/>
    </font>
    <font>
      <b/>
      <i/>
      <sz val="10"/>
      <color indexed="55"/>
      <name val="Arial"/>
      <family val="2"/>
    </font>
    <font>
      <b/>
      <i/>
      <sz val="14"/>
      <color indexed="12"/>
      <name val="Arial"/>
      <family val="2"/>
    </font>
    <font>
      <b/>
      <sz val="10"/>
      <color indexed="8"/>
      <name val="Arial"/>
      <family val="2"/>
    </font>
    <font>
      <b/>
      <sz val="14"/>
      <color indexed="9"/>
      <name val="Arial"/>
      <family val="2"/>
    </font>
    <font>
      <b/>
      <sz val="10"/>
      <color rgb="FFFF0000"/>
      <name val="Arial"/>
      <family val="2"/>
    </font>
    <font>
      <b/>
      <i/>
      <sz val="10"/>
      <color indexed="23"/>
      <name val="Arial"/>
      <family val="2"/>
    </font>
    <font>
      <sz val="12"/>
      <name val="Arial"/>
      <family val="2"/>
    </font>
    <font>
      <sz val="10"/>
      <color theme="1"/>
      <name val="Arial"/>
      <family val="2"/>
    </font>
    <font>
      <b/>
      <sz val="10"/>
      <color theme="1"/>
      <name val="Arial"/>
      <family val="2"/>
    </font>
    <font>
      <b/>
      <vertAlign val="subscript"/>
      <sz val="10"/>
      <color theme="1"/>
      <name val="Arial"/>
      <family val="2"/>
    </font>
    <font>
      <b/>
      <sz val="10"/>
      <color rgb="FF0000FF"/>
      <name val="Arial"/>
      <family val="2"/>
    </font>
    <font>
      <sz val="10"/>
      <color rgb="FF0000FF"/>
      <name val="Arial"/>
      <family val="2"/>
    </font>
    <font>
      <sz val="10"/>
      <color rgb="FF0000FF"/>
      <name val="Calibri"/>
      <family val="2"/>
    </font>
    <font>
      <b/>
      <vertAlign val="subscript"/>
      <sz val="10"/>
      <color rgb="FF0000FF"/>
      <name val="Arial"/>
      <family val="2"/>
    </font>
    <font>
      <b/>
      <sz val="12"/>
      <color rgb="FF003366"/>
      <name val="Calibri"/>
      <family val="2"/>
    </font>
    <font>
      <sz val="10"/>
      <name val="Symbol"/>
      <family val="1"/>
      <charset val="2"/>
    </font>
    <font>
      <b/>
      <sz val="10"/>
      <color indexed="9"/>
      <name val="Arial"/>
      <family val="2"/>
    </font>
    <font>
      <b/>
      <sz val="12"/>
      <color rgb="FF0000FF"/>
      <name val="Arial"/>
      <family val="2"/>
    </font>
    <font>
      <b/>
      <u/>
      <sz val="10"/>
      <name val="Arial"/>
      <family val="2"/>
    </font>
    <font>
      <u/>
      <sz val="9"/>
      <color indexed="12"/>
      <name val="Tahoma"/>
      <family val="2"/>
    </font>
    <font>
      <u/>
      <sz val="10"/>
      <color theme="0" tint="-0.499984740745262"/>
      <name val="Arial"/>
      <family val="2"/>
    </font>
    <font>
      <b/>
      <vertAlign val="subscript"/>
      <sz val="12"/>
      <color indexed="12"/>
      <name val="Arial"/>
      <family val="2"/>
    </font>
    <font>
      <vertAlign val="subscript"/>
      <sz val="10"/>
      <color theme="1"/>
      <name val="Arial"/>
      <family val="2"/>
    </font>
    <font>
      <b/>
      <sz val="10"/>
      <color rgb="FFC00000"/>
      <name val="Arial"/>
      <family val="2"/>
    </font>
    <font>
      <b/>
      <vertAlign val="subscript"/>
      <sz val="16"/>
      <name val="Arial"/>
      <family val="2"/>
    </font>
    <font>
      <b/>
      <sz val="10"/>
      <color theme="0"/>
      <name val="Arial"/>
      <family val="2"/>
    </font>
    <font>
      <sz val="10"/>
      <color theme="0"/>
      <name val="Arial"/>
      <family val="2"/>
    </font>
    <font>
      <b/>
      <sz val="10"/>
      <color rgb="FF33CC33"/>
      <name val="Arial"/>
      <family val="2"/>
    </font>
    <font>
      <b/>
      <vertAlign val="superscript"/>
      <sz val="10"/>
      <color theme="0"/>
      <name val="Arial"/>
      <family val="2"/>
    </font>
    <font>
      <b/>
      <sz val="12"/>
      <color rgb="FFFF0000"/>
      <name val="Arial"/>
      <family val="2"/>
    </font>
    <font>
      <b/>
      <vertAlign val="superscript"/>
      <sz val="12"/>
      <color rgb="FFFF0000"/>
      <name val="Arial"/>
      <family val="2"/>
    </font>
    <font>
      <sz val="10"/>
      <color rgb="FFFF0000"/>
      <name val="Arial"/>
      <family val="2"/>
    </font>
    <font>
      <sz val="9"/>
      <name val="Arial"/>
      <family val="2"/>
    </font>
    <font>
      <b/>
      <sz val="12"/>
      <name val="Arial"/>
      <family val="2"/>
    </font>
    <font>
      <b/>
      <sz val="22"/>
      <color rgb="FFFF0000"/>
      <name val="Calibri"/>
      <family val="2"/>
    </font>
    <font>
      <sz val="10"/>
      <color rgb="FFFF0000"/>
      <name val="Calibri"/>
      <family val="2"/>
    </font>
    <font>
      <b/>
      <sz val="10"/>
      <color rgb="FFFF0000"/>
      <name val="Calibri"/>
      <family val="2"/>
    </font>
    <font>
      <b/>
      <sz val="22"/>
      <name val="Calibri"/>
      <family val="2"/>
    </font>
    <font>
      <u/>
      <sz val="10"/>
      <name val="Arial"/>
      <family val="2"/>
    </font>
    <font>
      <sz val="10"/>
      <color theme="0"/>
      <name val="Calibri"/>
      <family val="2"/>
    </font>
    <font>
      <b/>
      <sz val="12"/>
      <color theme="0"/>
      <name val="Calibri"/>
      <family val="2"/>
    </font>
    <font>
      <b/>
      <sz val="11"/>
      <color indexed="81"/>
      <name val="Tahoma"/>
      <family val="2"/>
    </font>
    <font>
      <b/>
      <sz val="9"/>
      <color rgb="FF000000"/>
      <name val="Arial"/>
      <family val="2"/>
    </font>
    <font>
      <sz val="36"/>
      <color rgb="FFFF0000"/>
      <name val="Arial"/>
      <family val="2"/>
    </font>
    <font>
      <sz val="16"/>
      <color theme="0"/>
      <name val="Arial"/>
      <family val="2"/>
    </font>
    <font>
      <sz val="28"/>
      <color theme="0"/>
      <name val="Arial"/>
      <family val="2"/>
    </font>
  </fonts>
  <fills count="26">
    <fill>
      <patternFill patternType="none"/>
    </fill>
    <fill>
      <patternFill patternType="gray125"/>
    </fill>
    <fill>
      <patternFill patternType="solid">
        <fgColor indexed="44"/>
        <bgColor indexed="64"/>
      </patternFill>
    </fill>
    <fill>
      <patternFill patternType="solid">
        <fgColor indexed="8"/>
        <bgColor indexed="64"/>
      </patternFill>
    </fill>
    <fill>
      <patternFill patternType="solid">
        <fgColor indexed="22"/>
        <bgColor indexed="64"/>
      </patternFill>
    </fill>
    <fill>
      <patternFill patternType="solid">
        <fgColor indexed="55"/>
        <bgColor indexed="64"/>
      </patternFill>
    </fill>
    <fill>
      <patternFill patternType="solid">
        <fgColor indexed="45"/>
        <bgColor indexed="64"/>
      </patternFill>
    </fill>
    <fill>
      <patternFill patternType="solid">
        <fgColor indexed="46"/>
        <bgColor indexed="64"/>
      </patternFill>
    </fill>
    <fill>
      <patternFill patternType="solid">
        <fgColor indexed="11"/>
        <bgColor indexed="64"/>
      </patternFill>
    </fill>
    <fill>
      <patternFill patternType="solid">
        <fgColor indexed="42"/>
        <bgColor indexed="64"/>
      </patternFill>
    </fill>
    <fill>
      <patternFill patternType="solid">
        <fgColor indexed="9"/>
        <bgColor indexed="64"/>
      </patternFill>
    </fill>
    <fill>
      <patternFill patternType="solid">
        <fgColor indexed="13"/>
        <bgColor indexed="64"/>
      </patternFill>
    </fill>
    <fill>
      <patternFill patternType="solid">
        <fgColor indexed="41"/>
        <bgColor indexed="64"/>
      </patternFill>
    </fill>
    <fill>
      <patternFill patternType="solid">
        <fgColor indexed="52"/>
        <bgColor indexed="64"/>
      </patternFill>
    </fill>
    <fill>
      <patternFill patternType="solid">
        <fgColor indexed="50"/>
        <bgColor indexed="64"/>
      </patternFill>
    </fill>
    <fill>
      <patternFill patternType="solid">
        <fgColor indexed="47"/>
        <bgColor indexed="64"/>
      </patternFill>
    </fill>
    <fill>
      <patternFill patternType="solid">
        <fgColor indexed="56"/>
        <bgColor indexed="64"/>
      </patternFill>
    </fill>
    <fill>
      <patternFill patternType="solid">
        <fgColor indexed="23"/>
        <bgColor indexed="64"/>
      </patternFill>
    </fill>
    <fill>
      <patternFill patternType="solid">
        <fgColor indexed="53"/>
        <bgColor indexed="64"/>
      </patternFill>
    </fill>
    <fill>
      <patternFill patternType="solid">
        <fgColor theme="0"/>
        <bgColor indexed="64"/>
      </patternFill>
    </fill>
    <fill>
      <patternFill patternType="solid">
        <fgColor rgb="FFFF0000"/>
        <bgColor indexed="64"/>
      </patternFill>
    </fill>
    <fill>
      <patternFill patternType="solid">
        <fgColor theme="1"/>
        <bgColor indexed="64"/>
      </patternFill>
    </fill>
    <fill>
      <patternFill patternType="solid">
        <fgColor rgb="FFFFFF00"/>
        <bgColor indexed="64"/>
      </patternFill>
    </fill>
    <fill>
      <patternFill patternType="solid">
        <fgColor indexed="43"/>
        <bgColor indexed="64"/>
      </patternFill>
    </fill>
    <fill>
      <patternFill patternType="solid">
        <fgColor rgb="FFFFFF99"/>
        <bgColor indexed="64"/>
      </patternFill>
    </fill>
    <fill>
      <patternFill patternType="solid">
        <fgColor theme="0" tint="-0.499984740745262"/>
        <bgColor indexed="64"/>
      </patternFill>
    </fill>
  </fills>
  <borders count="6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55"/>
      </top>
      <bottom/>
      <diagonal/>
    </border>
    <border>
      <left/>
      <right/>
      <top/>
      <bottom style="medium">
        <color indexed="55"/>
      </bottom>
      <diagonal/>
    </border>
    <border>
      <left/>
      <right style="medium">
        <color indexed="55"/>
      </right>
      <top style="medium">
        <color indexed="55"/>
      </top>
      <bottom/>
      <diagonal/>
    </border>
    <border>
      <left/>
      <right style="medium">
        <color indexed="55"/>
      </right>
      <top/>
      <bottom/>
      <diagonal/>
    </border>
    <border>
      <left/>
      <right style="medium">
        <color indexed="55"/>
      </right>
      <top/>
      <bottom style="medium">
        <color indexed="55"/>
      </bottom>
      <diagonal/>
    </border>
    <border>
      <left style="medium">
        <color indexed="55"/>
      </left>
      <right/>
      <top style="medium">
        <color indexed="55"/>
      </top>
      <bottom/>
      <diagonal/>
    </border>
    <border>
      <left style="medium">
        <color indexed="55"/>
      </left>
      <right/>
      <top/>
      <bottom/>
      <diagonal/>
    </border>
    <border>
      <left style="medium">
        <color indexed="55"/>
      </left>
      <right/>
      <top/>
      <bottom style="medium">
        <color indexed="55"/>
      </bottom>
      <diagonal/>
    </border>
    <border>
      <left/>
      <right/>
      <top style="medium">
        <color auto="1"/>
      </top>
      <bottom/>
      <diagonal/>
    </border>
    <border>
      <left/>
      <right style="medium">
        <color auto="1"/>
      </right>
      <top style="medium">
        <color auto="1"/>
      </top>
      <bottom/>
      <diagonal/>
    </border>
    <border>
      <left style="medium">
        <color auto="1"/>
      </left>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indexed="64"/>
      </top>
      <bottom style="medium">
        <color indexed="64"/>
      </bottom>
      <diagonal/>
    </border>
    <border>
      <left/>
      <right/>
      <top style="medium">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style="medium">
        <color auto="1"/>
      </left>
      <right/>
      <top/>
      <bottom/>
      <diagonal/>
    </border>
    <border>
      <left style="double">
        <color indexed="64"/>
      </left>
      <right style="thin">
        <color indexed="64"/>
      </right>
      <top style="medium">
        <color indexed="64"/>
      </top>
      <bottom style="thin">
        <color indexed="64"/>
      </bottom>
      <diagonal/>
    </border>
    <border>
      <left style="double">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s>
  <cellStyleXfs count="5">
    <xf numFmtId="0" fontId="0" fillId="0" borderId="0"/>
    <xf numFmtId="0" fontId="11" fillId="0" borderId="0" applyNumberFormat="0" applyFill="0" applyBorder="0" applyAlignment="0" applyProtection="0">
      <alignment vertical="top"/>
      <protection locked="0"/>
    </xf>
    <xf numFmtId="0" fontId="2" fillId="0" borderId="0"/>
    <xf numFmtId="0" fontId="1" fillId="0" borderId="0"/>
    <xf numFmtId="43" fontId="1" fillId="0" borderId="0" applyFont="0" applyFill="0" applyBorder="0" applyAlignment="0" applyProtection="0"/>
  </cellStyleXfs>
  <cellXfs count="621">
    <xf numFmtId="0" fontId="0" fillId="0" borderId="0" xfId="0"/>
    <xf numFmtId="0" fontId="7" fillId="0" borderId="0" xfId="0" applyFont="1"/>
    <xf numFmtId="0" fontId="3" fillId="0" borderId="0" xfId="0" applyFont="1"/>
    <xf numFmtId="0" fontId="8" fillId="0" borderId="0" xfId="0" applyFont="1"/>
    <xf numFmtId="2" fontId="0" fillId="0" borderId="0" xfId="0" applyNumberFormat="1"/>
    <xf numFmtId="0" fontId="0" fillId="2" borderId="0" xfId="0" applyFill="1"/>
    <xf numFmtId="0" fontId="0" fillId="3" borderId="0" xfId="0" applyFill="1"/>
    <xf numFmtId="0" fontId="3" fillId="2" borderId="0" xfId="0" applyFont="1" applyFill="1"/>
    <xf numFmtId="0" fontId="12" fillId="2" borderId="0" xfId="0" applyFont="1" applyFill="1"/>
    <xf numFmtId="168" fontId="0" fillId="0" borderId="0" xfId="0" applyNumberFormat="1"/>
    <xf numFmtId="10" fontId="0" fillId="0" borderId="0" xfId="0" applyNumberFormat="1"/>
    <xf numFmtId="0" fontId="15" fillId="3" borderId="0" xfId="0" applyFont="1" applyFill="1" applyAlignment="1">
      <alignment horizontal="right"/>
    </xf>
    <xf numFmtId="0" fontId="15" fillId="3" borderId="0" xfId="0" applyFont="1" applyFill="1"/>
    <xf numFmtId="0" fontId="0" fillId="0" borderId="0" xfId="0" applyBorder="1"/>
    <xf numFmtId="2" fontId="0" fillId="0" borderId="0" xfId="0" applyNumberFormat="1" applyBorder="1"/>
    <xf numFmtId="0" fontId="7" fillId="4" borderId="1" xfId="0" applyFont="1" applyFill="1" applyBorder="1" applyAlignment="1"/>
    <xf numFmtId="0" fontId="7" fillId="4" borderId="2" xfId="0" applyFont="1" applyFill="1" applyBorder="1" applyAlignment="1"/>
    <xf numFmtId="0" fontId="0" fillId="4" borderId="3" xfId="0" applyFill="1" applyBorder="1"/>
    <xf numFmtId="0" fontId="16" fillId="4" borderId="3" xfId="0" applyFont="1" applyFill="1" applyBorder="1"/>
    <xf numFmtId="168" fontId="7" fillId="4" borderId="2" xfId="0" applyNumberFormat="1" applyFont="1" applyFill="1" applyBorder="1" applyAlignment="1">
      <alignment horizontal="center"/>
    </xf>
    <xf numFmtId="0" fontId="7" fillId="4" borderId="1" xfId="0" applyFont="1" applyFill="1" applyBorder="1"/>
    <xf numFmtId="0" fontId="0" fillId="4" borderId="2" xfId="0" applyFill="1" applyBorder="1"/>
    <xf numFmtId="0" fontId="17" fillId="3" borderId="4" xfId="0" applyFont="1" applyFill="1" applyBorder="1" applyAlignment="1"/>
    <xf numFmtId="0" fontId="3" fillId="2" borderId="5" xfId="0" applyFont="1" applyFill="1" applyBorder="1" applyAlignment="1">
      <alignment horizontal="center" vertical="top" wrapText="1"/>
    </xf>
    <xf numFmtId="0" fontId="3" fillId="2" borderId="6" xfId="0" applyFont="1" applyFill="1" applyBorder="1" applyAlignment="1">
      <alignment horizontal="center" vertical="top" wrapText="1"/>
    </xf>
    <xf numFmtId="0" fontId="3" fillId="2" borderId="7" xfId="0" applyFont="1" applyFill="1" applyBorder="1" applyAlignment="1">
      <alignment horizontal="center" vertical="top" wrapText="1"/>
    </xf>
    <xf numFmtId="168" fontId="3" fillId="2" borderId="6" xfId="0" applyNumberFormat="1" applyFont="1" applyFill="1" applyBorder="1" applyAlignment="1">
      <alignment horizontal="center" vertical="top" wrapText="1"/>
    </xf>
    <xf numFmtId="0" fontId="3" fillId="5" borderId="8" xfId="0" applyFont="1" applyFill="1" applyBorder="1" applyAlignment="1"/>
    <xf numFmtId="0" fontId="3" fillId="5" borderId="9" xfId="0" applyFont="1" applyFill="1" applyBorder="1" applyAlignment="1"/>
    <xf numFmtId="0" fontId="3" fillId="5" borderId="10" xfId="0" applyFont="1" applyFill="1" applyBorder="1" applyAlignment="1"/>
    <xf numFmtId="0" fontId="3" fillId="5" borderId="11" xfId="0" applyFont="1" applyFill="1" applyBorder="1"/>
    <xf numFmtId="0" fontId="8" fillId="0" borderId="0" xfId="0" applyNumberFormat="1" applyFont="1" applyProtection="1">
      <protection locked="0"/>
    </xf>
    <xf numFmtId="0" fontId="0" fillId="0" borderId="0" xfId="0" applyNumberFormat="1" applyProtection="1">
      <protection locked="0"/>
    </xf>
    <xf numFmtId="0" fontId="0" fillId="6" borderId="12" xfId="0" applyFill="1" applyBorder="1"/>
    <xf numFmtId="0" fontId="0" fillId="0" borderId="11" xfId="0" applyFill="1" applyBorder="1"/>
    <xf numFmtId="0" fontId="0" fillId="6" borderId="11" xfId="0" applyFill="1" applyBorder="1"/>
    <xf numFmtId="0" fontId="0" fillId="4" borderId="11" xfId="0" applyFill="1" applyBorder="1"/>
    <xf numFmtId="0" fontId="3" fillId="5" borderId="0" xfId="0" applyFont="1" applyFill="1"/>
    <xf numFmtId="0" fontId="0" fillId="6" borderId="0" xfId="0" applyFill="1" applyBorder="1"/>
    <xf numFmtId="0" fontId="0" fillId="2" borderId="0" xfId="0" applyFill="1" applyBorder="1"/>
    <xf numFmtId="0" fontId="0" fillId="0" borderId="13" xfId="0" applyFill="1" applyBorder="1"/>
    <xf numFmtId="0" fontId="8" fillId="2" borderId="0" xfId="0" applyFont="1" applyFill="1"/>
    <xf numFmtId="0" fontId="0" fillId="0" borderId="11" xfId="0" applyBorder="1"/>
    <xf numFmtId="0" fontId="0" fillId="6" borderId="13" xfId="0" applyFill="1" applyBorder="1"/>
    <xf numFmtId="0" fontId="0" fillId="4" borderId="0" xfId="0" applyFill="1" applyBorder="1"/>
    <xf numFmtId="11" fontId="0" fillId="0" borderId="0" xfId="0" applyNumberFormat="1"/>
    <xf numFmtId="0" fontId="13" fillId="3" borderId="0" xfId="0" applyFont="1" applyFill="1"/>
    <xf numFmtId="0" fontId="0" fillId="0" borderId="0" xfId="0" applyFill="1"/>
    <xf numFmtId="0" fontId="3" fillId="5" borderId="8" xfId="0" applyFont="1" applyFill="1" applyBorder="1"/>
    <xf numFmtId="0" fontId="3" fillId="5" borderId="9" xfId="0" applyFont="1" applyFill="1" applyBorder="1"/>
    <xf numFmtId="0" fontId="0" fillId="4" borderId="12" xfId="0" applyFill="1" applyBorder="1"/>
    <xf numFmtId="0" fontId="0" fillId="4" borderId="14" xfId="0" applyFill="1" applyBorder="1"/>
    <xf numFmtId="0" fontId="3" fillId="4" borderId="11" xfId="0" applyFont="1" applyFill="1" applyBorder="1"/>
    <xf numFmtId="0" fontId="0" fillId="0" borderId="0" xfId="0" applyFill="1" applyBorder="1"/>
    <xf numFmtId="0" fontId="0" fillId="6" borderId="8" xfId="0" applyFill="1" applyBorder="1"/>
    <xf numFmtId="0" fontId="0" fillId="4" borderId="8" xfId="0" applyFill="1" applyBorder="1"/>
    <xf numFmtId="0" fontId="3" fillId="5" borderId="4" xfId="0" applyFont="1" applyFill="1" applyBorder="1" applyAlignment="1"/>
    <xf numFmtId="0" fontId="0" fillId="2" borderId="14" xfId="0" applyFill="1" applyBorder="1"/>
    <xf numFmtId="0" fontId="0" fillId="2" borderId="13" xfId="0" applyFill="1" applyBorder="1"/>
    <xf numFmtId="0" fontId="0" fillId="2" borderId="12" xfId="0" applyFill="1" applyBorder="1"/>
    <xf numFmtId="0" fontId="0" fillId="8" borderId="0" xfId="0" applyFill="1"/>
    <xf numFmtId="0" fontId="0" fillId="9" borderId="0" xfId="0" applyFill="1"/>
    <xf numFmtId="0" fontId="3" fillId="0" borderId="0" xfId="0" applyFont="1" applyFill="1" applyBorder="1"/>
    <xf numFmtId="0" fontId="0" fillId="11" borderId="0" xfId="0" applyFill="1"/>
    <xf numFmtId="0" fontId="0" fillId="0" borderId="0" xfId="0" applyAlignment="1">
      <alignment horizontal="right"/>
    </xf>
    <xf numFmtId="0" fontId="18" fillId="0" borderId="0" xfId="0" applyFont="1"/>
    <xf numFmtId="0" fontId="3" fillId="0" borderId="0" xfId="0" applyFont="1" applyFill="1" applyBorder="1" applyAlignment="1" applyProtection="1">
      <alignment horizontal="center"/>
    </xf>
    <xf numFmtId="171" fontId="21" fillId="0" borderId="0" xfId="0" applyNumberFormat="1" applyFont="1" applyFill="1" applyBorder="1" applyAlignment="1" applyProtection="1">
      <alignment horizontal="center"/>
    </xf>
    <xf numFmtId="171" fontId="8" fillId="0" borderId="0" xfId="0" applyNumberFormat="1" applyFont="1" applyFill="1" applyBorder="1" applyAlignment="1" applyProtection="1">
      <alignment horizontal="center"/>
    </xf>
    <xf numFmtId="171" fontId="8" fillId="0" borderId="0" xfId="0" applyNumberFormat="1" applyFont="1" applyFill="1" applyBorder="1" applyAlignment="1" applyProtection="1">
      <alignment horizontal="center"/>
      <protection locked="0"/>
    </xf>
    <xf numFmtId="171" fontId="8" fillId="0" borderId="0" xfId="0" applyNumberFormat="1" applyFont="1" applyBorder="1" applyAlignment="1" applyProtection="1">
      <alignment horizontal="center"/>
      <protection locked="0"/>
    </xf>
    <xf numFmtId="171" fontId="8" fillId="0" borderId="0" xfId="0" applyNumberFormat="1" applyFont="1" applyAlignment="1" applyProtection="1">
      <alignment horizontal="center"/>
      <protection locked="0"/>
    </xf>
    <xf numFmtId="171" fontId="8" fillId="0" borderId="0" xfId="0" applyNumberFormat="1" applyFont="1" applyBorder="1" applyAlignment="1" applyProtection="1">
      <alignment horizontal="center"/>
    </xf>
    <xf numFmtId="171" fontId="8" fillId="0" borderId="0" xfId="0" applyNumberFormat="1" applyFont="1" applyFill="1" applyAlignment="1" applyProtection="1">
      <alignment horizontal="center"/>
      <protection locked="0"/>
    </xf>
    <xf numFmtId="11" fontId="7" fillId="0" borderId="0" xfId="0" applyNumberFormat="1" applyFont="1"/>
    <xf numFmtId="171" fontId="0" fillId="0" borderId="0" xfId="0" applyNumberFormat="1"/>
    <xf numFmtId="0" fontId="0" fillId="12" borderId="0" xfId="0" applyFill="1"/>
    <xf numFmtId="167" fontId="0" fillId="0" borderId="0" xfId="0" applyNumberFormat="1"/>
    <xf numFmtId="0" fontId="3" fillId="0" borderId="0" xfId="0" applyFont="1" applyFill="1" applyAlignment="1">
      <alignment horizontal="center"/>
    </xf>
    <xf numFmtId="0" fontId="3" fillId="4" borderId="0" xfId="0" applyFont="1" applyFill="1" applyAlignment="1">
      <alignment horizontal="center"/>
    </xf>
    <xf numFmtId="0" fontId="3" fillId="13" borderId="0" xfId="0" applyFont="1" applyFill="1" applyAlignment="1">
      <alignment horizontal="center"/>
    </xf>
    <xf numFmtId="0" fontId="3" fillId="14" borderId="0" xfId="0" applyFont="1" applyFill="1" applyAlignment="1">
      <alignment horizontal="center"/>
    </xf>
    <xf numFmtId="168" fontId="7" fillId="4" borderId="1" xfId="0" applyNumberFormat="1" applyFont="1" applyFill="1" applyBorder="1" applyAlignment="1">
      <alignment horizontal="center"/>
    </xf>
    <xf numFmtId="0" fontId="0" fillId="4" borderId="18" xfId="0" applyFill="1" applyBorder="1"/>
    <xf numFmtId="0" fontId="7" fillId="4" borderId="3" xfId="0" applyFont="1" applyFill="1" applyBorder="1"/>
    <xf numFmtId="0" fontId="7" fillId="4" borderId="19" xfId="0" applyFont="1" applyFill="1" applyBorder="1" applyAlignment="1">
      <alignment horizontal="left"/>
    </xf>
    <xf numFmtId="0" fontId="7" fillId="4" borderId="20" xfId="0" applyFont="1" applyFill="1" applyBorder="1" applyAlignment="1">
      <alignment horizontal="left"/>
    </xf>
    <xf numFmtId="0" fontId="0" fillId="4" borderId="20" xfId="0" applyFill="1" applyBorder="1"/>
    <xf numFmtId="0" fontId="0" fillId="4" borderId="21" xfId="0" applyFill="1" applyBorder="1"/>
    <xf numFmtId="0" fontId="3" fillId="7" borderId="7" xfId="0" applyFont="1" applyFill="1" applyBorder="1" applyAlignment="1">
      <alignment horizontal="center" vertical="top" wrapText="1"/>
    </xf>
    <xf numFmtId="168" fontId="3" fillId="2" borderId="5" xfId="0" applyNumberFormat="1" applyFont="1" applyFill="1" applyBorder="1" applyAlignment="1">
      <alignment horizontal="center" vertical="top" wrapText="1"/>
    </xf>
    <xf numFmtId="0" fontId="3" fillId="2" borderId="22" xfId="0" applyFont="1" applyFill="1" applyBorder="1" applyAlignment="1">
      <alignment horizontal="center" vertical="top" wrapText="1"/>
    </xf>
    <xf numFmtId="0" fontId="3" fillId="7" borderId="23" xfId="0" applyFont="1" applyFill="1" applyBorder="1" applyAlignment="1">
      <alignment horizontal="center" vertical="top" wrapText="1"/>
    </xf>
    <xf numFmtId="0" fontId="3" fillId="7" borderId="24" xfId="0" applyFont="1" applyFill="1" applyBorder="1" applyAlignment="1">
      <alignment horizontal="center" vertical="top" wrapText="1"/>
    </xf>
    <xf numFmtId="0" fontId="3" fillId="2" borderId="25" xfId="0" applyFont="1" applyFill="1" applyBorder="1" applyAlignment="1">
      <alignment horizontal="center" vertical="top" wrapText="1"/>
    </xf>
    <xf numFmtId="0" fontId="3" fillId="2" borderId="26" xfId="0" applyFont="1" applyFill="1" applyBorder="1" applyAlignment="1">
      <alignment horizontal="center" vertical="top" wrapText="1"/>
    </xf>
    <xf numFmtId="0" fontId="3" fillId="2" borderId="27" xfId="0" applyFont="1" applyFill="1" applyBorder="1" applyAlignment="1">
      <alignment horizontal="center" vertical="top" wrapText="1"/>
    </xf>
    <xf numFmtId="0" fontId="3" fillId="7" borderId="28" xfId="0" applyFont="1" applyFill="1" applyBorder="1" applyAlignment="1">
      <alignment horizontal="center" vertical="top" wrapText="1"/>
    </xf>
    <xf numFmtId="0" fontId="3" fillId="15" borderId="5" xfId="0" applyFont="1" applyFill="1" applyBorder="1" applyAlignment="1">
      <alignment horizontal="center" vertical="top" wrapText="1"/>
    </xf>
    <xf numFmtId="2" fontId="3" fillId="15" borderId="6" xfId="0" applyNumberFormat="1" applyFont="1" applyFill="1" applyBorder="1" applyAlignment="1">
      <alignment horizontal="center" vertical="top" wrapText="1"/>
    </xf>
    <xf numFmtId="0" fontId="0" fillId="0" borderId="0" xfId="0" applyNumberFormat="1"/>
    <xf numFmtId="0" fontId="7" fillId="4" borderId="2" xfId="0" applyNumberFormat="1" applyFont="1" applyFill="1" applyBorder="1" applyAlignment="1"/>
    <xf numFmtId="0" fontId="3" fillId="2" borderId="6" xfId="0" applyNumberFormat="1" applyFont="1" applyFill="1" applyBorder="1" applyAlignment="1">
      <alignment horizontal="center" vertical="top" wrapText="1"/>
    </xf>
    <xf numFmtId="171" fontId="18" fillId="3" borderId="0" xfId="0" applyNumberFormat="1" applyFont="1" applyFill="1" applyBorder="1" applyAlignment="1" applyProtection="1">
      <alignment horizontal="center"/>
    </xf>
    <xf numFmtId="171" fontId="27" fillId="3" borderId="0" xfId="0" applyNumberFormat="1" applyFont="1" applyFill="1" applyBorder="1" applyAlignment="1" applyProtection="1">
      <alignment horizontal="center"/>
    </xf>
    <xf numFmtId="0" fontId="0" fillId="0" borderId="29" xfId="0" applyBorder="1"/>
    <xf numFmtId="0" fontId="0" fillId="0" borderId="30" xfId="0" applyBorder="1"/>
    <xf numFmtId="0" fontId="8" fillId="0" borderId="29" xfId="0" applyFont="1" applyBorder="1"/>
    <xf numFmtId="0" fontId="0" fillId="14" borderId="0" xfId="0" applyFill="1" applyBorder="1"/>
    <xf numFmtId="0" fontId="0" fillId="0" borderId="31" xfId="0" applyBorder="1"/>
    <xf numFmtId="0" fontId="0" fillId="0" borderId="32" xfId="0" applyBorder="1"/>
    <xf numFmtId="0" fontId="0" fillId="0" borderId="33" xfId="0" applyBorder="1"/>
    <xf numFmtId="0" fontId="0" fillId="0" borderId="2" xfId="0" applyBorder="1"/>
    <xf numFmtId="0" fontId="0" fillId="0" borderId="3" xfId="0" applyBorder="1"/>
    <xf numFmtId="0" fontId="7" fillId="0" borderId="29" xfId="0" applyFont="1" applyBorder="1"/>
    <xf numFmtId="0" fontId="7" fillId="13" borderId="0" xfId="0" applyFont="1" applyFill="1" applyBorder="1"/>
    <xf numFmtId="0" fontId="8" fillId="13" borderId="0" xfId="0" applyFont="1" applyFill="1" applyBorder="1"/>
    <xf numFmtId="0" fontId="3" fillId="0" borderId="29" xfId="0" applyFont="1" applyBorder="1"/>
    <xf numFmtId="0" fontId="3" fillId="0" borderId="31" xfId="0" applyFont="1" applyBorder="1"/>
    <xf numFmtId="0" fontId="7" fillId="13" borderId="32" xfId="0" applyFont="1" applyFill="1" applyBorder="1"/>
    <xf numFmtId="11" fontId="0" fillId="14" borderId="0" xfId="0" applyNumberFormat="1" applyFill="1" applyBorder="1"/>
    <xf numFmtId="0" fontId="0" fillId="13" borderId="0" xfId="0" applyFill="1" applyBorder="1"/>
    <xf numFmtId="1" fontId="3" fillId="13" borderId="0" xfId="0" applyNumberFormat="1" applyFont="1" applyFill="1" applyBorder="1" applyAlignment="1">
      <alignment horizontal="right"/>
    </xf>
    <xf numFmtId="0" fontId="3" fillId="13" borderId="0" xfId="0" applyFont="1" applyFill="1" applyBorder="1"/>
    <xf numFmtId="11" fontId="0" fillId="13" borderId="0" xfId="0" applyNumberFormat="1" applyFill="1" applyBorder="1"/>
    <xf numFmtId="167" fontId="0" fillId="13" borderId="32" xfId="0" applyNumberFormat="1" applyFill="1" applyBorder="1"/>
    <xf numFmtId="0" fontId="7" fillId="0" borderId="31" xfId="0" applyFont="1" applyBorder="1"/>
    <xf numFmtId="0" fontId="0" fillId="4" borderId="32" xfId="0" applyFill="1" applyBorder="1"/>
    <xf numFmtId="170" fontId="0" fillId="13" borderId="0" xfId="0" applyNumberFormat="1" applyFill="1" applyBorder="1"/>
    <xf numFmtId="0" fontId="0" fillId="0" borderId="0" xfId="0" applyBorder="1" applyAlignment="1">
      <alignment horizontal="right"/>
    </xf>
    <xf numFmtId="0" fontId="0" fillId="0" borderId="32" xfId="0" applyBorder="1" applyAlignment="1">
      <alignment horizontal="right"/>
    </xf>
    <xf numFmtId="0" fontId="0" fillId="5" borderId="0" xfId="0" applyFill="1" applyBorder="1"/>
    <xf numFmtId="0" fontId="7" fillId="0" borderId="0" xfId="0" applyFont="1" applyBorder="1"/>
    <xf numFmtId="0" fontId="3" fillId="0" borderId="0" xfId="0" applyFont="1" applyBorder="1"/>
    <xf numFmtId="11" fontId="7" fillId="0" borderId="32" xfId="0" applyNumberFormat="1" applyFont="1" applyBorder="1"/>
    <xf numFmtId="11" fontId="0" fillId="4" borderId="0" xfId="0" applyNumberFormat="1" applyFill="1" applyBorder="1"/>
    <xf numFmtId="0" fontId="0" fillId="2" borderId="0" xfId="0" applyFill="1" applyProtection="1">
      <protection locked="0"/>
    </xf>
    <xf numFmtId="0" fontId="0" fillId="2" borderId="11" xfId="0" applyFill="1" applyBorder="1" applyProtection="1">
      <protection locked="0"/>
    </xf>
    <xf numFmtId="0" fontId="0" fillId="10" borderId="0" xfId="0" applyFill="1" applyBorder="1"/>
    <xf numFmtId="0" fontId="0" fillId="4" borderId="13" xfId="0" applyFill="1" applyBorder="1"/>
    <xf numFmtId="0" fontId="0" fillId="7" borderId="11" xfId="0" applyFill="1" applyBorder="1"/>
    <xf numFmtId="0" fontId="16" fillId="7" borderId="11" xfId="0" applyFont="1" applyFill="1" applyBorder="1"/>
    <xf numFmtId="0" fontId="8" fillId="7" borderId="11" xfId="0" applyFont="1" applyFill="1" applyBorder="1" applyAlignment="1"/>
    <xf numFmtId="0" fontId="8" fillId="10" borderId="11" xfId="0" applyFont="1" applyFill="1" applyBorder="1"/>
    <xf numFmtId="0" fontId="3" fillId="0" borderId="0" xfId="0" applyFont="1" applyFill="1" applyBorder="1" applyAlignment="1"/>
    <xf numFmtId="0" fontId="8" fillId="0" borderId="0" xfId="0" applyFont="1" applyFill="1" applyBorder="1"/>
    <xf numFmtId="0" fontId="18" fillId="3" borderId="0" xfId="0" applyFont="1" applyFill="1" applyBorder="1" applyProtection="1"/>
    <xf numFmtId="0" fontId="18" fillId="3" borderId="0" xfId="0" applyFont="1" applyFill="1" applyProtection="1"/>
    <xf numFmtId="0" fontId="19" fillId="10" borderId="0" xfId="0" applyFont="1" applyFill="1" applyBorder="1" applyAlignment="1" applyProtection="1"/>
    <xf numFmtId="0" fontId="18" fillId="10" borderId="0" xfId="0" applyFont="1" applyFill="1" applyBorder="1" applyAlignment="1" applyProtection="1">
      <alignment horizontal="right"/>
    </xf>
    <xf numFmtId="0" fontId="19" fillId="10" borderId="0" xfId="0" applyFont="1" applyFill="1" applyBorder="1" applyAlignment="1" applyProtection="1">
      <alignment horizontal="right"/>
    </xf>
    <xf numFmtId="0" fontId="18" fillId="10" borderId="0" xfId="0" applyFont="1" applyFill="1" applyBorder="1" applyProtection="1"/>
    <xf numFmtId="0" fontId="27" fillId="16" borderId="20" xfId="0" applyFont="1" applyFill="1" applyBorder="1" applyProtection="1"/>
    <xf numFmtId="0" fontId="27" fillId="16" borderId="21" xfId="0" applyFont="1" applyFill="1" applyBorder="1" applyProtection="1"/>
    <xf numFmtId="0" fontId="27" fillId="3" borderId="0" xfId="0" applyFont="1" applyFill="1" applyProtection="1"/>
    <xf numFmtId="0" fontId="18" fillId="10" borderId="0" xfId="0" applyFont="1" applyFill="1" applyBorder="1" applyAlignment="1" applyProtection="1">
      <alignment horizontal="center"/>
    </xf>
    <xf numFmtId="0" fontId="18" fillId="10" borderId="0" xfId="0" applyFont="1" applyFill="1" applyBorder="1" applyAlignment="1" applyProtection="1">
      <alignment horizontal="left"/>
    </xf>
    <xf numFmtId="171" fontId="18" fillId="3" borderId="0" xfId="0" applyNumberFormat="1" applyFont="1" applyFill="1" applyAlignment="1" applyProtection="1">
      <alignment horizontal="center"/>
    </xf>
    <xf numFmtId="0" fontId="23" fillId="0" borderId="0" xfId="0" applyFont="1" applyBorder="1"/>
    <xf numFmtId="0" fontId="3" fillId="0" borderId="0" xfId="0" applyFont="1" applyBorder="1" applyAlignment="1">
      <alignment horizontal="center"/>
    </xf>
    <xf numFmtId="0" fontId="0" fillId="0" borderId="1" xfId="0" applyBorder="1"/>
    <xf numFmtId="0" fontId="7" fillId="0" borderId="1" xfId="0" applyFont="1" applyBorder="1"/>
    <xf numFmtId="0" fontId="3" fillId="0" borderId="1" xfId="0" applyFont="1" applyBorder="1"/>
    <xf numFmtId="2" fontId="7" fillId="4" borderId="2" xfId="0" applyNumberFormat="1" applyFont="1" applyFill="1" applyBorder="1"/>
    <xf numFmtId="0" fontId="0" fillId="0" borderId="2" xfId="0" applyBorder="1" applyAlignment="1">
      <alignment horizontal="right"/>
    </xf>
    <xf numFmtId="0" fontId="24" fillId="0" borderId="0" xfId="0" applyFont="1" applyBorder="1"/>
    <xf numFmtId="0" fontId="3" fillId="0" borderId="29" xfId="0" applyFont="1" applyFill="1" applyBorder="1"/>
    <xf numFmtId="0" fontId="8" fillId="0" borderId="29" xfId="0" applyFont="1" applyFill="1" applyBorder="1"/>
    <xf numFmtId="0" fontId="0" fillId="0" borderId="2" xfId="0" applyBorder="1" applyAlignment="1"/>
    <xf numFmtId="0" fontId="0" fillId="17" borderId="0" xfId="0" applyFill="1" applyBorder="1"/>
    <xf numFmtId="2" fontId="0" fillId="18" borderId="0" xfId="0" applyNumberFormat="1" applyFill="1" applyBorder="1"/>
    <xf numFmtId="0" fontId="31" fillId="0" borderId="0" xfId="0" applyFont="1" applyBorder="1"/>
    <xf numFmtId="0" fontId="31" fillId="4" borderId="0" xfId="0" applyFont="1" applyFill="1" applyBorder="1"/>
    <xf numFmtId="0" fontId="0" fillId="0" borderId="0" xfId="0" applyFont="1" applyFill="1" applyBorder="1"/>
    <xf numFmtId="0" fontId="23" fillId="0" borderId="39" xfId="0" applyFont="1" applyBorder="1"/>
    <xf numFmtId="0" fontId="0" fillId="0" borderId="34" xfId="0" applyBorder="1"/>
    <xf numFmtId="0" fontId="0" fillId="0" borderId="36" xfId="0" applyBorder="1"/>
    <xf numFmtId="0" fontId="8" fillId="0" borderId="40" xfId="0" applyFont="1" applyBorder="1"/>
    <xf numFmtId="0" fontId="0" fillId="0" borderId="37" xfId="0" applyBorder="1"/>
    <xf numFmtId="0" fontId="31" fillId="0" borderId="40" xfId="0" applyFont="1" applyBorder="1"/>
    <xf numFmtId="0" fontId="31" fillId="0" borderId="40" xfId="0" applyFont="1" applyFill="1" applyBorder="1"/>
    <xf numFmtId="0" fontId="31" fillId="0" borderId="41" xfId="0" applyFont="1" applyBorder="1"/>
    <xf numFmtId="0" fontId="31" fillId="0" borderId="35" xfId="0" applyFont="1" applyBorder="1"/>
    <xf numFmtId="0" fontId="0" fillId="0" borderId="35" xfId="0" applyBorder="1"/>
    <xf numFmtId="0" fontId="0" fillId="0" borderId="38" xfId="0" applyBorder="1"/>
    <xf numFmtId="0" fontId="31" fillId="18" borderId="0" xfId="0" applyFont="1" applyFill="1" applyBorder="1"/>
    <xf numFmtId="0" fontId="0" fillId="18" borderId="0" xfId="0" applyFill="1" applyBorder="1"/>
    <xf numFmtId="0" fontId="31" fillId="18" borderId="35" xfId="0" applyFont="1" applyFill="1" applyBorder="1"/>
    <xf numFmtId="0" fontId="8" fillId="0" borderId="32" xfId="0" applyFont="1" applyBorder="1"/>
    <xf numFmtId="0" fontId="8" fillId="14" borderId="0" xfId="0" applyFont="1" applyFill="1" applyBorder="1"/>
    <xf numFmtId="0" fontId="18" fillId="10" borderId="30" xfId="0" applyFont="1" applyFill="1" applyBorder="1" applyProtection="1"/>
    <xf numFmtId="0" fontId="20" fillId="10" borderId="0" xfId="0" applyFont="1" applyFill="1" applyBorder="1" applyProtection="1"/>
    <xf numFmtId="2" fontId="18" fillId="10" borderId="0" xfId="0" applyNumberFormat="1" applyFont="1" applyFill="1" applyBorder="1" applyProtection="1"/>
    <xf numFmtId="166" fontId="18" fillId="10" borderId="0" xfId="0" applyNumberFormat="1" applyFont="1" applyFill="1" applyBorder="1" applyProtection="1"/>
    <xf numFmtId="169" fontId="18" fillId="10" borderId="0" xfId="0" applyNumberFormat="1" applyFont="1" applyFill="1" applyBorder="1" applyProtection="1"/>
    <xf numFmtId="165" fontId="18" fillId="10" borderId="0" xfId="0" applyNumberFormat="1" applyFont="1" applyFill="1" applyBorder="1" applyProtection="1"/>
    <xf numFmtId="2" fontId="7" fillId="4" borderId="0" xfId="0" applyNumberFormat="1" applyFont="1" applyFill="1" applyBorder="1"/>
    <xf numFmtId="167" fontId="0" fillId="13" borderId="0" xfId="0" applyNumberFormat="1" applyFill="1" applyBorder="1"/>
    <xf numFmtId="0" fontId="11" fillId="0" borderId="0" xfId="1" applyAlignment="1" applyProtection="1"/>
    <xf numFmtId="2" fontId="31" fillId="13" borderId="0" xfId="0" applyNumberFormat="1" applyFont="1" applyFill="1" applyBorder="1"/>
    <xf numFmtId="166" fontId="31" fillId="18" borderId="0" xfId="0" applyNumberFormat="1" applyFont="1" applyFill="1" applyBorder="1"/>
    <xf numFmtId="0" fontId="18" fillId="19" borderId="0" xfId="0" applyFont="1" applyFill="1" applyProtection="1"/>
    <xf numFmtId="0" fontId="0" fillId="0" borderId="29" xfId="0" applyFill="1" applyBorder="1"/>
    <xf numFmtId="0" fontId="2" fillId="0" borderId="0" xfId="0" applyFont="1"/>
    <xf numFmtId="0" fontId="2" fillId="0" borderId="0" xfId="0" applyFont="1" applyBorder="1"/>
    <xf numFmtId="2" fontId="2" fillId="0" borderId="0" xfId="0" quotePrefix="1" applyNumberFormat="1" applyFont="1" applyBorder="1"/>
    <xf numFmtId="0" fontId="0" fillId="0" borderId="0" xfId="0" applyBorder="1" applyAlignment="1">
      <alignment horizontal="left"/>
    </xf>
    <xf numFmtId="0" fontId="2" fillId="0" borderId="2" xfId="0" applyFont="1" applyBorder="1"/>
    <xf numFmtId="0" fontId="0" fillId="0" borderId="31" xfId="0" applyFill="1" applyBorder="1"/>
    <xf numFmtId="0" fontId="2" fillId="0" borderId="32" xfId="0" applyFont="1" applyBorder="1"/>
    <xf numFmtId="0" fontId="34" fillId="10" borderId="0" xfId="0" applyFont="1" applyFill="1" applyBorder="1" applyAlignment="1" applyProtection="1"/>
    <xf numFmtId="0" fontId="18" fillId="19" borderId="0" xfId="0" applyFont="1" applyFill="1" applyBorder="1" applyProtection="1"/>
    <xf numFmtId="0" fontId="22" fillId="22" borderId="0" xfId="0" applyFont="1" applyFill="1" applyBorder="1" applyAlignment="1" applyProtection="1">
      <alignment vertical="center"/>
    </xf>
    <xf numFmtId="0" fontId="0" fillId="21" borderId="0" xfId="0" applyFill="1"/>
    <xf numFmtId="0" fontId="25" fillId="10" borderId="0" xfId="0" applyNumberFormat="1" applyFont="1" applyFill="1" applyBorder="1" applyAlignment="1" applyProtection="1">
      <alignment horizontal="right"/>
    </xf>
    <xf numFmtId="0" fontId="3" fillId="10" borderId="0" xfId="0" applyFont="1" applyFill="1" applyBorder="1" applyAlignment="1" applyProtection="1">
      <alignment horizontal="right"/>
    </xf>
    <xf numFmtId="0" fontId="2" fillId="10" borderId="0" xfId="0" applyFont="1" applyFill="1" applyBorder="1" applyAlignment="1" applyProtection="1">
      <alignment horizontal="right"/>
    </xf>
    <xf numFmtId="0" fontId="2" fillId="10" borderId="32" xfId="0" applyFont="1" applyFill="1" applyBorder="1" applyAlignment="1" applyProtection="1">
      <alignment horizontal="right"/>
    </xf>
    <xf numFmtId="0" fontId="2" fillId="10" borderId="29" xfId="0" applyFont="1" applyFill="1" applyBorder="1" applyProtection="1"/>
    <xf numFmtId="0" fontId="2" fillId="10" borderId="0" xfId="0" applyFont="1" applyFill="1" applyBorder="1" applyProtection="1"/>
    <xf numFmtId="0" fontId="3" fillId="22" borderId="0" xfId="0" applyNumberFormat="1" applyFont="1" applyFill="1" applyBorder="1" applyProtection="1">
      <protection locked="0"/>
    </xf>
    <xf numFmtId="0" fontId="58" fillId="10" borderId="0" xfId="0" applyFont="1" applyFill="1" applyBorder="1" applyProtection="1"/>
    <xf numFmtId="1" fontId="3" fillId="22" borderId="0" xfId="0" applyNumberFormat="1" applyFont="1" applyFill="1" applyBorder="1" applyProtection="1">
      <protection locked="0"/>
    </xf>
    <xf numFmtId="0" fontId="59" fillId="10" borderId="0" xfId="0" applyFont="1" applyFill="1" applyBorder="1" applyProtection="1"/>
    <xf numFmtId="0" fontId="6" fillId="10" borderId="0" xfId="0" applyFont="1" applyFill="1" applyBorder="1" applyAlignment="1" applyProtection="1">
      <alignment horizontal="right"/>
    </xf>
    <xf numFmtId="0" fontId="57" fillId="10" borderId="0" xfId="0" applyFont="1" applyFill="1" applyBorder="1" applyProtection="1"/>
    <xf numFmtId="0" fontId="60" fillId="10" borderId="0" xfId="0" applyFont="1" applyFill="1" applyBorder="1" applyAlignment="1" applyProtection="1"/>
    <xf numFmtId="0" fontId="3" fillId="10" borderId="0" xfId="0" applyFont="1" applyFill="1" applyBorder="1" applyAlignment="1" applyProtection="1"/>
    <xf numFmtId="167" fontId="3" fillId="10" borderId="0" xfId="0" applyNumberFormat="1" applyFont="1" applyFill="1" applyBorder="1" applyAlignment="1" applyProtection="1"/>
    <xf numFmtId="0" fontId="60" fillId="10" borderId="0" xfId="0" applyFont="1" applyFill="1" applyBorder="1" applyProtection="1"/>
    <xf numFmtId="0" fontId="2" fillId="19" borderId="0" xfId="0" applyFont="1" applyFill="1" applyProtection="1"/>
    <xf numFmtId="0" fontId="3" fillId="10" borderId="0" xfId="0" applyFont="1" applyFill="1" applyBorder="1" applyProtection="1"/>
    <xf numFmtId="0" fontId="3" fillId="10" borderId="29" xfId="0" applyFont="1" applyFill="1" applyBorder="1" applyProtection="1"/>
    <xf numFmtId="0" fontId="3" fillId="22" borderId="0" xfId="0" applyFont="1" applyFill="1" applyBorder="1" applyProtection="1">
      <protection locked="0"/>
    </xf>
    <xf numFmtId="0" fontId="60" fillId="19" borderId="0" xfId="0" applyFont="1" applyFill="1" applyBorder="1" applyProtection="1"/>
    <xf numFmtId="1" fontId="57" fillId="10" borderId="0" xfId="0" applyNumberFormat="1" applyFont="1" applyFill="1" applyBorder="1" applyAlignment="1" applyProtection="1">
      <alignment horizontal="right"/>
    </xf>
    <xf numFmtId="0" fontId="62" fillId="16" borderId="20" xfId="0" applyFont="1" applyFill="1" applyBorder="1" applyProtection="1"/>
    <xf numFmtId="0" fontId="60" fillId="10" borderId="0" xfId="0" applyFont="1" applyFill="1" applyBorder="1" applyAlignment="1" applyProtection="1">
      <alignment vertical="center"/>
    </xf>
    <xf numFmtId="0" fontId="7" fillId="10" borderId="0" xfId="0" applyFont="1" applyFill="1" applyBorder="1" applyAlignment="1" applyProtection="1">
      <alignment horizontal="right"/>
    </xf>
    <xf numFmtId="167" fontId="7" fillId="10" borderId="0" xfId="0" applyNumberFormat="1" applyFont="1" applyFill="1" applyBorder="1" applyProtection="1"/>
    <xf numFmtId="0" fontId="7" fillId="10" borderId="0" xfId="0" applyFont="1" applyFill="1" applyBorder="1" applyProtection="1"/>
    <xf numFmtId="167" fontId="3" fillId="19" borderId="0" xfId="0" applyNumberFormat="1" applyFont="1" applyFill="1" applyBorder="1" applyAlignment="1" applyProtection="1">
      <alignment horizontal="right" vertical="center"/>
    </xf>
    <xf numFmtId="167" fontId="2" fillId="19" borderId="0" xfId="0" applyNumberFormat="1" applyFont="1" applyFill="1" applyBorder="1" applyAlignment="1" applyProtection="1">
      <alignment horizontal="right"/>
    </xf>
    <xf numFmtId="0" fontId="2" fillId="19" borderId="0" xfId="0" applyFont="1" applyFill="1" applyBorder="1" applyAlignment="1" applyProtection="1">
      <alignment horizontal="left"/>
    </xf>
    <xf numFmtId="1" fontId="3" fillId="19" borderId="0" xfId="0" applyNumberFormat="1" applyFont="1" applyFill="1" applyBorder="1" applyAlignment="1" applyProtection="1">
      <alignment horizontal="right" vertical="center"/>
    </xf>
    <xf numFmtId="1" fontId="2" fillId="19" borderId="0" xfId="0" applyNumberFormat="1" applyFont="1" applyFill="1" applyBorder="1" applyAlignment="1" applyProtection="1">
      <alignment horizontal="right"/>
    </xf>
    <xf numFmtId="1" fontId="3" fillId="19" borderId="0" xfId="0" applyNumberFormat="1" applyFont="1" applyFill="1" applyBorder="1" applyAlignment="1" applyProtection="1">
      <alignment horizontal="right" vertical="center"/>
      <protection locked="0" hidden="1"/>
    </xf>
    <xf numFmtId="0" fontId="3" fillId="10" borderId="0" xfId="0" applyFont="1" applyFill="1" applyBorder="1" applyAlignment="1" applyProtection="1">
      <alignment horizontal="left"/>
    </xf>
    <xf numFmtId="0" fontId="63" fillId="10" borderId="0" xfId="0" applyFont="1" applyFill="1" applyBorder="1" applyProtection="1"/>
    <xf numFmtId="0" fontId="2" fillId="10" borderId="0" xfId="0" applyFont="1" applyFill="1" applyBorder="1" applyAlignment="1" applyProtection="1">
      <alignment horizontal="left"/>
    </xf>
    <xf numFmtId="0" fontId="61" fillId="22" borderId="0" xfId="0" applyNumberFormat="1" applyFont="1" applyFill="1" applyBorder="1" applyAlignment="1" applyProtection="1">
      <alignment horizontal="right"/>
      <protection locked="0" hidden="1"/>
    </xf>
    <xf numFmtId="0" fontId="65" fillId="16" borderId="20" xfId="0" applyFont="1" applyFill="1" applyBorder="1" applyProtection="1"/>
    <xf numFmtId="0" fontId="24" fillId="10" borderId="29" xfId="0" applyFont="1" applyFill="1" applyBorder="1" applyProtection="1"/>
    <xf numFmtId="0" fontId="24" fillId="10" borderId="29" xfId="0" applyFont="1" applyFill="1" applyBorder="1" applyAlignment="1" applyProtection="1"/>
    <xf numFmtId="2" fontId="2" fillId="10" borderId="0" xfId="0" applyNumberFormat="1" applyFont="1" applyFill="1" applyBorder="1" applyProtection="1"/>
    <xf numFmtId="167" fontId="2" fillId="10" borderId="0" xfId="0" applyNumberFormat="1" applyFont="1" applyFill="1" applyBorder="1" applyProtection="1"/>
    <xf numFmtId="1" fontId="2" fillId="10" borderId="0" xfId="0" applyNumberFormat="1" applyFont="1" applyFill="1" applyBorder="1" applyProtection="1"/>
    <xf numFmtId="1" fontId="2" fillId="10" borderId="0" xfId="0" applyNumberFormat="1" applyFont="1" applyFill="1" applyBorder="1" applyAlignment="1" applyProtection="1">
      <alignment horizontal="right"/>
    </xf>
    <xf numFmtId="0" fontId="67" fillId="10" borderId="0" xfId="0" applyFont="1" applyFill="1" applyBorder="1" applyAlignment="1" applyProtection="1">
      <alignment horizontal="right"/>
    </xf>
    <xf numFmtId="1" fontId="67" fillId="22" borderId="0" xfId="0" applyNumberFormat="1" applyFont="1" applyFill="1" applyBorder="1" applyAlignment="1" applyProtection="1">
      <alignment horizontal="right"/>
      <protection locked="0"/>
    </xf>
    <xf numFmtId="0" fontId="67" fillId="22" borderId="0" xfId="0" applyNumberFormat="1" applyFont="1" applyFill="1" applyBorder="1" applyProtection="1">
      <protection locked="0"/>
    </xf>
    <xf numFmtId="167" fontId="67" fillId="22" borderId="0" xfId="0" applyNumberFormat="1" applyFont="1" applyFill="1" applyBorder="1" applyAlignment="1" applyProtection="1">
      <alignment horizontal="right" vertical="center"/>
      <protection locked="0" hidden="1"/>
    </xf>
    <xf numFmtId="1" fontId="67" fillId="22" borderId="0" xfId="0" applyNumberFormat="1" applyFont="1" applyFill="1" applyBorder="1" applyAlignment="1" applyProtection="1">
      <alignment horizontal="right" vertical="center"/>
      <protection locked="0" hidden="1"/>
    </xf>
    <xf numFmtId="0" fontId="2" fillId="10" borderId="2" xfId="0" applyFont="1" applyFill="1" applyBorder="1" applyProtection="1"/>
    <xf numFmtId="0" fontId="2" fillId="10" borderId="2" xfId="0" applyFont="1" applyFill="1" applyBorder="1" applyAlignment="1" applyProtection="1">
      <alignment horizontal="right"/>
    </xf>
    <xf numFmtId="0" fontId="67" fillId="10" borderId="2" xfId="0" applyFont="1" applyFill="1" applyBorder="1" applyAlignment="1" applyProtection="1">
      <alignment horizontal="right"/>
    </xf>
    <xf numFmtId="0" fontId="3" fillId="22" borderId="2" xfId="0" applyNumberFormat="1" applyFont="1" applyFill="1" applyBorder="1" applyProtection="1">
      <protection locked="0"/>
    </xf>
    <xf numFmtId="0" fontId="3" fillId="10" borderId="3" xfId="0" applyFont="1" applyFill="1" applyBorder="1" applyProtection="1"/>
    <xf numFmtId="0" fontId="3" fillId="10" borderId="30" xfId="0" applyFont="1" applyFill="1" applyBorder="1" applyProtection="1"/>
    <xf numFmtId="0" fontId="2" fillId="10" borderId="31" xfId="0" applyFont="1" applyFill="1" applyBorder="1" applyProtection="1"/>
    <xf numFmtId="0" fontId="2" fillId="10" borderId="32" xfId="0" applyFont="1" applyFill="1" applyBorder="1" applyProtection="1"/>
    <xf numFmtId="0" fontId="2" fillId="10" borderId="33" xfId="0" applyFont="1" applyFill="1" applyBorder="1" applyProtection="1"/>
    <xf numFmtId="0" fontId="2" fillId="10" borderId="3" xfId="0" applyFont="1" applyFill="1" applyBorder="1" applyProtection="1"/>
    <xf numFmtId="0" fontId="2" fillId="10" borderId="30" xfId="0" applyFont="1" applyFill="1" applyBorder="1" applyProtection="1"/>
    <xf numFmtId="1" fontId="2" fillId="10" borderId="32" xfId="0" applyNumberFormat="1" applyFont="1" applyFill="1" applyBorder="1" applyProtection="1"/>
    <xf numFmtId="167" fontId="2" fillId="10" borderId="32" xfId="0" applyNumberFormat="1" applyFont="1" applyFill="1" applyBorder="1" applyProtection="1"/>
    <xf numFmtId="0" fontId="3" fillId="10" borderId="2" xfId="0" applyFont="1" applyFill="1" applyBorder="1" applyAlignment="1" applyProtection="1"/>
    <xf numFmtId="0" fontId="3" fillId="10" borderId="2" xfId="0" applyFont="1" applyFill="1" applyBorder="1" applyAlignment="1" applyProtection="1">
      <alignment horizontal="right"/>
    </xf>
    <xf numFmtId="1" fontId="3" fillId="22" borderId="2" xfId="0" applyNumberFormat="1" applyFont="1" applyFill="1" applyBorder="1" applyProtection="1">
      <protection locked="0"/>
    </xf>
    <xf numFmtId="0" fontId="3" fillId="10" borderId="2" xfId="0" applyFont="1" applyFill="1" applyBorder="1" applyProtection="1"/>
    <xf numFmtId="0" fontId="3" fillId="10" borderId="3" xfId="0" applyFont="1" applyFill="1" applyBorder="1" applyAlignment="1" applyProtection="1"/>
    <xf numFmtId="0" fontId="2" fillId="10" borderId="33" xfId="0" applyFont="1" applyFill="1" applyBorder="1" applyAlignment="1" applyProtection="1"/>
    <xf numFmtId="0" fontId="67" fillId="19" borderId="2" xfId="0" applyFont="1" applyFill="1" applyBorder="1" applyAlignment="1" applyProtection="1">
      <alignment horizontal="right"/>
    </xf>
    <xf numFmtId="0" fontId="3" fillId="22" borderId="2" xfId="0" applyFont="1" applyFill="1" applyBorder="1" applyProtection="1">
      <protection locked="0"/>
    </xf>
    <xf numFmtId="0" fontId="2" fillId="10" borderId="32" xfId="0" applyNumberFormat="1" applyFont="1" applyFill="1" applyBorder="1" applyAlignment="1" applyProtection="1">
      <alignment horizontal="right"/>
    </xf>
    <xf numFmtId="0" fontId="3" fillId="10" borderId="30" xfId="0" applyFont="1" applyFill="1" applyBorder="1" applyAlignment="1" applyProtection="1">
      <alignment horizontal="left"/>
    </xf>
    <xf numFmtId="167" fontId="2" fillId="10" borderId="2" xfId="0" applyNumberFormat="1" applyFont="1" applyFill="1" applyBorder="1" applyProtection="1"/>
    <xf numFmtId="0" fontId="2" fillId="19" borderId="42" xfId="0" applyFont="1" applyFill="1" applyBorder="1" applyAlignment="1" applyProtection="1">
      <alignment horizontal="left"/>
    </xf>
    <xf numFmtId="0" fontId="61" fillId="22" borderId="42" xfId="0" applyNumberFormat="1" applyFont="1" applyFill="1" applyBorder="1" applyAlignment="1" applyProtection="1">
      <alignment horizontal="right"/>
      <protection locked="0" hidden="1"/>
    </xf>
    <xf numFmtId="0" fontId="61" fillId="10" borderId="43" xfId="0" applyFont="1" applyFill="1" applyBorder="1" applyAlignment="1" applyProtection="1">
      <alignment horizontal="left"/>
    </xf>
    <xf numFmtId="0" fontId="61" fillId="10" borderId="30" xfId="0" applyFont="1" applyFill="1" applyBorder="1" applyAlignment="1" applyProtection="1">
      <alignment horizontal="left"/>
    </xf>
    <xf numFmtId="167" fontId="3" fillId="10" borderId="44" xfId="0" applyNumberFormat="1" applyFont="1" applyFill="1" applyBorder="1" applyAlignment="1" applyProtection="1">
      <alignment horizontal="right"/>
    </xf>
    <xf numFmtId="167" fontId="3" fillId="10" borderId="29" xfId="0" applyNumberFormat="1" applyFont="1" applyFill="1" applyBorder="1" applyAlignment="1" applyProtection="1">
      <alignment horizontal="right"/>
    </xf>
    <xf numFmtId="0" fontId="3" fillId="10" borderId="44" xfId="0" applyFont="1" applyFill="1" applyBorder="1" applyAlignment="1" applyProtection="1">
      <alignment horizontal="center"/>
    </xf>
    <xf numFmtId="0" fontId="3" fillId="10" borderId="29" xfId="0" applyFont="1" applyFill="1" applyBorder="1" applyAlignment="1" applyProtection="1">
      <alignment horizontal="center"/>
    </xf>
    <xf numFmtId="0" fontId="3" fillId="10" borderId="44" xfId="0" applyFont="1" applyFill="1" applyBorder="1" applyProtection="1"/>
    <xf numFmtId="0" fontId="3" fillId="10" borderId="42" xfId="0" applyFont="1" applyFill="1" applyBorder="1" applyProtection="1"/>
    <xf numFmtId="0" fontId="2" fillId="10" borderId="42" xfId="0" applyFont="1" applyFill="1" applyBorder="1" applyProtection="1"/>
    <xf numFmtId="0" fontId="2" fillId="10" borderId="43" xfId="0" applyFont="1" applyFill="1" applyBorder="1" applyProtection="1"/>
    <xf numFmtId="0" fontId="2" fillId="10" borderId="42" xfId="0" applyFont="1" applyFill="1" applyBorder="1" applyAlignment="1" applyProtection="1">
      <alignment vertical="center"/>
    </xf>
    <xf numFmtId="0" fontId="2" fillId="10" borderId="46" xfId="0" applyFont="1" applyFill="1" applyBorder="1" applyProtection="1"/>
    <xf numFmtId="0" fontId="3" fillId="10" borderId="46" xfId="0" applyFont="1" applyFill="1" applyBorder="1" applyAlignment="1" applyProtection="1">
      <alignment horizontal="right"/>
    </xf>
    <xf numFmtId="0" fontId="2" fillId="10" borderId="47" xfId="0" applyFont="1" applyFill="1" applyBorder="1" applyProtection="1"/>
    <xf numFmtId="0" fontId="2" fillId="19" borderId="46" xfId="0" applyFont="1" applyFill="1" applyBorder="1" applyAlignment="1" applyProtection="1">
      <alignment horizontal="left"/>
    </xf>
    <xf numFmtId="0" fontId="61" fillId="22" borderId="46" xfId="0" applyNumberFormat="1" applyFont="1" applyFill="1" applyBorder="1" applyAlignment="1" applyProtection="1">
      <alignment horizontal="right"/>
      <protection locked="0" hidden="1"/>
    </xf>
    <xf numFmtId="0" fontId="61" fillId="10" borderId="47" xfId="0" applyFont="1" applyFill="1" applyBorder="1" applyAlignment="1" applyProtection="1">
      <alignment horizontal="left"/>
    </xf>
    <xf numFmtId="0" fontId="64" fillId="10" borderId="45" xfId="0" applyFont="1" applyFill="1" applyBorder="1" applyAlignment="1" applyProtection="1">
      <alignment horizontal="left"/>
    </xf>
    <xf numFmtId="0" fontId="64" fillId="10" borderId="47" xfId="0" applyFont="1" applyFill="1" applyBorder="1" applyProtection="1"/>
    <xf numFmtId="0" fontId="3" fillId="10" borderId="43" xfId="0" applyFont="1" applyFill="1" applyBorder="1" applyAlignment="1" applyProtection="1">
      <alignment horizontal="left"/>
    </xf>
    <xf numFmtId="167" fontId="2" fillId="10" borderId="42" xfId="0" applyNumberFormat="1" applyFont="1" applyFill="1" applyBorder="1" applyAlignment="1" applyProtection="1">
      <alignment horizontal="left" vertical="center"/>
    </xf>
    <xf numFmtId="1" fontId="2" fillId="10" borderId="0" xfId="0" applyNumberFormat="1" applyFont="1" applyFill="1" applyBorder="1" applyAlignment="1" applyProtection="1">
      <alignment horizontal="left" vertical="center"/>
    </xf>
    <xf numFmtId="1" fontId="2" fillId="10" borderId="46" xfId="0" applyNumberFormat="1" applyFont="1" applyFill="1" applyBorder="1" applyAlignment="1" applyProtection="1">
      <alignment horizontal="left" vertical="center"/>
    </xf>
    <xf numFmtId="1" fontId="3" fillId="19" borderId="46" xfId="0" applyNumberFormat="1" applyFont="1" applyFill="1" applyBorder="1" applyAlignment="1" applyProtection="1">
      <alignment horizontal="right" vertical="center"/>
    </xf>
    <xf numFmtId="1" fontId="67" fillId="22" borderId="46" xfId="0" applyNumberFormat="1" applyFont="1" applyFill="1" applyBorder="1" applyAlignment="1" applyProtection="1">
      <alignment horizontal="right" vertical="center"/>
      <protection locked="0" hidden="1"/>
    </xf>
    <xf numFmtId="0" fontId="3" fillId="10" borderId="47" xfId="0" applyFont="1" applyFill="1" applyBorder="1" applyAlignment="1" applyProtection="1">
      <alignment horizontal="left"/>
    </xf>
    <xf numFmtId="0" fontId="24" fillId="10" borderId="29" xfId="0" applyFont="1" applyFill="1" applyBorder="1" applyAlignment="1" applyProtection="1">
      <alignment vertical="center"/>
    </xf>
    <xf numFmtId="0" fontId="2" fillId="10" borderId="44" xfId="0" applyFont="1" applyFill="1" applyBorder="1" applyProtection="1"/>
    <xf numFmtId="0" fontId="3" fillId="10" borderId="44" xfId="0" applyFont="1" applyFill="1" applyBorder="1" applyAlignment="1" applyProtection="1"/>
    <xf numFmtId="0" fontId="2" fillId="19" borderId="29" xfId="0" applyFont="1" applyFill="1" applyBorder="1" applyProtection="1"/>
    <xf numFmtId="1" fontId="3" fillId="19" borderId="29" xfId="0" applyNumberFormat="1" applyFont="1" applyFill="1" applyBorder="1" applyAlignment="1" applyProtection="1">
      <alignment horizontal="right" vertical="center"/>
    </xf>
    <xf numFmtId="0" fontId="3" fillId="10" borderId="31" xfId="0" applyFont="1" applyFill="1" applyBorder="1" applyAlignment="1" applyProtection="1">
      <alignment horizontal="center"/>
    </xf>
    <xf numFmtId="0" fontId="62" fillId="16" borderId="48" xfId="0" applyFont="1" applyFill="1" applyBorder="1" applyProtection="1"/>
    <xf numFmtId="0" fontId="18" fillId="3" borderId="29" xfId="0" applyFont="1" applyFill="1" applyBorder="1" applyProtection="1"/>
    <xf numFmtId="0" fontId="18" fillId="19" borderId="29" xfId="0" applyFont="1" applyFill="1" applyBorder="1" applyProtection="1"/>
    <xf numFmtId="0" fontId="18" fillId="19" borderId="42" xfId="0" applyFont="1" applyFill="1" applyBorder="1" applyProtection="1"/>
    <xf numFmtId="0" fontId="18" fillId="19" borderId="31" xfId="0" applyFont="1" applyFill="1" applyBorder="1" applyProtection="1"/>
    <xf numFmtId="0" fontId="18" fillId="19" borderId="46" xfId="0" applyFont="1" applyFill="1" applyBorder="1" applyProtection="1"/>
    <xf numFmtId="167" fontId="3" fillId="19" borderId="42" xfId="0" applyNumberFormat="1" applyFont="1" applyFill="1" applyBorder="1" applyAlignment="1" applyProtection="1">
      <alignment horizontal="right" vertical="center"/>
    </xf>
    <xf numFmtId="167" fontId="67" fillId="22" borderId="42" xfId="0" applyNumberFormat="1" applyFont="1" applyFill="1" applyBorder="1" applyAlignment="1" applyProtection="1">
      <alignment horizontal="right" vertical="center"/>
      <protection locked="0" hidden="1"/>
    </xf>
    <xf numFmtId="0" fontId="2" fillId="19" borderId="0" xfId="0" applyFont="1" applyFill="1" applyBorder="1" applyAlignment="1" applyProtection="1">
      <alignment horizontal="right"/>
      <protection locked="0"/>
    </xf>
    <xf numFmtId="0" fontId="3" fillId="0" borderId="43" xfId="0" applyFont="1" applyFill="1" applyBorder="1" applyAlignment="1" applyProtection="1">
      <alignment horizontal="left"/>
    </xf>
    <xf numFmtId="171" fontId="18" fillId="21" borderId="0" xfId="0" applyNumberFormat="1" applyFont="1" applyFill="1" applyBorder="1" applyAlignment="1" applyProtection="1">
      <alignment horizontal="center"/>
    </xf>
    <xf numFmtId="0" fontId="18" fillId="21" borderId="0" xfId="0" applyFont="1" applyFill="1" applyProtection="1"/>
    <xf numFmtId="171" fontId="27" fillId="21" borderId="0" xfId="0" applyNumberFormat="1" applyFont="1" applyFill="1" applyBorder="1" applyAlignment="1" applyProtection="1">
      <alignment horizontal="center"/>
    </xf>
    <xf numFmtId="0" fontId="27" fillId="21" borderId="0" xfId="0" applyFont="1" applyFill="1" applyProtection="1"/>
    <xf numFmtId="0" fontId="2" fillId="19" borderId="0" xfId="0" applyFont="1" applyFill="1" applyBorder="1" applyProtection="1">
      <protection locked="0"/>
    </xf>
    <xf numFmtId="0" fontId="2" fillId="10" borderId="45" xfId="0" applyFont="1" applyFill="1" applyBorder="1" applyProtection="1"/>
    <xf numFmtId="0" fontId="3" fillId="10" borderId="46" xfId="0" applyFont="1" applyFill="1" applyBorder="1" applyProtection="1"/>
    <xf numFmtId="0" fontId="2" fillId="10" borderId="49" xfId="0" applyFont="1" applyFill="1" applyBorder="1" applyProtection="1"/>
    <xf numFmtId="0" fontId="69" fillId="10" borderId="0" xfId="0" applyFont="1" applyFill="1" applyBorder="1" applyAlignment="1" applyProtection="1">
      <alignment horizontal="right"/>
    </xf>
    <xf numFmtId="0" fontId="71" fillId="10" borderId="0" xfId="0" applyFont="1" applyFill="1" applyBorder="1" applyProtection="1"/>
    <xf numFmtId="0" fontId="71" fillId="10" borderId="30" xfId="0" applyFont="1" applyFill="1" applyBorder="1" applyProtection="1"/>
    <xf numFmtId="171" fontId="71" fillId="21" borderId="0" xfId="0" applyNumberFormat="1" applyFont="1" applyFill="1" applyBorder="1" applyAlignment="1" applyProtection="1">
      <alignment horizontal="center"/>
    </xf>
    <xf numFmtId="0" fontId="71" fillId="21" borderId="0" xfId="0" applyFont="1" applyFill="1" applyProtection="1"/>
    <xf numFmtId="171" fontId="71" fillId="3" borderId="0" xfId="0" applyNumberFormat="1" applyFont="1" applyFill="1" applyBorder="1" applyAlignment="1" applyProtection="1">
      <alignment horizontal="center"/>
    </xf>
    <xf numFmtId="0" fontId="71" fillId="3" borderId="0" xfId="0" applyFont="1" applyFill="1" applyProtection="1"/>
    <xf numFmtId="0" fontId="69" fillId="10" borderId="42" xfId="0" applyFont="1" applyFill="1" applyBorder="1" applyAlignment="1" applyProtection="1">
      <alignment horizontal="right"/>
    </xf>
    <xf numFmtId="0" fontId="70" fillId="10" borderId="29" xfId="0" applyFont="1" applyFill="1" applyBorder="1" applyAlignment="1" applyProtection="1">
      <alignment vertical="center"/>
    </xf>
    <xf numFmtId="0" fontId="69" fillId="10" borderId="0" xfId="0" applyFont="1" applyFill="1" applyBorder="1" applyAlignment="1" applyProtection="1">
      <alignment horizontal="right" vertical="center"/>
    </xf>
    <xf numFmtId="167" fontId="69" fillId="10" borderId="46" xfId="0" applyNumberFormat="1" applyFont="1" applyFill="1" applyBorder="1" applyAlignment="1" applyProtection="1">
      <alignment horizontal="center" vertical="center"/>
    </xf>
    <xf numFmtId="167" fontId="69" fillId="10" borderId="46" xfId="0" applyNumberFormat="1" applyFont="1" applyFill="1" applyBorder="1" applyAlignment="1" applyProtection="1">
      <alignment vertical="center"/>
    </xf>
    <xf numFmtId="0" fontId="69" fillId="0" borderId="0" xfId="0" applyFont="1" applyFill="1" applyBorder="1" applyAlignment="1" applyProtection="1">
      <alignment horizontal="left" vertical="center"/>
    </xf>
    <xf numFmtId="0" fontId="2" fillId="0" borderId="1" xfId="0" applyFont="1" applyBorder="1"/>
    <xf numFmtId="0" fontId="2" fillId="0" borderId="29" xfId="0" applyFont="1" applyBorder="1"/>
    <xf numFmtId="0" fontId="2" fillId="0" borderId="0" xfId="0" applyFont="1" applyFill="1" applyBorder="1"/>
    <xf numFmtId="2" fontId="0" fillId="0" borderId="0" xfId="0" applyNumberFormat="1" applyBorder="1" applyAlignment="1">
      <alignment horizontal="right"/>
    </xf>
    <xf numFmtId="0" fontId="2" fillId="10" borderId="0" xfId="0" applyNumberFormat="1" applyFont="1" applyFill="1" applyBorder="1" applyAlignment="1" applyProtection="1">
      <alignment horizontal="right"/>
    </xf>
    <xf numFmtId="0" fontId="3" fillId="22" borderId="0" xfId="0" applyNumberFormat="1" applyFont="1" applyFill="1" applyBorder="1" applyAlignment="1" applyProtection="1">
      <alignment horizontal="right"/>
      <protection locked="0"/>
    </xf>
    <xf numFmtId="0" fontId="74" fillId="0" borderId="0" xfId="0" applyFont="1" applyBorder="1"/>
    <xf numFmtId="0" fontId="2" fillId="10" borderId="0" xfId="2" applyFill="1"/>
    <xf numFmtId="49" fontId="2" fillId="10" borderId="0" xfId="2" applyNumberFormat="1" applyFill="1"/>
    <xf numFmtId="0" fontId="12" fillId="10" borderId="0" xfId="2" applyFont="1" applyFill="1" applyAlignment="1">
      <alignment vertical="center"/>
    </xf>
    <xf numFmtId="0" fontId="2" fillId="23" borderId="17" xfId="2" applyFill="1" applyBorder="1" applyAlignment="1">
      <alignment horizontal="center" vertical="center"/>
    </xf>
    <xf numFmtId="0" fontId="2" fillId="10" borderId="17" xfId="2" applyFill="1" applyBorder="1" applyAlignment="1">
      <alignment horizontal="center" vertical="center"/>
    </xf>
    <xf numFmtId="0" fontId="2" fillId="10" borderId="11" xfId="2" applyFill="1" applyBorder="1" applyAlignment="1">
      <alignment vertical="center" wrapText="1"/>
    </xf>
    <xf numFmtId="0" fontId="2" fillId="10" borderId="11" xfId="2" applyFill="1" applyBorder="1" applyAlignment="1">
      <alignment horizontal="left" vertical="center"/>
    </xf>
    <xf numFmtId="0" fontId="2" fillId="10" borderId="0" xfId="2" applyFill="1" applyAlignment="1">
      <alignment vertical="center"/>
    </xf>
    <xf numFmtId="0" fontId="2" fillId="24" borderId="17" xfId="2" applyFill="1" applyBorder="1" applyAlignment="1">
      <alignment horizontal="center" vertical="center"/>
    </xf>
    <xf numFmtId="0" fontId="2" fillId="24" borderId="11" xfId="2" applyFill="1" applyBorder="1" applyAlignment="1">
      <alignment vertical="center" wrapText="1"/>
    </xf>
    <xf numFmtId="173" fontId="2" fillId="24" borderId="11" xfId="2" applyNumberFormat="1" applyFill="1" applyBorder="1" applyAlignment="1">
      <alignment horizontal="center" vertical="center"/>
    </xf>
    <xf numFmtId="0" fontId="2" fillId="24" borderId="11" xfId="2" quotePrefix="1" applyFill="1" applyBorder="1" applyAlignment="1">
      <alignment horizontal="left" vertical="center"/>
    </xf>
    <xf numFmtId="0" fontId="2" fillId="24" borderId="11" xfId="2" applyFill="1" applyBorder="1" applyAlignment="1">
      <alignment horizontal="left" vertical="center"/>
    </xf>
    <xf numFmtId="0" fontId="2" fillId="24" borderId="11" xfId="2" applyNumberFormat="1" applyFill="1" applyBorder="1" applyAlignment="1">
      <alignment horizontal="center" vertical="center"/>
    </xf>
    <xf numFmtId="0" fontId="2" fillId="19" borderId="17" xfId="2" applyFill="1" applyBorder="1" applyAlignment="1">
      <alignment horizontal="center" vertical="center"/>
    </xf>
    <xf numFmtId="0" fontId="2" fillId="19" borderId="11" xfId="2" applyFill="1" applyBorder="1" applyAlignment="1">
      <alignment vertical="center" wrapText="1"/>
    </xf>
    <xf numFmtId="173" fontId="2" fillId="19" borderId="11" xfId="2" applyNumberFormat="1" applyFill="1" applyBorder="1" applyAlignment="1">
      <alignment horizontal="center" vertical="center"/>
    </xf>
    <xf numFmtId="0" fontId="2" fillId="19" borderId="11" xfId="2" quotePrefix="1" applyFill="1" applyBorder="1" applyAlignment="1">
      <alignment horizontal="left" vertical="center"/>
    </xf>
    <xf numFmtId="0" fontId="2" fillId="19" borderId="11" xfId="2" applyFill="1" applyBorder="1" applyAlignment="1">
      <alignment horizontal="left" vertical="center"/>
    </xf>
    <xf numFmtId="175" fontId="2" fillId="10" borderId="11" xfId="2" applyNumberFormat="1" applyFill="1" applyBorder="1" applyAlignment="1">
      <alignment horizontal="center" vertical="center"/>
    </xf>
    <xf numFmtId="0" fontId="2" fillId="10" borderId="15" xfId="2" applyFill="1" applyBorder="1" applyAlignment="1">
      <alignment horizontal="left" vertical="center"/>
    </xf>
    <xf numFmtId="49" fontId="2" fillId="10" borderId="11" xfId="2" applyNumberFormat="1" applyFill="1" applyBorder="1" applyAlignment="1">
      <alignment horizontal="left" vertical="center"/>
    </xf>
    <xf numFmtId="0" fontId="2" fillId="23" borderId="11" xfId="2" applyFill="1" applyBorder="1" applyAlignment="1">
      <alignment vertical="center" wrapText="1"/>
    </xf>
    <xf numFmtId="174" fontId="2" fillId="23" borderId="11" xfId="2" applyNumberFormat="1" applyFill="1" applyBorder="1" applyAlignment="1">
      <alignment horizontal="center" vertical="center"/>
    </xf>
    <xf numFmtId="0" fontId="2" fillId="23" borderId="15" xfId="2" applyFill="1" applyBorder="1" applyAlignment="1">
      <alignment horizontal="left" vertical="center"/>
    </xf>
    <xf numFmtId="0" fontId="2" fillId="23" borderId="11" xfId="2" quotePrefix="1" applyFill="1" applyBorder="1" applyAlignment="1">
      <alignment horizontal="left" vertical="center"/>
    </xf>
    <xf numFmtId="0" fontId="2" fillId="23" borderId="11" xfId="2" applyFill="1" applyBorder="1" applyAlignment="1">
      <alignment horizontal="left" vertical="center"/>
    </xf>
    <xf numFmtId="0" fontId="2" fillId="19" borderId="15" xfId="2" applyFill="1" applyBorder="1" applyAlignment="1">
      <alignment horizontal="left" vertical="center"/>
    </xf>
    <xf numFmtId="175" fontId="2" fillId="19" borderId="11" xfId="2" applyNumberFormat="1" applyFill="1" applyBorder="1" applyAlignment="1">
      <alignment horizontal="center" vertical="center"/>
    </xf>
    <xf numFmtId="175" fontId="2" fillId="23" borderId="11" xfId="2" applyNumberFormat="1" applyFill="1" applyBorder="1" applyAlignment="1">
      <alignment horizontal="center" vertical="center"/>
    </xf>
    <xf numFmtId="0" fontId="2" fillId="19" borderId="11" xfId="2" applyFill="1" applyBorder="1" applyAlignment="1">
      <alignment horizontal="center" vertical="center"/>
    </xf>
    <xf numFmtId="176" fontId="2" fillId="23" borderId="11" xfId="2" applyNumberFormat="1" applyFill="1" applyBorder="1" applyAlignment="1">
      <alignment horizontal="center" vertical="center"/>
    </xf>
    <xf numFmtId="0" fontId="2" fillId="19" borderId="11" xfId="2" applyNumberFormat="1" applyFill="1" applyBorder="1" applyAlignment="1">
      <alignment horizontal="center" vertical="center"/>
    </xf>
    <xf numFmtId="0" fontId="63" fillId="10" borderId="11" xfId="2" applyFont="1" applyFill="1" applyBorder="1" applyAlignment="1">
      <alignment horizontal="center" vertical="center"/>
    </xf>
    <xf numFmtId="0" fontId="3" fillId="10" borderId="17" xfId="2" applyFont="1" applyFill="1" applyBorder="1" applyAlignment="1">
      <alignment horizontal="center" vertical="center"/>
    </xf>
    <xf numFmtId="0" fontId="3" fillId="10" borderId="11" xfId="2" applyFont="1" applyFill="1" applyBorder="1" applyAlignment="1">
      <alignment vertical="center" wrapText="1"/>
    </xf>
    <xf numFmtId="0" fontId="3" fillId="10" borderId="11" xfId="2" applyFont="1" applyFill="1" applyBorder="1" applyAlignment="1">
      <alignment horizontal="left" vertical="center"/>
    </xf>
    <xf numFmtId="0" fontId="2" fillId="19" borderId="0" xfId="2" applyFill="1"/>
    <xf numFmtId="49" fontId="2" fillId="19" borderId="0" xfId="2" applyNumberFormat="1" applyFill="1"/>
    <xf numFmtId="0" fontId="3" fillId="19" borderId="44" xfId="0" applyFont="1" applyFill="1" applyBorder="1" applyProtection="1"/>
    <xf numFmtId="0" fontId="3" fillId="22" borderId="46" xfId="0" applyFont="1" applyFill="1" applyBorder="1" applyProtection="1">
      <protection locked="0"/>
    </xf>
    <xf numFmtId="0" fontId="3" fillId="22" borderId="0" xfId="0" applyFont="1" applyFill="1" applyBorder="1" applyAlignment="1" applyProtection="1">
      <alignment horizontal="right"/>
      <protection locked="0"/>
    </xf>
    <xf numFmtId="0" fontId="3" fillId="22" borderId="46" xfId="0" applyFont="1" applyFill="1" applyBorder="1" applyAlignment="1" applyProtection="1">
      <alignment horizontal="right"/>
      <protection locked="0"/>
    </xf>
    <xf numFmtId="0" fontId="76" fillId="19" borderId="0" xfId="0" applyFont="1" applyFill="1"/>
    <xf numFmtId="0" fontId="2" fillId="19" borderId="0" xfId="2" applyFont="1" applyFill="1"/>
    <xf numFmtId="0" fontId="3" fillId="10" borderId="0" xfId="2" applyFont="1" applyFill="1"/>
    <xf numFmtId="0" fontId="63" fillId="10" borderId="42" xfId="0" applyFont="1" applyFill="1" applyBorder="1" applyAlignment="1" applyProtection="1">
      <protection locked="0"/>
    </xf>
    <xf numFmtId="1" fontId="0" fillId="4" borderId="0" xfId="0" applyNumberFormat="1" applyFill="1" applyBorder="1"/>
    <xf numFmtId="0" fontId="63" fillId="10" borderId="29" xfId="0" applyFont="1" applyFill="1" applyBorder="1" applyAlignment="1" applyProtection="1">
      <alignment vertical="center"/>
    </xf>
    <xf numFmtId="0" fontId="0" fillId="14" borderId="2" xfId="0" applyNumberFormat="1" applyFill="1" applyBorder="1"/>
    <xf numFmtId="0" fontId="3" fillId="5" borderId="55" xfId="0" applyFont="1" applyFill="1" applyBorder="1" applyAlignment="1"/>
    <xf numFmtId="0" fontId="3" fillId="5" borderId="0" xfId="0" applyFont="1" applyFill="1" applyBorder="1" applyAlignment="1"/>
    <xf numFmtId="2" fontId="7" fillId="13" borderId="0" xfId="0" applyNumberFormat="1" applyFont="1" applyFill="1" applyBorder="1"/>
    <xf numFmtId="167" fontId="7" fillId="13" borderId="0" xfId="0" applyNumberFormat="1" applyFont="1" applyFill="1" applyBorder="1"/>
    <xf numFmtId="11" fontId="7" fillId="13" borderId="0" xfId="0" applyNumberFormat="1" applyFont="1" applyFill="1" applyBorder="1"/>
    <xf numFmtId="0" fontId="22" fillId="25" borderId="48" xfId="0" applyFont="1" applyFill="1" applyBorder="1" applyProtection="1"/>
    <xf numFmtId="0" fontId="22" fillId="25" borderId="49" xfId="0" applyFont="1" applyFill="1" applyBorder="1" applyProtection="1"/>
    <xf numFmtId="0" fontId="18" fillId="25" borderId="49" xfId="0" applyFont="1" applyFill="1" applyBorder="1" applyProtection="1"/>
    <xf numFmtId="171" fontId="18" fillId="25" borderId="46" xfId="0" applyNumberFormat="1" applyFont="1" applyFill="1" applyBorder="1" applyAlignment="1" applyProtection="1">
      <alignment horizontal="center"/>
    </xf>
    <xf numFmtId="0" fontId="18" fillId="25" borderId="0" xfId="0" applyFont="1" applyFill="1" applyBorder="1" applyProtection="1"/>
    <xf numFmtId="171" fontId="18" fillId="25" borderId="0" xfId="0" applyNumberFormat="1" applyFont="1" applyFill="1" applyBorder="1" applyAlignment="1" applyProtection="1">
      <alignment horizontal="center"/>
    </xf>
    <xf numFmtId="171" fontId="71" fillId="25" borderId="0" xfId="0" applyNumberFormat="1" applyFont="1" applyFill="1" applyBorder="1" applyAlignment="1" applyProtection="1">
      <alignment horizontal="center"/>
    </xf>
    <xf numFmtId="171" fontId="27" fillId="25" borderId="0" xfId="0" applyNumberFormat="1" applyFont="1" applyFill="1" applyBorder="1" applyAlignment="1" applyProtection="1">
      <alignment horizontal="center"/>
    </xf>
    <xf numFmtId="0" fontId="28" fillId="25" borderId="0" xfId="0" applyFont="1" applyFill="1" applyBorder="1" applyAlignment="1" applyProtection="1">
      <alignment horizontal="left"/>
    </xf>
    <xf numFmtId="0" fontId="26" fillId="25" borderId="0" xfId="0" applyFont="1" applyFill="1" applyBorder="1" applyAlignment="1" applyProtection="1">
      <alignment horizontal="left" vertical="center"/>
    </xf>
    <xf numFmtId="0" fontId="73" fillId="25" borderId="0" xfId="0" applyFont="1" applyFill="1" applyBorder="1" applyAlignment="1" applyProtection="1">
      <alignment horizontal="left" vertical="center"/>
    </xf>
    <xf numFmtId="0" fontId="22" fillId="25" borderId="0" xfId="0" applyFont="1" applyFill="1" applyBorder="1" applyAlignment="1" applyProtection="1">
      <alignment vertical="center"/>
    </xf>
    <xf numFmtId="0" fontId="26" fillId="25" borderId="0" xfId="0" quotePrefix="1" applyFont="1" applyFill="1" applyBorder="1" applyAlignment="1" applyProtection="1">
      <alignment vertical="center"/>
    </xf>
    <xf numFmtId="0" fontId="30" fillId="25" borderId="0" xfId="0" applyFont="1" applyFill="1" applyBorder="1" applyAlignment="1" applyProtection="1">
      <alignment vertical="center"/>
    </xf>
    <xf numFmtId="0" fontId="30" fillId="25" borderId="0" xfId="0" applyFont="1" applyFill="1" applyBorder="1" applyProtection="1"/>
    <xf numFmtId="0" fontId="32" fillId="25" borderId="31" xfId="0" applyFont="1" applyFill="1" applyBorder="1" applyProtection="1"/>
    <xf numFmtId="0" fontId="32" fillId="25" borderId="32" xfId="0" applyFont="1" applyFill="1" applyBorder="1" applyProtection="1"/>
    <xf numFmtId="0" fontId="22" fillId="25" borderId="32" xfId="0" applyFont="1" applyFill="1" applyBorder="1" applyProtection="1"/>
    <xf numFmtId="0" fontId="26" fillId="25" borderId="56" xfId="0" applyFont="1" applyFill="1" applyBorder="1" applyAlignment="1" applyProtection="1">
      <alignment horizontal="left" vertical="center"/>
    </xf>
    <xf numFmtId="0" fontId="79" fillId="25" borderId="0" xfId="1" applyFont="1" applyFill="1" applyBorder="1" applyAlignment="1" applyProtection="1">
      <alignment horizontal="left" vertical="center"/>
    </xf>
    <xf numFmtId="0" fontId="2" fillId="10" borderId="0" xfId="0" applyFont="1" applyFill="1" applyBorder="1" applyAlignment="1" applyProtection="1">
      <alignment horizontal="right" vertical="center"/>
    </xf>
    <xf numFmtId="0" fontId="2" fillId="10" borderId="56" xfId="0" applyFont="1" applyFill="1" applyBorder="1" applyProtection="1"/>
    <xf numFmtId="0" fontId="0" fillId="0" borderId="0" xfId="0" applyAlignment="1">
      <alignment horizontal="left"/>
    </xf>
    <xf numFmtId="0" fontId="63" fillId="0" borderId="0" xfId="0" applyFont="1" applyBorder="1"/>
    <xf numFmtId="0" fontId="63" fillId="0" borderId="0" xfId="0" applyFont="1" applyAlignment="1">
      <alignment horizontal="left"/>
    </xf>
    <xf numFmtId="0" fontId="2" fillId="0" borderId="0" xfId="2"/>
    <xf numFmtId="0" fontId="2" fillId="19" borderId="0" xfId="2" applyFill="1" applyBorder="1" applyAlignment="1"/>
    <xf numFmtId="0" fontId="2" fillId="0" borderId="0" xfId="2" applyBorder="1"/>
    <xf numFmtId="166" fontId="0" fillId="4" borderId="0" xfId="0" applyNumberFormat="1" applyFill="1" applyBorder="1"/>
    <xf numFmtId="2" fontId="0" fillId="13" borderId="0" xfId="0" applyNumberFormat="1" applyFill="1" applyBorder="1"/>
    <xf numFmtId="0" fontId="0" fillId="0" borderId="56" xfId="0" applyBorder="1"/>
    <xf numFmtId="0" fontId="2" fillId="0" borderId="56" xfId="0" applyFont="1" applyBorder="1"/>
    <xf numFmtId="166" fontId="7" fillId="13" borderId="2" xfId="0" applyNumberFormat="1" applyFont="1" applyFill="1" applyBorder="1"/>
    <xf numFmtId="165" fontId="7" fillId="13" borderId="0" xfId="0" applyNumberFormat="1" applyFont="1" applyFill="1" applyBorder="1"/>
    <xf numFmtId="166" fontId="7" fillId="13" borderId="0" xfId="0" applyNumberFormat="1" applyFont="1" applyFill="1" applyBorder="1"/>
    <xf numFmtId="0" fontId="7" fillId="0" borderId="56" xfId="0" applyFont="1" applyBorder="1"/>
    <xf numFmtId="0" fontId="3" fillId="13" borderId="0" xfId="0" applyNumberFormat="1" applyFont="1" applyFill="1" applyBorder="1" applyAlignment="1">
      <alignment horizontal="right"/>
    </xf>
    <xf numFmtId="167" fontId="0" fillId="4" borderId="0" xfId="0" applyNumberFormat="1" applyFill="1" applyBorder="1"/>
    <xf numFmtId="166" fontId="7" fillId="19" borderId="0" xfId="0" applyNumberFormat="1" applyFont="1" applyFill="1" applyBorder="1"/>
    <xf numFmtId="0" fontId="82" fillId="19" borderId="42" xfId="0" applyFont="1" applyFill="1" applyBorder="1" applyAlignment="1" applyProtection="1">
      <alignment horizontal="left" vertical="center"/>
    </xf>
    <xf numFmtId="0" fontId="2" fillId="19" borderId="42" xfId="0" applyFont="1" applyFill="1" applyBorder="1" applyProtection="1"/>
    <xf numFmtId="0" fontId="66" fillId="10" borderId="46" xfId="0" applyFont="1" applyFill="1" applyBorder="1" applyAlignment="1" applyProtection="1">
      <alignment horizontal="right"/>
    </xf>
    <xf numFmtId="0" fontId="2" fillId="10" borderId="46" xfId="0" applyNumberFormat="1" applyFont="1" applyFill="1" applyBorder="1" applyAlignment="1" applyProtection="1">
      <alignment horizontal="right"/>
    </xf>
    <xf numFmtId="167" fontId="0" fillId="19" borderId="0" xfId="0" applyNumberFormat="1" applyFill="1" applyBorder="1"/>
    <xf numFmtId="0" fontId="67" fillId="10" borderId="42" xfId="0" applyFont="1" applyFill="1" applyBorder="1" applyAlignment="1" applyProtection="1">
      <alignment horizontal="right"/>
    </xf>
    <xf numFmtId="0" fontId="3" fillId="10" borderId="43" xfId="0" applyFont="1" applyFill="1" applyBorder="1" applyProtection="1"/>
    <xf numFmtId="0" fontId="3" fillId="22" borderId="42" xfId="0" applyFont="1" applyFill="1" applyBorder="1" applyProtection="1">
      <protection locked="0"/>
    </xf>
    <xf numFmtId="1" fontId="66" fillId="19" borderId="30" xfId="0" applyNumberFormat="1" applyFont="1" applyFill="1" applyBorder="1" applyAlignment="1" applyProtection="1">
      <alignment horizontal="left"/>
      <protection locked="0"/>
    </xf>
    <xf numFmtId="0" fontId="2" fillId="6" borderId="11" xfId="0" applyFont="1" applyFill="1" applyBorder="1"/>
    <xf numFmtId="165" fontId="0" fillId="0" borderId="0" xfId="0" applyNumberFormat="1"/>
    <xf numFmtId="166" fontId="0" fillId="0" borderId="0" xfId="0" applyNumberFormat="1"/>
    <xf numFmtId="165" fontId="0" fillId="0" borderId="0" xfId="0" applyNumberFormat="1" applyAlignment="1">
      <alignment horizontal="left" indent="1"/>
    </xf>
    <xf numFmtId="166" fontId="16" fillId="7" borderId="0" xfId="0" applyNumberFormat="1" applyFont="1" applyFill="1"/>
    <xf numFmtId="166" fontId="8" fillId="0" borderId="0" xfId="0" applyNumberFormat="1" applyFont="1" applyFill="1" applyBorder="1" applyAlignment="1"/>
    <xf numFmtId="167" fontId="16" fillId="0" borderId="0" xfId="0" applyNumberFormat="1" applyFont="1" applyFill="1" applyBorder="1"/>
    <xf numFmtId="164" fontId="0" fillId="0" borderId="0" xfId="0" applyNumberFormat="1" applyFill="1" applyBorder="1"/>
    <xf numFmtId="164" fontId="16" fillId="0" borderId="0" xfId="0" applyNumberFormat="1" applyFont="1" applyFill="1" applyBorder="1"/>
    <xf numFmtId="0" fontId="2" fillId="4" borderId="43" xfId="0" applyFont="1" applyFill="1" applyBorder="1"/>
    <xf numFmtId="0" fontId="74" fillId="0" borderId="11" xfId="0" applyFont="1" applyBorder="1"/>
    <xf numFmtId="0" fontId="2" fillId="0" borderId="11" xfId="0" applyFont="1" applyBorder="1"/>
    <xf numFmtId="0" fontId="2" fillId="0" borderId="11" xfId="0" applyFont="1" applyFill="1" applyBorder="1"/>
    <xf numFmtId="0" fontId="2" fillId="0" borderId="13" xfId="0" applyFont="1" applyFill="1" applyBorder="1"/>
    <xf numFmtId="0" fontId="2" fillId="0" borderId="15" xfId="0" applyFont="1" applyBorder="1"/>
    <xf numFmtId="0" fontId="2" fillId="0" borderId="15" xfId="0" applyFont="1" applyFill="1" applyBorder="1"/>
    <xf numFmtId="0" fontId="2" fillId="0" borderId="16" xfId="0" applyFont="1" applyBorder="1"/>
    <xf numFmtId="1" fontId="3" fillId="13" borderId="0" xfId="0" applyNumberFormat="1" applyFont="1" applyFill="1" applyBorder="1"/>
    <xf numFmtId="2" fontId="3" fillId="13" borderId="0" xfId="0" applyNumberFormat="1" applyFont="1" applyFill="1" applyBorder="1"/>
    <xf numFmtId="1" fontId="3" fillId="10" borderId="29" xfId="0" applyNumberFormat="1" applyFont="1" applyFill="1" applyBorder="1" applyAlignment="1" applyProtection="1">
      <alignment horizontal="right"/>
    </xf>
    <xf numFmtId="0" fontId="3" fillId="10" borderId="8" xfId="2" applyFont="1" applyFill="1" applyBorder="1" applyAlignment="1">
      <alignment horizontal="left" vertical="center"/>
    </xf>
    <xf numFmtId="177" fontId="2" fillId="19" borderId="8" xfId="2" applyNumberFormat="1" applyFill="1" applyBorder="1" applyAlignment="1">
      <alignment horizontal="left" vertical="center"/>
    </xf>
    <xf numFmtId="177" fontId="2" fillId="19" borderId="9" xfId="2" applyNumberFormat="1" applyFill="1" applyBorder="1" applyAlignment="1">
      <alignment horizontal="left" vertical="center"/>
    </xf>
    <xf numFmtId="177" fontId="2" fillId="19" borderId="15" xfId="2" applyNumberFormat="1" applyFill="1" applyBorder="1" applyAlignment="1">
      <alignment horizontal="left" vertical="center"/>
    </xf>
    <xf numFmtId="0" fontId="2" fillId="0" borderId="0" xfId="0" applyFont="1" applyAlignment="1">
      <alignment horizontal="right"/>
    </xf>
    <xf numFmtId="0" fontId="86" fillId="0" borderId="0" xfId="0" applyFont="1" applyAlignment="1">
      <alignment horizontal="right"/>
    </xf>
    <xf numFmtId="0" fontId="63" fillId="0" borderId="0" xfId="0" applyFont="1"/>
    <xf numFmtId="0" fontId="2" fillId="0" borderId="0" xfId="0" quotePrefix="1" applyFont="1"/>
    <xf numFmtId="0" fontId="2" fillId="0" borderId="0" xfId="0" applyFont="1" applyAlignment="1">
      <alignment horizontal="left"/>
    </xf>
    <xf numFmtId="49" fontId="84" fillId="21" borderId="57" xfId="2" applyNumberFormat="1" applyFont="1" applyFill="1" applyBorder="1" applyAlignment="1">
      <alignment horizontal="center" vertical="center"/>
    </xf>
    <xf numFmtId="0" fontId="84" fillId="21" borderId="51" xfId="2" applyFont="1" applyFill="1" applyBorder="1" applyAlignment="1">
      <alignment horizontal="center" vertical="center"/>
    </xf>
    <xf numFmtId="0" fontId="2" fillId="10" borderId="0" xfId="2" applyNumberFormat="1" applyFill="1"/>
    <xf numFmtId="167" fontId="2" fillId="10" borderId="11" xfId="2" applyNumberFormat="1" applyFill="1" applyBorder="1" applyAlignment="1">
      <alignment horizontal="center" vertical="center"/>
    </xf>
    <xf numFmtId="2" fontId="2" fillId="10" borderId="11" xfId="2" applyNumberFormat="1" applyFill="1" applyBorder="1" applyAlignment="1">
      <alignment horizontal="center" vertical="center"/>
    </xf>
    <xf numFmtId="0" fontId="2" fillId="10" borderId="8" xfId="2" applyFill="1" applyBorder="1" applyAlignment="1">
      <alignment horizontal="left" vertical="center"/>
    </xf>
    <xf numFmtId="0" fontId="2" fillId="23" borderId="8" xfId="2" applyFill="1" applyBorder="1" applyAlignment="1">
      <alignment horizontal="left" vertical="center"/>
    </xf>
    <xf numFmtId="0" fontId="2" fillId="19" borderId="8" xfId="2" applyFill="1" applyBorder="1" applyAlignment="1">
      <alignment horizontal="left" vertical="center"/>
    </xf>
    <xf numFmtId="0" fontId="2" fillId="24" borderId="8" xfId="2" applyFill="1" applyBorder="1" applyAlignment="1">
      <alignment horizontal="left" vertical="center"/>
    </xf>
    <xf numFmtId="0" fontId="2" fillId="10" borderId="58" xfId="2" applyFill="1" applyBorder="1" applyAlignment="1">
      <alignment horizontal="center" vertical="center"/>
    </xf>
    <xf numFmtId="0" fontId="2" fillId="24" borderId="58" xfId="2" applyFill="1" applyBorder="1" applyAlignment="1">
      <alignment horizontal="center" vertical="center"/>
    </xf>
    <xf numFmtId="167" fontId="2" fillId="24" borderId="11" xfId="2" applyNumberFormat="1" applyFill="1" applyBorder="1" applyAlignment="1">
      <alignment horizontal="center" vertical="center"/>
    </xf>
    <xf numFmtId="0" fontId="75" fillId="3" borderId="50" xfId="2" applyFont="1" applyFill="1" applyBorder="1" applyAlignment="1">
      <alignment horizontal="center" vertical="center"/>
    </xf>
    <xf numFmtId="0" fontId="75" fillId="3" borderId="51" xfId="2" applyFont="1" applyFill="1" applyBorder="1" applyAlignment="1">
      <alignment horizontal="center" vertical="center"/>
    </xf>
    <xf numFmtId="167" fontId="88" fillId="0" borderId="0" xfId="2" applyNumberFormat="1" applyFont="1" applyFill="1" applyAlignment="1">
      <alignment horizontal="right" vertical="center"/>
    </xf>
    <xf numFmtId="0" fontId="88" fillId="10" borderId="0" xfId="2" applyFont="1" applyFill="1" applyAlignment="1">
      <alignment horizontal="left"/>
    </xf>
    <xf numFmtId="165" fontId="88" fillId="10" borderId="0" xfId="2" applyNumberFormat="1" applyFont="1" applyFill="1" applyAlignment="1">
      <alignment vertical="center"/>
    </xf>
    <xf numFmtId="164" fontId="0" fillId="4" borderId="32" xfId="0" applyNumberFormat="1" applyFill="1" applyBorder="1"/>
    <xf numFmtId="164" fontId="0" fillId="13" borderId="2" xfId="0" applyNumberFormat="1" applyFill="1" applyBorder="1"/>
    <xf numFmtId="172" fontId="2" fillId="19" borderId="11" xfId="2" applyNumberFormat="1" applyFill="1" applyBorder="1" applyAlignment="1">
      <alignment horizontal="center" vertical="center"/>
    </xf>
    <xf numFmtId="0" fontId="2" fillId="19" borderId="58" xfId="2" applyFill="1" applyBorder="1" applyAlignment="1">
      <alignment horizontal="center" vertical="center"/>
    </xf>
    <xf numFmtId="167" fontId="2" fillId="19" borderId="11" xfId="2" applyNumberFormat="1" applyFill="1" applyBorder="1" applyAlignment="1">
      <alignment horizontal="center" vertical="center"/>
    </xf>
    <xf numFmtId="0" fontId="7" fillId="0" borderId="0" xfId="0" applyFont="1" applyFill="1" applyBorder="1"/>
    <xf numFmtId="166" fontId="2" fillId="0" borderId="0" xfId="0" applyNumberFormat="1" applyFont="1" applyFill="1" applyBorder="1"/>
    <xf numFmtId="0" fontId="8" fillId="0" borderId="32" xfId="0" applyFont="1" applyFill="1" applyBorder="1"/>
    <xf numFmtId="167" fontId="0" fillId="0" borderId="0" xfId="0" applyNumberFormat="1" applyFill="1" applyBorder="1"/>
    <xf numFmtId="1" fontId="0" fillId="13" borderId="0" xfId="0" applyNumberFormat="1" applyFill="1" applyBorder="1"/>
    <xf numFmtId="1" fontId="8" fillId="13" borderId="0" xfId="0" applyNumberFormat="1" applyFont="1" applyFill="1" applyBorder="1"/>
    <xf numFmtId="0" fontId="85" fillId="10" borderId="0" xfId="2" applyFont="1" applyFill="1" applyAlignment="1">
      <alignment vertical="center"/>
    </xf>
    <xf numFmtId="0" fontId="2" fillId="19" borderId="0" xfId="2" applyFill="1" applyProtection="1">
      <protection locked="0" hidden="1"/>
    </xf>
    <xf numFmtId="0" fontId="2" fillId="10" borderId="0" xfId="2" applyFill="1" applyProtection="1">
      <protection locked="0" hidden="1"/>
    </xf>
    <xf numFmtId="0" fontId="85" fillId="10" borderId="0" xfId="2" applyFont="1" applyFill="1" applyAlignment="1" applyProtection="1">
      <alignment vertical="center"/>
      <protection locked="0" hidden="1"/>
    </xf>
    <xf numFmtId="167" fontId="2" fillId="10" borderId="42" xfId="0" applyNumberFormat="1" applyFont="1" applyFill="1" applyBorder="1" applyProtection="1"/>
    <xf numFmtId="0" fontId="3" fillId="0" borderId="56" xfId="0" applyFont="1" applyBorder="1"/>
    <xf numFmtId="0" fontId="0" fillId="0" borderId="0" xfId="0" applyNumberFormat="1" applyAlignment="1">
      <alignment horizontal="right"/>
    </xf>
    <xf numFmtId="166" fontId="0" fillId="13" borderId="0" xfId="0" applyNumberFormat="1" applyFill="1" applyBorder="1"/>
    <xf numFmtId="1" fontId="0" fillId="0" borderId="0" xfId="0" applyNumberFormat="1" applyBorder="1" applyAlignment="1">
      <alignment horizontal="right"/>
    </xf>
    <xf numFmtId="11" fontId="3" fillId="13" borderId="0" xfId="0" applyNumberFormat="1" applyFont="1" applyFill="1" applyBorder="1" applyAlignment="1">
      <alignment horizontal="right"/>
    </xf>
    <xf numFmtId="0" fontId="85" fillId="10" borderId="0" xfId="2" applyFont="1" applyFill="1"/>
    <xf numFmtId="0" fontId="85" fillId="10" borderId="0" xfId="2" applyFont="1" applyFill="1" applyProtection="1">
      <protection locked="0" hidden="1"/>
    </xf>
    <xf numFmtId="0" fontId="2" fillId="0" borderId="0" xfId="2" applyFont="1" applyAlignment="1">
      <alignment horizontal="right"/>
    </xf>
    <xf numFmtId="0" fontId="3" fillId="0" borderId="0" xfId="2" applyFont="1"/>
    <xf numFmtId="0" fontId="2" fillId="0" borderId="0" xfId="2" applyAlignment="1">
      <alignment horizontal="left"/>
    </xf>
    <xf numFmtId="0" fontId="86" fillId="0" borderId="0" xfId="2" applyFont="1" applyAlignment="1">
      <alignment horizontal="right"/>
    </xf>
    <xf numFmtId="0" fontId="63" fillId="0" borderId="0" xfId="2" applyFont="1"/>
    <xf numFmtId="0" fontId="90" fillId="10" borderId="0" xfId="2" applyFont="1" applyFill="1" applyProtection="1">
      <protection locked="0" hidden="1"/>
    </xf>
    <xf numFmtId="0" fontId="2" fillId="0" borderId="0" xfId="0" applyNumberFormat="1" applyFont="1" applyBorder="1" applyAlignment="1">
      <alignment horizontal="right"/>
    </xf>
    <xf numFmtId="0" fontId="91" fillId="19" borderId="11" xfId="2" quotePrefix="1" applyFont="1" applyFill="1" applyBorder="1" applyAlignment="1">
      <alignment horizontal="left" vertical="center"/>
    </xf>
    <xf numFmtId="178" fontId="2" fillId="19" borderId="11" xfId="2" applyNumberFormat="1" applyFill="1" applyBorder="1" applyAlignment="1">
      <alignment horizontal="center" vertical="center"/>
    </xf>
    <xf numFmtId="165" fontId="0" fillId="0" borderId="11" xfId="0" applyNumberFormat="1" applyBorder="1"/>
    <xf numFmtId="164" fontId="0" fillId="7" borderId="11" xfId="0" applyNumberFormat="1" applyFill="1" applyBorder="1"/>
    <xf numFmtId="0" fontId="3" fillId="5" borderId="59" xfId="0" applyFont="1" applyFill="1" applyBorder="1"/>
    <xf numFmtId="0" fontId="92" fillId="0" borderId="29" xfId="0" applyFont="1" applyBorder="1"/>
    <xf numFmtId="0" fontId="7" fillId="4" borderId="42" xfId="0" applyFont="1" applyFill="1" applyBorder="1" applyAlignment="1"/>
    <xf numFmtId="0" fontId="93" fillId="25" borderId="0" xfId="0" applyFont="1" applyFill="1" applyBorder="1" applyAlignment="1" applyProtection="1">
      <alignment horizontal="left"/>
    </xf>
    <xf numFmtId="0" fontId="94" fillId="25" borderId="0" xfId="0" applyFont="1" applyFill="1" applyBorder="1" applyProtection="1"/>
    <xf numFmtId="0" fontId="95" fillId="25" borderId="32" xfId="0" applyFont="1" applyFill="1" applyBorder="1" applyProtection="1"/>
    <xf numFmtId="0" fontId="94" fillId="10" borderId="0" xfId="0" applyFont="1" applyFill="1" applyBorder="1" applyProtection="1"/>
    <xf numFmtId="0" fontId="94" fillId="10" borderId="30" xfId="0" applyFont="1" applyFill="1" applyBorder="1" applyProtection="1"/>
    <xf numFmtId="0" fontId="96" fillId="25" borderId="0" xfId="0" applyFont="1" applyFill="1" applyBorder="1" applyAlignment="1" applyProtection="1">
      <alignment horizontal="left"/>
    </xf>
    <xf numFmtId="0" fontId="97" fillId="25" borderId="0" xfId="1" applyFont="1" applyFill="1" applyBorder="1" applyAlignment="1" applyProtection="1"/>
    <xf numFmtId="0" fontId="19" fillId="25" borderId="32" xfId="0" applyFont="1" applyFill="1" applyBorder="1" applyProtection="1"/>
    <xf numFmtId="0" fontId="19" fillId="25" borderId="46" xfId="0" applyFont="1" applyFill="1" applyBorder="1" applyProtection="1"/>
    <xf numFmtId="0" fontId="98" fillId="25" borderId="0" xfId="0" applyFont="1" applyFill="1" applyBorder="1" applyProtection="1"/>
    <xf numFmtId="166" fontId="2" fillId="19" borderId="46" xfId="0" applyNumberFormat="1" applyFont="1" applyFill="1" applyBorder="1" applyProtection="1"/>
    <xf numFmtId="0" fontId="28" fillId="25" borderId="56" xfId="0" applyFont="1" applyFill="1" applyBorder="1" applyAlignment="1" applyProtection="1">
      <alignment horizontal="left" vertical="center"/>
    </xf>
    <xf numFmtId="0" fontId="18" fillId="19" borderId="0" xfId="2" applyFont="1" applyFill="1" applyBorder="1" applyProtection="1"/>
    <xf numFmtId="0" fontId="18" fillId="19" borderId="0" xfId="2" applyFont="1" applyFill="1" applyProtection="1"/>
    <xf numFmtId="0" fontId="2" fillId="21" borderId="0" xfId="2" applyFill="1"/>
    <xf numFmtId="0" fontId="103" fillId="21" borderId="0" xfId="2" applyFont="1" applyFill="1"/>
    <xf numFmtId="0" fontId="103" fillId="21" borderId="0" xfId="2" applyFont="1" applyFill="1" applyAlignment="1">
      <alignment horizontal="center" vertical="center"/>
    </xf>
    <xf numFmtId="0" fontId="103" fillId="21" borderId="0" xfId="2" applyFont="1" applyFill="1" applyAlignment="1">
      <alignment horizontal="left" vertical="center"/>
    </xf>
    <xf numFmtId="0" fontId="0" fillId="4" borderId="42" xfId="0" applyFill="1" applyBorder="1"/>
    <xf numFmtId="0" fontId="3" fillId="2" borderId="60" xfId="0" applyFont="1" applyFill="1" applyBorder="1" applyAlignment="1">
      <alignment horizontal="center" vertical="top" wrapText="1"/>
    </xf>
    <xf numFmtId="0" fontId="63" fillId="2" borderId="60" xfId="0" applyFont="1" applyFill="1" applyBorder="1" applyAlignment="1">
      <alignment horizontal="center" vertical="top" wrapText="1"/>
    </xf>
    <xf numFmtId="0" fontId="3" fillId="0" borderId="0" xfId="2" applyFont="1" applyFill="1"/>
    <xf numFmtId="0" fontId="69" fillId="10" borderId="0" xfId="0" applyFont="1" applyFill="1" applyBorder="1" applyAlignment="1" applyProtection="1">
      <alignment horizontal="left" vertical="center"/>
    </xf>
    <xf numFmtId="0" fontId="99" fillId="25" borderId="0" xfId="0" applyFont="1" applyFill="1" applyBorder="1" applyAlignment="1" applyProtection="1">
      <alignment horizontal="center" vertical="center"/>
    </xf>
    <xf numFmtId="0" fontId="104" fillId="20" borderId="44" xfId="0" applyFont="1" applyFill="1" applyBorder="1" applyAlignment="1" applyProtection="1">
      <alignment horizontal="left" vertical="center"/>
    </xf>
    <xf numFmtId="0" fontId="104" fillId="20" borderId="42" xfId="0" applyFont="1" applyFill="1" applyBorder="1" applyAlignment="1" applyProtection="1">
      <alignment horizontal="left" vertical="center"/>
    </xf>
    <xf numFmtId="0" fontId="75" fillId="3" borderId="52" xfId="2" applyFont="1" applyFill="1" applyBorder="1" applyAlignment="1">
      <alignment horizontal="center" vertical="center"/>
    </xf>
    <xf numFmtId="0" fontId="75" fillId="3" borderId="53" xfId="2" applyFont="1" applyFill="1" applyBorder="1" applyAlignment="1">
      <alignment horizontal="center" vertical="center"/>
    </xf>
    <xf numFmtId="0" fontId="75" fillId="3" borderId="54" xfId="2" applyFont="1" applyFill="1" applyBorder="1" applyAlignment="1">
      <alignment horizontal="center" vertical="center"/>
    </xf>
    <xf numFmtId="0" fontId="3" fillId="10" borderId="8" xfId="2" applyFont="1" applyFill="1" applyBorder="1" applyAlignment="1">
      <alignment horizontal="left" vertical="center"/>
    </xf>
    <xf numFmtId="0" fontId="3" fillId="10" borderId="9" xfId="2" applyFont="1" applyFill="1" applyBorder="1" applyAlignment="1">
      <alignment horizontal="left" vertical="center"/>
    </xf>
    <xf numFmtId="0" fontId="3" fillId="10" borderId="15" xfId="2" applyFont="1" applyFill="1" applyBorder="1" applyAlignment="1">
      <alignment horizontal="left" vertical="center"/>
    </xf>
    <xf numFmtId="184" fontId="2" fillId="19" borderId="8" xfId="2" applyNumberFormat="1" applyFill="1" applyBorder="1" applyAlignment="1">
      <alignment horizontal="left" vertical="center"/>
    </xf>
    <xf numFmtId="184" fontId="2" fillId="19" borderId="9" xfId="2" applyNumberFormat="1" applyFill="1" applyBorder="1" applyAlignment="1">
      <alignment horizontal="left" vertical="center"/>
    </xf>
    <xf numFmtId="184" fontId="2" fillId="19" borderId="15" xfId="2" applyNumberFormat="1" applyFill="1" applyBorder="1" applyAlignment="1">
      <alignment horizontal="left" vertical="center"/>
    </xf>
    <xf numFmtId="184" fontId="2" fillId="24" borderId="8" xfId="2" applyNumberFormat="1" applyFill="1" applyBorder="1" applyAlignment="1">
      <alignment horizontal="left" vertical="center"/>
    </xf>
    <xf numFmtId="184" fontId="2" fillId="24" borderId="9" xfId="2" applyNumberFormat="1" applyFill="1" applyBorder="1" applyAlignment="1">
      <alignment horizontal="left" vertical="center"/>
    </xf>
    <xf numFmtId="184" fontId="2" fillId="24" borderId="15" xfId="2" applyNumberFormat="1" applyFill="1" applyBorder="1" applyAlignment="1">
      <alignment horizontal="left" vertical="center"/>
    </xf>
    <xf numFmtId="187" fontId="2" fillId="19" borderId="8" xfId="2" applyNumberFormat="1" applyFill="1" applyBorder="1" applyAlignment="1">
      <alignment horizontal="left" vertical="center"/>
    </xf>
    <xf numFmtId="187" fontId="2" fillId="19" borderId="9" xfId="2" applyNumberFormat="1" applyFill="1" applyBorder="1" applyAlignment="1">
      <alignment horizontal="left" vertical="center"/>
    </xf>
    <xf numFmtId="187" fontId="2" fillId="19" borderId="15" xfId="2" applyNumberFormat="1" applyFill="1" applyBorder="1" applyAlignment="1">
      <alignment horizontal="left" vertical="center"/>
    </xf>
    <xf numFmtId="185" fontId="2" fillId="19" borderId="8" xfId="2" applyNumberFormat="1" applyFill="1" applyBorder="1" applyAlignment="1">
      <alignment horizontal="left" vertical="center"/>
    </xf>
    <xf numFmtId="185" fontId="2" fillId="19" borderId="9" xfId="2" applyNumberFormat="1" applyFill="1" applyBorder="1" applyAlignment="1">
      <alignment horizontal="left" vertical="center"/>
    </xf>
    <xf numFmtId="185" fontId="2" fillId="19" borderId="15" xfId="2" applyNumberFormat="1" applyFill="1" applyBorder="1" applyAlignment="1">
      <alignment horizontal="left" vertical="center"/>
    </xf>
    <xf numFmtId="186" fontId="2" fillId="19" borderId="8" xfId="2" applyNumberFormat="1" applyFill="1" applyBorder="1" applyAlignment="1">
      <alignment horizontal="left" vertical="center"/>
    </xf>
    <xf numFmtId="186" fontId="2" fillId="19" borderId="9" xfId="2" applyNumberFormat="1" applyFill="1" applyBorder="1" applyAlignment="1">
      <alignment horizontal="left" vertical="center"/>
    </xf>
    <xf numFmtId="186" fontId="2" fillId="19" borderId="15" xfId="2" applyNumberFormat="1" applyFill="1" applyBorder="1" applyAlignment="1">
      <alignment horizontal="left" vertical="center"/>
    </xf>
    <xf numFmtId="181" fontId="2" fillId="10" borderId="8" xfId="2" applyNumberFormat="1" applyFill="1" applyBorder="1" applyAlignment="1">
      <alignment horizontal="left" vertical="center"/>
    </xf>
    <xf numFmtId="181" fontId="2" fillId="10" borderId="9" xfId="2" applyNumberFormat="1" applyFill="1" applyBorder="1" applyAlignment="1">
      <alignment horizontal="left" vertical="center"/>
    </xf>
    <xf numFmtId="180" fontId="2" fillId="23" borderId="8" xfId="2" applyNumberFormat="1" applyFill="1" applyBorder="1" applyAlignment="1">
      <alignment horizontal="left" vertical="center"/>
    </xf>
    <xf numFmtId="180" fontId="2" fillId="23" borderId="9" xfId="2" applyNumberFormat="1" applyFill="1" applyBorder="1" applyAlignment="1">
      <alignment horizontal="left" vertical="center"/>
    </xf>
    <xf numFmtId="179" fontId="2" fillId="23" borderId="8" xfId="2" applyNumberFormat="1" applyFill="1" applyBorder="1" applyAlignment="1">
      <alignment horizontal="left" vertical="center"/>
    </xf>
    <xf numFmtId="179" fontId="2" fillId="23" borderId="9" xfId="2" applyNumberFormat="1" applyFill="1" applyBorder="1" applyAlignment="1">
      <alignment horizontal="left" vertical="center"/>
    </xf>
    <xf numFmtId="0" fontId="2" fillId="19" borderId="8" xfId="2" applyNumberFormat="1" applyFill="1" applyBorder="1" applyAlignment="1">
      <alignment horizontal="left" vertical="center"/>
    </xf>
    <xf numFmtId="0" fontId="2" fillId="19" borderId="9" xfId="2" applyNumberFormat="1" applyFill="1" applyBorder="1" applyAlignment="1">
      <alignment horizontal="left" vertical="center"/>
    </xf>
    <xf numFmtId="181" fontId="2" fillId="19" borderId="8" xfId="2" applyNumberFormat="1" applyFill="1" applyBorder="1" applyAlignment="1">
      <alignment horizontal="left" vertical="center"/>
    </xf>
    <xf numFmtId="181" fontId="2" fillId="19" borderId="9" xfId="2" applyNumberFormat="1" applyFill="1" applyBorder="1" applyAlignment="1">
      <alignment horizontal="left" vertical="center"/>
    </xf>
    <xf numFmtId="0" fontId="2" fillId="23" borderId="8" xfId="2" applyFill="1" applyBorder="1" applyAlignment="1">
      <alignment horizontal="left" vertical="center"/>
    </xf>
    <xf numFmtId="0" fontId="2" fillId="23" borderId="9" xfId="2" applyFill="1" applyBorder="1" applyAlignment="1">
      <alignment horizontal="left" vertical="center"/>
    </xf>
    <xf numFmtId="185" fontId="2" fillId="24" borderId="8" xfId="2" applyNumberFormat="1" applyFill="1" applyBorder="1" applyAlignment="1">
      <alignment horizontal="left" vertical="center"/>
    </xf>
    <xf numFmtId="185" fontId="2" fillId="24" borderId="9" xfId="2" applyNumberFormat="1" applyFill="1" applyBorder="1" applyAlignment="1">
      <alignment horizontal="left" vertical="center"/>
    </xf>
    <xf numFmtId="185" fontId="2" fillId="24" borderId="15" xfId="2" applyNumberFormat="1" applyFill="1" applyBorder="1" applyAlignment="1">
      <alignment horizontal="left" vertical="center"/>
    </xf>
    <xf numFmtId="0" fontId="88" fillId="10" borderId="0" xfId="2" applyFont="1" applyFill="1" applyAlignment="1">
      <alignment horizontal="right" wrapText="1"/>
    </xf>
    <xf numFmtId="0" fontId="2" fillId="23" borderId="15" xfId="2" applyFill="1" applyBorder="1" applyAlignment="1">
      <alignment horizontal="left" vertical="center"/>
    </xf>
    <xf numFmtId="182" fontId="2" fillId="19" borderId="8" xfId="2" applyNumberFormat="1" applyFill="1" applyBorder="1" applyAlignment="1">
      <alignment horizontal="left" vertical="center"/>
    </xf>
    <xf numFmtId="182" fontId="2" fillId="19" borderId="9" xfId="2" applyNumberFormat="1" applyFill="1" applyBorder="1" applyAlignment="1">
      <alignment horizontal="left" vertical="center"/>
    </xf>
    <xf numFmtId="183" fontId="2" fillId="19" borderId="8" xfId="2" applyNumberFormat="1" applyFill="1" applyBorder="1" applyAlignment="1">
      <alignment horizontal="left" vertical="center"/>
    </xf>
    <xf numFmtId="183" fontId="2" fillId="19" borderId="9" xfId="2" applyNumberFormat="1" applyFill="1" applyBorder="1" applyAlignment="1">
      <alignment horizontal="left" vertical="center"/>
    </xf>
    <xf numFmtId="0" fontId="102" fillId="19" borderId="56" xfId="2" applyFont="1" applyFill="1" applyBorder="1" applyAlignment="1" applyProtection="1">
      <alignment horizontal="left" vertical="center"/>
    </xf>
    <xf numFmtId="0" fontId="102" fillId="19" borderId="0" xfId="2" applyFont="1" applyFill="1" applyBorder="1" applyAlignment="1" applyProtection="1">
      <alignment horizontal="left" vertical="center"/>
    </xf>
    <xf numFmtId="0" fontId="3" fillId="0" borderId="0" xfId="0" applyFont="1" applyAlignment="1">
      <alignment horizontal="center"/>
    </xf>
    <xf numFmtId="0" fontId="4" fillId="3" borderId="0" xfId="0" applyFont="1" applyFill="1" applyAlignment="1">
      <alignment horizontal="center"/>
    </xf>
    <xf numFmtId="0" fontId="9" fillId="3" borderId="0" xfId="0" applyFont="1" applyFill="1" applyAlignment="1">
      <alignment horizontal="center"/>
    </xf>
    <xf numFmtId="0" fontId="3" fillId="2" borderId="0" xfId="0" applyFont="1" applyFill="1" applyAlignment="1">
      <alignment horizontal="center"/>
    </xf>
    <xf numFmtId="0" fontId="14" fillId="3" borderId="0" xfId="0" applyFont="1" applyFill="1" applyAlignment="1">
      <alignment horizontal="left"/>
    </xf>
    <xf numFmtId="0" fontId="3" fillId="0" borderId="0" xfId="0" applyFont="1" applyAlignment="1">
      <alignment horizontal="left" wrapText="1"/>
    </xf>
  </cellXfs>
  <cellStyles count="5">
    <cellStyle name="Comma 2" xfId="4" xr:uid="{00000000-0005-0000-0000-000000000000}"/>
    <cellStyle name="Hyperlink" xfId="1" builtinId="8"/>
    <cellStyle name="Normal" xfId="0" builtinId="0"/>
    <cellStyle name="Normal 2" xfId="2" xr:uid="{00000000-0005-0000-0000-000003000000}"/>
    <cellStyle name="Normal 3" xfId="3" xr:uid="{00000000-0005-0000-0000-000004000000}"/>
  </cellStyles>
  <dxfs count="27">
    <dxf>
      <font>
        <color theme="0"/>
      </font>
    </dxf>
    <dxf>
      <font>
        <color theme="0"/>
      </font>
    </dxf>
    <dxf>
      <font>
        <color theme="0"/>
      </font>
    </dxf>
    <dxf>
      <font>
        <color theme="0"/>
      </font>
    </dxf>
    <dxf>
      <font>
        <color theme="0"/>
      </font>
    </dxf>
    <dxf>
      <font>
        <color theme="0"/>
      </font>
    </dxf>
    <dxf>
      <font>
        <color rgb="FFFF0000"/>
      </font>
    </dxf>
    <dxf>
      <font>
        <color rgb="FFFF0000"/>
      </font>
    </dxf>
    <dxf>
      <font>
        <color theme="0"/>
      </font>
      <fill>
        <patternFill>
          <bgColor theme="0"/>
        </patternFill>
      </fill>
    </dxf>
    <dxf>
      <font>
        <b/>
        <i val="0"/>
        <condense val="0"/>
        <extend val="0"/>
        <color indexed="10"/>
      </font>
    </dxf>
    <dxf>
      <font>
        <b/>
        <i val="0"/>
        <condense val="0"/>
        <extend val="0"/>
        <color indexed="10"/>
      </font>
    </dxf>
    <dxf>
      <font>
        <b/>
        <i val="0"/>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b/>
        <i val="0"/>
        <condense val="0"/>
        <extend val="0"/>
        <color indexed="12"/>
      </font>
    </dxf>
    <dxf>
      <font>
        <b/>
        <i val="0"/>
        <condense val="0"/>
        <extend val="0"/>
        <color indexed="10"/>
      </font>
    </dxf>
    <dxf>
      <font>
        <b/>
        <i val="0"/>
        <condense val="0"/>
        <extend val="0"/>
        <color indexed="10"/>
      </font>
    </dxf>
    <dxf>
      <font>
        <b/>
        <i val="0"/>
        <color rgb="FFFF0000"/>
      </font>
    </dxf>
    <dxf>
      <font>
        <b/>
        <i val="0"/>
        <condense val="0"/>
        <extend val="0"/>
        <color indexed="10"/>
      </font>
    </dxf>
  </dxfs>
  <tableStyles count="0" defaultTableStyle="TableStyleMedium9" defaultPivotStyle="PivotStyleLight16"/>
  <colors>
    <mruColors>
      <color rgb="FF0000FF"/>
      <color rgb="FFFFFF99"/>
      <color rgb="FF003366"/>
      <color rgb="FFCCFFFF"/>
      <color rgb="FF7030A0"/>
      <color rgb="FFD1979B"/>
      <color rgb="FFDBEEF4"/>
      <color rgb="FF969696"/>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Arial" pitchFamily="34" charset="0"/>
                <a:ea typeface="Calibri"/>
                <a:cs typeface="Arial" pitchFamily="34" charset="0"/>
              </a:defRPr>
            </a:pPr>
            <a:r>
              <a:rPr lang="en-US" sz="1800" u="none">
                <a:latin typeface="Arial" pitchFamily="34" charset="0"/>
                <a:cs typeface="Arial" pitchFamily="34" charset="0"/>
              </a:rPr>
              <a:t>Bode Plot </a:t>
            </a:r>
          </a:p>
        </c:rich>
      </c:tx>
      <c:layout>
        <c:manualLayout>
          <c:xMode val="edge"/>
          <c:yMode val="edge"/>
          <c:x val="0.10050639430091837"/>
          <c:y val="2.3290736067608779E-2"/>
        </c:manualLayout>
      </c:layout>
      <c:overlay val="0"/>
      <c:spPr>
        <a:noFill/>
        <a:ln w="25400">
          <a:noFill/>
        </a:ln>
      </c:spPr>
    </c:title>
    <c:autoTitleDeleted val="0"/>
    <c:plotArea>
      <c:layout>
        <c:manualLayout>
          <c:layoutTarget val="inner"/>
          <c:xMode val="edge"/>
          <c:yMode val="edge"/>
          <c:x val="8.6865550467700392E-2"/>
          <c:y val="0.11264619116931211"/>
          <c:w val="0.82929752780099952"/>
          <c:h val="0.76205184354221722"/>
        </c:manualLayout>
      </c:layout>
      <c:scatterChart>
        <c:scatterStyle val="smoothMarker"/>
        <c:varyColors val="0"/>
        <c:ser>
          <c:idx val="2"/>
          <c:order val="0"/>
          <c:tx>
            <c:v>Loop Gain</c:v>
          </c:tx>
          <c:spPr>
            <a:ln w="31750">
              <a:solidFill>
                <a:srgbClr val="FF0000"/>
              </a:solidFill>
              <a:prstDash val="solid"/>
            </a:ln>
          </c:spPr>
          <c:marker>
            <c:symbol val="none"/>
          </c:marker>
          <c:xVal>
            <c:numRef>
              <c:f>'Bode Plots Calculations'!$B$9:$B$676</c:f>
              <c:numCache>
                <c:formatCode>General</c:formatCode>
                <c:ptCount val="668"/>
                <c:pt idx="0">
                  <c:v>1E-3</c:v>
                </c:pt>
                <c:pt idx="1">
                  <c:v>2E-3</c:v>
                </c:pt>
                <c:pt idx="2">
                  <c:v>3.0000000000000001E-3</c:v>
                </c:pt>
                <c:pt idx="3">
                  <c:v>4.0000000000000001E-3</c:v>
                </c:pt>
                <c:pt idx="4">
                  <c:v>5.0000000000000001E-3</c:v>
                </c:pt>
                <c:pt idx="5">
                  <c:v>6.0000000000000001E-3</c:v>
                </c:pt>
                <c:pt idx="6">
                  <c:v>7.0000000000000001E-3</c:v>
                </c:pt>
                <c:pt idx="7">
                  <c:v>8.0000000000000002E-3</c:v>
                </c:pt>
                <c:pt idx="8">
                  <c:v>8.9999999999999993E-3</c:v>
                </c:pt>
                <c:pt idx="9">
                  <c:v>0.01</c:v>
                </c:pt>
                <c:pt idx="10">
                  <c:v>0.02</c:v>
                </c:pt>
                <c:pt idx="11">
                  <c:v>0.03</c:v>
                </c:pt>
                <c:pt idx="12">
                  <c:v>0.04</c:v>
                </c:pt>
                <c:pt idx="13">
                  <c:v>0.05</c:v>
                </c:pt>
                <c:pt idx="14">
                  <c:v>0.06</c:v>
                </c:pt>
                <c:pt idx="15">
                  <c:v>7.0000000000000007E-2</c:v>
                </c:pt>
                <c:pt idx="16">
                  <c:v>0.08</c:v>
                </c:pt>
                <c:pt idx="17">
                  <c:v>0.09</c:v>
                </c:pt>
                <c:pt idx="18">
                  <c:v>0.1</c:v>
                </c:pt>
                <c:pt idx="19">
                  <c:v>0.2</c:v>
                </c:pt>
                <c:pt idx="20">
                  <c:v>0.3</c:v>
                </c:pt>
                <c:pt idx="21">
                  <c:v>0.4</c:v>
                </c:pt>
                <c:pt idx="22">
                  <c:v>0.5</c:v>
                </c:pt>
                <c:pt idx="23">
                  <c:v>0.6</c:v>
                </c:pt>
                <c:pt idx="24">
                  <c:v>0.7</c:v>
                </c:pt>
                <c:pt idx="25">
                  <c:v>0.8</c:v>
                </c:pt>
                <c:pt idx="26">
                  <c:v>0.9</c:v>
                </c:pt>
                <c:pt idx="27">
                  <c:v>1</c:v>
                </c:pt>
                <c:pt idx="28">
                  <c:v>1.5</c:v>
                </c:pt>
                <c:pt idx="29">
                  <c:v>2</c:v>
                </c:pt>
                <c:pt idx="30">
                  <c:v>2.5</c:v>
                </c:pt>
                <c:pt idx="31">
                  <c:v>3</c:v>
                </c:pt>
                <c:pt idx="32">
                  <c:v>3.5</c:v>
                </c:pt>
                <c:pt idx="33">
                  <c:v>4</c:v>
                </c:pt>
                <c:pt idx="34">
                  <c:v>4.5</c:v>
                </c:pt>
                <c:pt idx="35">
                  <c:v>5</c:v>
                </c:pt>
                <c:pt idx="36">
                  <c:v>5.5</c:v>
                </c:pt>
                <c:pt idx="37">
                  <c:v>6</c:v>
                </c:pt>
                <c:pt idx="38">
                  <c:v>6.5</c:v>
                </c:pt>
                <c:pt idx="39">
                  <c:v>7</c:v>
                </c:pt>
                <c:pt idx="40">
                  <c:v>7.5</c:v>
                </c:pt>
                <c:pt idx="41">
                  <c:v>8</c:v>
                </c:pt>
                <c:pt idx="42">
                  <c:v>8.5</c:v>
                </c:pt>
                <c:pt idx="43">
                  <c:v>9</c:v>
                </c:pt>
                <c:pt idx="44">
                  <c:v>9.5</c:v>
                </c:pt>
                <c:pt idx="45">
                  <c:v>10</c:v>
                </c:pt>
                <c:pt idx="46">
                  <c:v>10.5</c:v>
                </c:pt>
                <c:pt idx="47">
                  <c:v>11</c:v>
                </c:pt>
                <c:pt idx="48">
                  <c:v>11.5</c:v>
                </c:pt>
                <c:pt idx="49">
                  <c:v>12</c:v>
                </c:pt>
                <c:pt idx="50">
                  <c:v>12.5</c:v>
                </c:pt>
                <c:pt idx="51">
                  <c:v>13</c:v>
                </c:pt>
                <c:pt idx="52">
                  <c:v>13.5</c:v>
                </c:pt>
                <c:pt idx="53">
                  <c:v>14</c:v>
                </c:pt>
                <c:pt idx="54">
                  <c:v>14.5</c:v>
                </c:pt>
                <c:pt idx="55">
                  <c:v>15</c:v>
                </c:pt>
                <c:pt idx="56">
                  <c:v>15.5</c:v>
                </c:pt>
                <c:pt idx="57">
                  <c:v>16</c:v>
                </c:pt>
                <c:pt idx="58">
                  <c:v>16.5</c:v>
                </c:pt>
                <c:pt idx="59">
                  <c:v>17</c:v>
                </c:pt>
                <c:pt idx="60">
                  <c:v>17.5</c:v>
                </c:pt>
                <c:pt idx="61">
                  <c:v>18</c:v>
                </c:pt>
                <c:pt idx="62">
                  <c:v>18.5</c:v>
                </c:pt>
                <c:pt idx="63">
                  <c:v>19</c:v>
                </c:pt>
                <c:pt idx="64">
                  <c:v>19.5</c:v>
                </c:pt>
                <c:pt idx="65">
                  <c:v>20</c:v>
                </c:pt>
                <c:pt idx="66">
                  <c:v>20.5</c:v>
                </c:pt>
                <c:pt idx="67">
                  <c:v>21</c:v>
                </c:pt>
                <c:pt idx="68">
                  <c:v>21.5</c:v>
                </c:pt>
                <c:pt idx="69">
                  <c:v>22</c:v>
                </c:pt>
                <c:pt idx="70">
                  <c:v>22.5</c:v>
                </c:pt>
                <c:pt idx="71">
                  <c:v>23</c:v>
                </c:pt>
                <c:pt idx="72">
                  <c:v>23.5</c:v>
                </c:pt>
                <c:pt idx="73">
                  <c:v>24</c:v>
                </c:pt>
                <c:pt idx="74">
                  <c:v>24.5</c:v>
                </c:pt>
                <c:pt idx="75">
                  <c:v>25</c:v>
                </c:pt>
                <c:pt idx="76">
                  <c:v>25.5</c:v>
                </c:pt>
                <c:pt idx="77">
                  <c:v>26</c:v>
                </c:pt>
                <c:pt idx="78">
                  <c:v>26.5</c:v>
                </c:pt>
                <c:pt idx="79">
                  <c:v>27</c:v>
                </c:pt>
                <c:pt idx="80">
                  <c:v>27.5</c:v>
                </c:pt>
                <c:pt idx="81">
                  <c:v>28</c:v>
                </c:pt>
                <c:pt idx="82">
                  <c:v>28.5</c:v>
                </c:pt>
                <c:pt idx="83">
                  <c:v>29</c:v>
                </c:pt>
                <c:pt idx="84">
                  <c:v>29.5</c:v>
                </c:pt>
                <c:pt idx="85">
                  <c:v>30</c:v>
                </c:pt>
                <c:pt idx="86">
                  <c:v>30.5</c:v>
                </c:pt>
                <c:pt idx="87">
                  <c:v>31</c:v>
                </c:pt>
                <c:pt idx="88">
                  <c:v>31.5</c:v>
                </c:pt>
                <c:pt idx="89">
                  <c:v>32</c:v>
                </c:pt>
                <c:pt idx="90">
                  <c:v>32.5</c:v>
                </c:pt>
                <c:pt idx="91">
                  <c:v>33</c:v>
                </c:pt>
                <c:pt idx="92">
                  <c:v>33.5</c:v>
                </c:pt>
                <c:pt idx="93">
                  <c:v>34</c:v>
                </c:pt>
                <c:pt idx="94">
                  <c:v>34.5</c:v>
                </c:pt>
                <c:pt idx="95">
                  <c:v>35</c:v>
                </c:pt>
                <c:pt idx="96">
                  <c:v>35.5</c:v>
                </c:pt>
                <c:pt idx="97">
                  <c:v>36</c:v>
                </c:pt>
                <c:pt idx="98">
                  <c:v>36.5</c:v>
                </c:pt>
                <c:pt idx="99">
                  <c:v>37</c:v>
                </c:pt>
                <c:pt idx="100">
                  <c:v>37.5</c:v>
                </c:pt>
                <c:pt idx="101">
                  <c:v>38</c:v>
                </c:pt>
                <c:pt idx="102">
                  <c:v>38.5</c:v>
                </c:pt>
                <c:pt idx="103">
                  <c:v>39</c:v>
                </c:pt>
                <c:pt idx="104">
                  <c:v>39.5</c:v>
                </c:pt>
                <c:pt idx="105">
                  <c:v>40</c:v>
                </c:pt>
                <c:pt idx="106">
                  <c:v>40.5</c:v>
                </c:pt>
                <c:pt idx="107">
                  <c:v>41</c:v>
                </c:pt>
                <c:pt idx="108">
                  <c:v>41.5</c:v>
                </c:pt>
                <c:pt idx="109">
                  <c:v>42</c:v>
                </c:pt>
                <c:pt idx="110">
                  <c:v>42.5</c:v>
                </c:pt>
                <c:pt idx="111">
                  <c:v>43</c:v>
                </c:pt>
                <c:pt idx="112">
                  <c:v>43.5</c:v>
                </c:pt>
                <c:pt idx="113">
                  <c:v>44</c:v>
                </c:pt>
                <c:pt idx="114">
                  <c:v>44.5</c:v>
                </c:pt>
                <c:pt idx="115">
                  <c:v>45</c:v>
                </c:pt>
                <c:pt idx="116">
                  <c:v>45.5</c:v>
                </c:pt>
                <c:pt idx="117">
                  <c:v>46</c:v>
                </c:pt>
                <c:pt idx="118">
                  <c:v>46.5</c:v>
                </c:pt>
                <c:pt idx="119">
                  <c:v>47</c:v>
                </c:pt>
                <c:pt idx="120">
                  <c:v>47.5</c:v>
                </c:pt>
                <c:pt idx="121">
                  <c:v>48</c:v>
                </c:pt>
                <c:pt idx="122">
                  <c:v>48.5</c:v>
                </c:pt>
                <c:pt idx="123">
                  <c:v>49</c:v>
                </c:pt>
                <c:pt idx="124">
                  <c:v>49.5</c:v>
                </c:pt>
                <c:pt idx="125">
                  <c:v>50</c:v>
                </c:pt>
                <c:pt idx="126">
                  <c:v>50.5</c:v>
                </c:pt>
                <c:pt idx="127">
                  <c:v>51</c:v>
                </c:pt>
                <c:pt idx="128">
                  <c:v>51.5</c:v>
                </c:pt>
                <c:pt idx="129">
                  <c:v>52</c:v>
                </c:pt>
                <c:pt idx="130">
                  <c:v>52.5</c:v>
                </c:pt>
                <c:pt idx="131">
                  <c:v>53</c:v>
                </c:pt>
                <c:pt idx="132">
                  <c:v>53.5</c:v>
                </c:pt>
                <c:pt idx="133">
                  <c:v>54</c:v>
                </c:pt>
                <c:pt idx="134">
                  <c:v>54.5</c:v>
                </c:pt>
                <c:pt idx="135">
                  <c:v>55</c:v>
                </c:pt>
                <c:pt idx="136">
                  <c:v>55.5</c:v>
                </c:pt>
                <c:pt idx="137">
                  <c:v>56</c:v>
                </c:pt>
                <c:pt idx="138">
                  <c:v>56.5</c:v>
                </c:pt>
                <c:pt idx="139">
                  <c:v>57</c:v>
                </c:pt>
                <c:pt idx="140">
                  <c:v>57.5</c:v>
                </c:pt>
                <c:pt idx="141">
                  <c:v>58</c:v>
                </c:pt>
                <c:pt idx="142">
                  <c:v>58.5</c:v>
                </c:pt>
                <c:pt idx="143">
                  <c:v>59</c:v>
                </c:pt>
                <c:pt idx="144">
                  <c:v>59.5</c:v>
                </c:pt>
                <c:pt idx="145">
                  <c:v>60</c:v>
                </c:pt>
                <c:pt idx="146">
                  <c:v>60.5</c:v>
                </c:pt>
                <c:pt idx="147">
                  <c:v>61</c:v>
                </c:pt>
                <c:pt idx="148">
                  <c:v>61.5</c:v>
                </c:pt>
                <c:pt idx="149">
                  <c:v>62</c:v>
                </c:pt>
                <c:pt idx="150">
                  <c:v>62.5</c:v>
                </c:pt>
                <c:pt idx="151">
                  <c:v>63</c:v>
                </c:pt>
                <c:pt idx="152">
                  <c:v>63.5</c:v>
                </c:pt>
                <c:pt idx="153">
                  <c:v>64</c:v>
                </c:pt>
                <c:pt idx="154">
                  <c:v>64.5</c:v>
                </c:pt>
                <c:pt idx="155">
                  <c:v>65</c:v>
                </c:pt>
                <c:pt idx="156">
                  <c:v>65.5</c:v>
                </c:pt>
                <c:pt idx="157">
                  <c:v>66</c:v>
                </c:pt>
                <c:pt idx="158">
                  <c:v>66.5</c:v>
                </c:pt>
                <c:pt idx="159">
                  <c:v>67</c:v>
                </c:pt>
                <c:pt idx="160">
                  <c:v>67.5</c:v>
                </c:pt>
                <c:pt idx="161">
                  <c:v>68</c:v>
                </c:pt>
                <c:pt idx="162">
                  <c:v>68.5</c:v>
                </c:pt>
                <c:pt idx="163">
                  <c:v>69</c:v>
                </c:pt>
                <c:pt idx="164">
                  <c:v>69.5</c:v>
                </c:pt>
                <c:pt idx="165">
                  <c:v>70</c:v>
                </c:pt>
                <c:pt idx="166">
                  <c:v>70.5</c:v>
                </c:pt>
                <c:pt idx="167">
                  <c:v>71</c:v>
                </c:pt>
                <c:pt idx="168">
                  <c:v>71.5</c:v>
                </c:pt>
                <c:pt idx="169">
                  <c:v>72</c:v>
                </c:pt>
                <c:pt idx="170">
                  <c:v>72.5</c:v>
                </c:pt>
                <c:pt idx="171">
                  <c:v>73</c:v>
                </c:pt>
                <c:pt idx="172">
                  <c:v>73.5</c:v>
                </c:pt>
                <c:pt idx="173">
                  <c:v>74</c:v>
                </c:pt>
                <c:pt idx="174">
                  <c:v>74.5</c:v>
                </c:pt>
                <c:pt idx="175">
                  <c:v>75</c:v>
                </c:pt>
                <c:pt idx="176">
                  <c:v>75.5</c:v>
                </c:pt>
                <c:pt idx="177">
                  <c:v>76</c:v>
                </c:pt>
                <c:pt idx="178">
                  <c:v>76.5</c:v>
                </c:pt>
                <c:pt idx="179">
                  <c:v>77</c:v>
                </c:pt>
                <c:pt idx="180">
                  <c:v>77.5</c:v>
                </c:pt>
                <c:pt idx="181">
                  <c:v>78</c:v>
                </c:pt>
                <c:pt idx="182">
                  <c:v>78.5</c:v>
                </c:pt>
                <c:pt idx="183">
                  <c:v>79</c:v>
                </c:pt>
                <c:pt idx="184">
                  <c:v>79.5</c:v>
                </c:pt>
                <c:pt idx="185">
                  <c:v>80</c:v>
                </c:pt>
                <c:pt idx="186">
                  <c:v>80.5</c:v>
                </c:pt>
                <c:pt idx="187">
                  <c:v>81</c:v>
                </c:pt>
                <c:pt idx="188">
                  <c:v>81.5</c:v>
                </c:pt>
                <c:pt idx="189">
                  <c:v>82</c:v>
                </c:pt>
                <c:pt idx="190">
                  <c:v>82.5</c:v>
                </c:pt>
                <c:pt idx="191">
                  <c:v>83</c:v>
                </c:pt>
                <c:pt idx="192">
                  <c:v>83.5</c:v>
                </c:pt>
                <c:pt idx="193">
                  <c:v>84</c:v>
                </c:pt>
                <c:pt idx="194">
                  <c:v>84.5</c:v>
                </c:pt>
                <c:pt idx="195">
                  <c:v>85</c:v>
                </c:pt>
                <c:pt idx="196">
                  <c:v>85.5</c:v>
                </c:pt>
                <c:pt idx="197">
                  <c:v>86</c:v>
                </c:pt>
                <c:pt idx="198">
                  <c:v>86.5</c:v>
                </c:pt>
                <c:pt idx="199">
                  <c:v>87</c:v>
                </c:pt>
                <c:pt idx="200">
                  <c:v>87.5</c:v>
                </c:pt>
                <c:pt idx="201">
                  <c:v>88</c:v>
                </c:pt>
                <c:pt idx="202">
                  <c:v>88.5</c:v>
                </c:pt>
                <c:pt idx="203">
                  <c:v>89</c:v>
                </c:pt>
                <c:pt idx="204">
                  <c:v>89.5</c:v>
                </c:pt>
                <c:pt idx="205">
                  <c:v>90</c:v>
                </c:pt>
                <c:pt idx="206">
                  <c:v>90.5</c:v>
                </c:pt>
                <c:pt idx="207">
                  <c:v>91</c:v>
                </c:pt>
                <c:pt idx="208">
                  <c:v>91.5</c:v>
                </c:pt>
                <c:pt idx="209">
                  <c:v>92</c:v>
                </c:pt>
                <c:pt idx="210">
                  <c:v>92.5</c:v>
                </c:pt>
                <c:pt idx="211">
                  <c:v>93</c:v>
                </c:pt>
                <c:pt idx="212">
                  <c:v>93.5</c:v>
                </c:pt>
                <c:pt idx="213">
                  <c:v>94</c:v>
                </c:pt>
                <c:pt idx="214">
                  <c:v>94.5</c:v>
                </c:pt>
                <c:pt idx="215">
                  <c:v>95</c:v>
                </c:pt>
                <c:pt idx="216">
                  <c:v>95.5</c:v>
                </c:pt>
                <c:pt idx="217">
                  <c:v>96</c:v>
                </c:pt>
                <c:pt idx="218">
                  <c:v>96.5</c:v>
                </c:pt>
                <c:pt idx="219">
                  <c:v>97</c:v>
                </c:pt>
                <c:pt idx="220">
                  <c:v>97.5</c:v>
                </c:pt>
                <c:pt idx="221">
                  <c:v>98</c:v>
                </c:pt>
                <c:pt idx="222">
                  <c:v>98.5</c:v>
                </c:pt>
                <c:pt idx="223">
                  <c:v>99</c:v>
                </c:pt>
                <c:pt idx="224">
                  <c:v>99.5</c:v>
                </c:pt>
                <c:pt idx="225">
                  <c:v>100</c:v>
                </c:pt>
                <c:pt idx="226">
                  <c:v>105</c:v>
                </c:pt>
                <c:pt idx="227">
                  <c:v>110</c:v>
                </c:pt>
                <c:pt idx="228">
                  <c:v>115</c:v>
                </c:pt>
                <c:pt idx="229">
                  <c:v>120</c:v>
                </c:pt>
                <c:pt idx="230">
                  <c:v>125</c:v>
                </c:pt>
                <c:pt idx="231">
                  <c:v>130</c:v>
                </c:pt>
                <c:pt idx="232">
                  <c:v>135</c:v>
                </c:pt>
                <c:pt idx="233">
                  <c:v>140</c:v>
                </c:pt>
                <c:pt idx="234">
                  <c:v>145</c:v>
                </c:pt>
                <c:pt idx="235">
                  <c:v>150</c:v>
                </c:pt>
                <c:pt idx="236">
                  <c:v>155</c:v>
                </c:pt>
                <c:pt idx="237">
                  <c:v>160</c:v>
                </c:pt>
                <c:pt idx="238">
                  <c:v>165</c:v>
                </c:pt>
                <c:pt idx="239">
                  <c:v>170</c:v>
                </c:pt>
                <c:pt idx="240">
                  <c:v>175</c:v>
                </c:pt>
                <c:pt idx="241">
                  <c:v>180</c:v>
                </c:pt>
                <c:pt idx="242">
                  <c:v>185</c:v>
                </c:pt>
                <c:pt idx="243">
                  <c:v>190</c:v>
                </c:pt>
                <c:pt idx="244">
                  <c:v>195</c:v>
                </c:pt>
                <c:pt idx="245">
                  <c:v>200</c:v>
                </c:pt>
                <c:pt idx="246">
                  <c:v>205</c:v>
                </c:pt>
                <c:pt idx="247">
                  <c:v>210</c:v>
                </c:pt>
                <c:pt idx="248">
                  <c:v>215</c:v>
                </c:pt>
                <c:pt idx="249">
                  <c:v>220</c:v>
                </c:pt>
                <c:pt idx="250">
                  <c:v>225</c:v>
                </c:pt>
                <c:pt idx="251">
                  <c:v>230</c:v>
                </c:pt>
                <c:pt idx="252">
                  <c:v>235</c:v>
                </c:pt>
                <c:pt idx="253">
                  <c:v>240</c:v>
                </c:pt>
                <c:pt idx="254">
                  <c:v>245</c:v>
                </c:pt>
                <c:pt idx="255">
                  <c:v>250</c:v>
                </c:pt>
                <c:pt idx="256">
                  <c:v>255</c:v>
                </c:pt>
                <c:pt idx="257">
                  <c:v>260</c:v>
                </c:pt>
                <c:pt idx="258">
                  <c:v>265</c:v>
                </c:pt>
                <c:pt idx="259">
                  <c:v>270</c:v>
                </c:pt>
                <c:pt idx="260">
                  <c:v>275</c:v>
                </c:pt>
                <c:pt idx="261">
                  <c:v>280</c:v>
                </c:pt>
                <c:pt idx="262">
                  <c:v>285</c:v>
                </c:pt>
                <c:pt idx="263">
                  <c:v>290</c:v>
                </c:pt>
                <c:pt idx="264">
                  <c:v>295</c:v>
                </c:pt>
                <c:pt idx="265">
                  <c:v>300</c:v>
                </c:pt>
                <c:pt idx="266">
                  <c:v>305</c:v>
                </c:pt>
                <c:pt idx="267">
                  <c:v>310</c:v>
                </c:pt>
                <c:pt idx="268">
                  <c:v>315</c:v>
                </c:pt>
                <c:pt idx="269">
                  <c:v>320</c:v>
                </c:pt>
                <c:pt idx="270">
                  <c:v>325</c:v>
                </c:pt>
                <c:pt idx="271">
                  <c:v>330</c:v>
                </c:pt>
                <c:pt idx="272">
                  <c:v>335</c:v>
                </c:pt>
                <c:pt idx="273">
                  <c:v>340</c:v>
                </c:pt>
                <c:pt idx="274">
                  <c:v>345</c:v>
                </c:pt>
                <c:pt idx="275">
                  <c:v>350</c:v>
                </c:pt>
                <c:pt idx="276">
                  <c:v>355</c:v>
                </c:pt>
                <c:pt idx="277">
                  <c:v>360</c:v>
                </c:pt>
                <c:pt idx="278">
                  <c:v>365</c:v>
                </c:pt>
                <c:pt idx="279">
                  <c:v>370</c:v>
                </c:pt>
                <c:pt idx="280">
                  <c:v>375</c:v>
                </c:pt>
                <c:pt idx="281">
                  <c:v>380</c:v>
                </c:pt>
                <c:pt idx="282">
                  <c:v>385</c:v>
                </c:pt>
                <c:pt idx="283">
                  <c:v>390</c:v>
                </c:pt>
                <c:pt idx="284">
                  <c:v>395</c:v>
                </c:pt>
                <c:pt idx="285">
                  <c:v>400</c:v>
                </c:pt>
                <c:pt idx="286">
                  <c:v>405</c:v>
                </c:pt>
                <c:pt idx="287">
                  <c:v>410</c:v>
                </c:pt>
                <c:pt idx="288">
                  <c:v>415</c:v>
                </c:pt>
                <c:pt idx="289">
                  <c:v>420</c:v>
                </c:pt>
                <c:pt idx="290">
                  <c:v>425</c:v>
                </c:pt>
                <c:pt idx="291">
                  <c:v>430</c:v>
                </c:pt>
                <c:pt idx="292">
                  <c:v>435</c:v>
                </c:pt>
                <c:pt idx="293">
                  <c:v>440</c:v>
                </c:pt>
                <c:pt idx="294">
                  <c:v>445</c:v>
                </c:pt>
                <c:pt idx="295">
                  <c:v>450</c:v>
                </c:pt>
                <c:pt idx="296">
                  <c:v>455</c:v>
                </c:pt>
                <c:pt idx="297">
                  <c:v>460</c:v>
                </c:pt>
                <c:pt idx="298">
                  <c:v>465</c:v>
                </c:pt>
                <c:pt idx="299">
                  <c:v>470</c:v>
                </c:pt>
                <c:pt idx="300">
                  <c:v>475</c:v>
                </c:pt>
                <c:pt idx="301">
                  <c:v>480</c:v>
                </c:pt>
                <c:pt idx="302">
                  <c:v>485</c:v>
                </c:pt>
                <c:pt idx="303">
                  <c:v>490</c:v>
                </c:pt>
                <c:pt idx="304">
                  <c:v>495</c:v>
                </c:pt>
                <c:pt idx="305">
                  <c:v>500</c:v>
                </c:pt>
                <c:pt idx="306">
                  <c:v>505</c:v>
                </c:pt>
                <c:pt idx="307">
                  <c:v>510</c:v>
                </c:pt>
                <c:pt idx="308">
                  <c:v>515</c:v>
                </c:pt>
                <c:pt idx="309">
                  <c:v>520</c:v>
                </c:pt>
                <c:pt idx="310">
                  <c:v>525</c:v>
                </c:pt>
                <c:pt idx="311">
                  <c:v>530</c:v>
                </c:pt>
                <c:pt idx="312">
                  <c:v>535</c:v>
                </c:pt>
                <c:pt idx="313">
                  <c:v>540</c:v>
                </c:pt>
                <c:pt idx="314">
                  <c:v>545</c:v>
                </c:pt>
                <c:pt idx="315">
                  <c:v>550</c:v>
                </c:pt>
                <c:pt idx="316">
                  <c:v>555</c:v>
                </c:pt>
                <c:pt idx="317">
                  <c:v>560</c:v>
                </c:pt>
                <c:pt idx="318">
                  <c:v>565</c:v>
                </c:pt>
                <c:pt idx="319">
                  <c:v>570</c:v>
                </c:pt>
                <c:pt idx="320">
                  <c:v>575</c:v>
                </c:pt>
                <c:pt idx="321">
                  <c:v>580</c:v>
                </c:pt>
                <c:pt idx="322">
                  <c:v>585</c:v>
                </c:pt>
                <c:pt idx="323">
                  <c:v>590</c:v>
                </c:pt>
                <c:pt idx="324">
                  <c:v>595</c:v>
                </c:pt>
                <c:pt idx="325">
                  <c:v>600</c:v>
                </c:pt>
                <c:pt idx="326">
                  <c:v>605</c:v>
                </c:pt>
                <c:pt idx="327">
                  <c:v>610</c:v>
                </c:pt>
                <c:pt idx="328">
                  <c:v>615</c:v>
                </c:pt>
                <c:pt idx="329">
                  <c:v>620</c:v>
                </c:pt>
                <c:pt idx="330">
                  <c:v>625</c:v>
                </c:pt>
                <c:pt idx="331">
                  <c:v>630</c:v>
                </c:pt>
                <c:pt idx="332">
                  <c:v>635</c:v>
                </c:pt>
                <c:pt idx="333">
                  <c:v>640</c:v>
                </c:pt>
                <c:pt idx="334">
                  <c:v>645</c:v>
                </c:pt>
                <c:pt idx="335">
                  <c:v>650</c:v>
                </c:pt>
                <c:pt idx="336">
                  <c:v>655</c:v>
                </c:pt>
                <c:pt idx="337">
                  <c:v>660</c:v>
                </c:pt>
                <c:pt idx="338">
                  <c:v>665</c:v>
                </c:pt>
                <c:pt idx="339">
                  <c:v>670</c:v>
                </c:pt>
                <c:pt idx="340">
                  <c:v>675</c:v>
                </c:pt>
                <c:pt idx="341">
                  <c:v>680</c:v>
                </c:pt>
                <c:pt idx="342">
                  <c:v>685</c:v>
                </c:pt>
                <c:pt idx="343">
                  <c:v>690</c:v>
                </c:pt>
                <c:pt idx="344">
                  <c:v>695</c:v>
                </c:pt>
                <c:pt idx="345">
                  <c:v>700</c:v>
                </c:pt>
                <c:pt idx="346">
                  <c:v>705</c:v>
                </c:pt>
                <c:pt idx="347">
                  <c:v>710</c:v>
                </c:pt>
                <c:pt idx="348">
                  <c:v>715</c:v>
                </c:pt>
                <c:pt idx="349">
                  <c:v>720</c:v>
                </c:pt>
                <c:pt idx="350">
                  <c:v>725</c:v>
                </c:pt>
                <c:pt idx="351">
                  <c:v>730</c:v>
                </c:pt>
                <c:pt idx="352">
                  <c:v>735</c:v>
                </c:pt>
                <c:pt idx="353">
                  <c:v>740</c:v>
                </c:pt>
                <c:pt idx="354">
                  <c:v>745</c:v>
                </c:pt>
                <c:pt idx="355">
                  <c:v>750</c:v>
                </c:pt>
                <c:pt idx="356">
                  <c:v>755</c:v>
                </c:pt>
                <c:pt idx="357">
                  <c:v>760</c:v>
                </c:pt>
                <c:pt idx="358">
                  <c:v>765</c:v>
                </c:pt>
                <c:pt idx="359">
                  <c:v>770</c:v>
                </c:pt>
                <c:pt idx="360">
                  <c:v>775</c:v>
                </c:pt>
                <c:pt idx="361">
                  <c:v>780</c:v>
                </c:pt>
                <c:pt idx="362">
                  <c:v>785</c:v>
                </c:pt>
                <c:pt idx="363">
                  <c:v>790</c:v>
                </c:pt>
                <c:pt idx="364">
                  <c:v>795</c:v>
                </c:pt>
                <c:pt idx="365">
                  <c:v>800</c:v>
                </c:pt>
                <c:pt idx="366">
                  <c:v>805</c:v>
                </c:pt>
                <c:pt idx="367">
                  <c:v>810</c:v>
                </c:pt>
                <c:pt idx="368">
                  <c:v>815</c:v>
                </c:pt>
                <c:pt idx="369">
                  <c:v>820</c:v>
                </c:pt>
                <c:pt idx="370">
                  <c:v>825</c:v>
                </c:pt>
                <c:pt idx="371">
                  <c:v>830</c:v>
                </c:pt>
                <c:pt idx="372">
                  <c:v>835</c:v>
                </c:pt>
                <c:pt idx="373">
                  <c:v>840</c:v>
                </c:pt>
                <c:pt idx="374">
                  <c:v>845</c:v>
                </c:pt>
                <c:pt idx="375">
                  <c:v>850</c:v>
                </c:pt>
                <c:pt idx="376">
                  <c:v>855</c:v>
                </c:pt>
                <c:pt idx="377">
                  <c:v>860</c:v>
                </c:pt>
                <c:pt idx="378">
                  <c:v>865</c:v>
                </c:pt>
                <c:pt idx="379">
                  <c:v>870</c:v>
                </c:pt>
                <c:pt idx="380">
                  <c:v>875</c:v>
                </c:pt>
                <c:pt idx="381">
                  <c:v>880</c:v>
                </c:pt>
                <c:pt idx="382">
                  <c:v>885</c:v>
                </c:pt>
                <c:pt idx="383">
                  <c:v>890</c:v>
                </c:pt>
                <c:pt idx="384">
                  <c:v>895</c:v>
                </c:pt>
                <c:pt idx="385">
                  <c:v>900</c:v>
                </c:pt>
                <c:pt idx="386">
                  <c:v>905</c:v>
                </c:pt>
                <c:pt idx="387">
                  <c:v>910</c:v>
                </c:pt>
                <c:pt idx="388">
                  <c:v>915</c:v>
                </c:pt>
                <c:pt idx="389">
                  <c:v>920</c:v>
                </c:pt>
                <c:pt idx="390">
                  <c:v>925</c:v>
                </c:pt>
                <c:pt idx="391">
                  <c:v>930</c:v>
                </c:pt>
                <c:pt idx="392">
                  <c:v>935</c:v>
                </c:pt>
                <c:pt idx="393">
                  <c:v>940</c:v>
                </c:pt>
                <c:pt idx="394">
                  <c:v>945</c:v>
                </c:pt>
                <c:pt idx="395">
                  <c:v>950</c:v>
                </c:pt>
                <c:pt idx="396">
                  <c:v>955</c:v>
                </c:pt>
                <c:pt idx="397">
                  <c:v>960</c:v>
                </c:pt>
                <c:pt idx="398">
                  <c:v>965</c:v>
                </c:pt>
                <c:pt idx="399">
                  <c:v>970</c:v>
                </c:pt>
                <c:pt idx="400">
                  <c:v>975</c:v>
                </c:pt>
                <c:pt idx="401">
                  <c:v>980</c:v>
                </c:pt>
                <c:pt idx="402">
                  <c:v>985</c:v>
                </c:pt>
                <c:pt idx="403">
                  <c:v>990</c:v>
                </c:pt>
                <c:pt idx="404">
                  <c:v>995</c:v>
                </c:pt>
                <c:pt idx="405">
                  <c:v>1000</c:v>
                </c:pt>
                <c:pt idx="406">
                  <c:v>1005</c:v>
                </c:pt>
                <c:pt idx="407">
                  <c:v>1010</c:v>
                </c:pt>
                <c:pt idx="408">
                  <c:v>1015</c:v>
                </c:pt>
                <c:pt idx="409">
                  <c:v>1020</c:v>
                </c:pt>
                <c:pt idx="410">
                  <c:v>1025</c:v>
                </c:pt>
                <c:pt idx="411">
                  <c:v>1030</c:v>
                </c:pt>
                <c:pt idx="412">
                  <c:v>1035</c:v>
                </c:pt>
                <c:pt idx="413">
                  <c:v>1040</c:v>
                </c:pt>
                <c:pt idx="414">
                  <c:v>1045</c:v>
                </c:pt>
                <c:pt idx="415">
                  <c:v>1050</c:v>
                </c:pt>
                <c:pt idx="416">
                  <c:v>1055</c:v>
                </c:pt>
                <c:pt idx="417">
                  <c:v>1060</c:v>
                </c:pt>
                <c:pt idx="418">
                  <c:v>1065</c:v>
                </c:pt>
                <c:pt idx="419">
                  <c:v>1070</c:v>
                </c:pt>
                <c:pt idx="420">
                  <c:v>1075</c:v>
                </c:pt>
                <c:pt idx="421">
                  <c:v>1080</c:v>
                </c:pt>
                <c:pt idx="422">
                  <c:v>1085</c:v>
                </c:pt>
                <c:pt idx="423">
                  <c:v>1090</c:v>
                </c:pt>
                <c:pt idx="424">
                  <c:v>1095</c:v>
                </c:pt>
                <c:pt idx="425">
                  <c:v>1100</c:v>
                </c:pt>
                <c:pt idx="426">
                  <c:v>1105</c:v>
                </c:pt>
                <c:pt idx="427">
                  <c:v>1110</c:v>
                </c:pt>
                <c:pt idx="428">
                  <c:v>1115</c:v>
                </c:pt>
                <c:pt idx="429">
                  <c:v>1120</c:v>
                </c:pt>
                <c:pt idx="430">
                  <c:v>1125</c:v>
                </c:pt>
                <c:pt idx="431">
                  <c:v>1130</c:v>
                </c:pt>
                <c:pt idx="432">
                  <c:v>1135</c:v>
                </c:pt>
                <c:pt idx="433">
                  <c:v>1140</c:v>
                </c:pt>
                <c:pt idx="434">
                  <c:v>1145</c:v>
                </c:pt>
                <c:pt idx="435">
                  <c:v>1150</c:v>
                </c:pt>
                <c:pt idx="436">
                  <c:v>1155</c:v>
                </c:pt>
                <c:pt idx="437">
                  <c:v>1160</c:v>
                </c:pt>
                <c:pt idx="438">
                  <c:v>1165</c:v>
                </c:pt>
                <c:pt idx="439">
                  <c:v>1170</c:v>
                </c:pt>
                <c:pt idx="440">
                  <c:v>1175</c:v>
                </c:pt>
                <c:pt idx="441">
                  <c:v>1180</c:v>
                </c:pt>
                <c:pt idx="442">
                  <c:v>1185</c:v>
                </c:pt>
                <c:pt idx="443">
                  <c:v>1190</c:v>
                </c:pt>
                <c:pt idx="444">
                  <c:v>1195</c:v>
                </c:pt>
                <c:pt idx="445">
                  <c:v>1200</c:v>
                </c:pt>
                <c:pt idx="446">
                  <c:v>1205</c:v>
                </c:pt>
                <c:pt idx="447">
                  <c:v>1210</c:v>
                </c:pt>
                <c:pt idx="448">
                  <c:v>1215</c:v>
                </c:pt>
                <c:pt idx="449">
                  <c:v>1220</c:v>
                </c:pt>
                <c:pt idx="450">
                  <c:v>1225</c:v>
                </c:pt>
                <c:pt idx="451">
                  <c:v>1230</c:v>
                </c:pt>
                <c:pt idx="452">
                  <c:v>1235</c:v>
                </c:pt>
                <c:pt idx="453">
                  <c:v>1240</c:v>
                </c:pt>
                <c:pt idx="454">
                  <c:v>1245</c:v>
                </c:pt>
                <c:pt idx="455">
                  <c:v>1250</c:v>
                </c:pt>
                <c:pt idx="456">
                  <c:v>1255</c:v>
                </c:pt>
                <c:pt idx="457">
                  <c:v>1260</c:v>
                </c:pt>
                <c:pt idx="458">
                  <c:v>1265</c:v>
                </c:pt>
                <c:pt idx="459">
                  <c:v>1270</c:v>
                </c:pt>
                <c:pt idx="460">
                  <c:v>1275</c:v>
                </c:pt>
                <c:pt idx="461">
                  <c:v>1280</c:v>
                </c:pt>
                <c:pt idx="462">
                  <c:v>1285</c:v>
                </c:pt>
                <c:pt idx="463">
                  <c:v>1290</c:v>
                </c:pt>
                <c:pt idx="464">
                  <c:v>1295</c:v>
                </c:pt>
                <c:pt idx="465">
                  <c:v>1300</c:v>
                </c:pt>
                <c:pt idx="466">
                  <c:v>1305</c:v>
                </c:pt>
                <c:pt idx="467">
                  <c:v>1310</c:v>
                </c:pt>
                <c:pt idx="468">
                  <c:v>1315</c:v>
                </c:pt>
                <c:pt idx="469">
                  <c:v>1320</c:v>
                </c:pt>
                <c:pt idx="470">
                  <c:v>1325</c:v>
                </c:pt>
                <c:pt idx="471">
                  <c:v>1330</c:v>
                </c:pt>
                <c:pt idx="472">
                  <c:v>1335</c:v>
                </c:pt>
                <c:pt idx="473">
                  <c:v>1340</c:v>
                </c:pt>
                <c:pt idx="474">
                  <c:v>1345</c:v>
                </c:pt>
                <c:pt idx="475">
                  <c:v>1350</c:v>
                </c:pt>
                <c:pt idx="476">
                  <c:v>1355</c:v>
                </c:pt>
                <c:pt idx="477">
                  <c:v>1360</c:v>
                </c:pt>
                <c:pt idx="478">
                  <c:v>1365</c:v>
                </c:pt>
                <c:pt idx="479">
                  <c:v>1370</c:v>
                </c:pt>
                <c:pt idx="480">
                  <c:v>1375</c:v>
                </c:pt>
                <c:pt idx="481">
                  <c:v>1380</c:v>
                </c:pt>
                <c:pt idx="482">
                  <c:v>1385</c:v>
                </c:pt>
                <c:pt idx="483">
                  <c:v>1390</c:v>
                </c:pt>
                <c:pt idx="484">
                  <c:v>1395</c:v>
                </c:pt>
                <c:pt idx="485">
                  <c:v>1400</c:v>
                </c:pt>
                <c:pt idx="486">
                  <c:v>1405</c:v>
                </c:pt>
                <c:pt idx="487">
                  <c:v>1410</c:v>
                </c:pt>
                <c:pt idx="488">
                  <c:v>1415</c:v>
                </c:pt>
                <c:pt idx="489">
                  <c:v>1420</c:v>
                </c:pt>
                <c:pt idx="490">
                  <c:v>1425</c:v>
                </c:pt>
                <c:pt idx="491">
                  <c:v>1430</c:v>
                </c:pt>
                <c:pt idx="492">
                  <c:v>1435</c:v>
                </c:pt>
                <c:pt idx="493">
                  <c:v>1440</c:v>
                </c:pt>
                <c:pt idx="494">
                  <c:v>1445</c:v>
                </c:pt>
                <c:pt idx="495">
                  <c:v>1450</c:v>
                </c:pt>
                <c:pt idx="496">
                  <c:v>1455</c:v>
                </c:pt>
                <c:pt idx="497">
                  <c:v>1460</c:v>
                </c:pt>
                <c:pt idx="498">
                  <c:v>1465</c:v>
                </c:pt>
                <c:pt idx="499">
                  <c:v>1470</c:v>
                </c:pt>
                <c:pt idx="500">
                  <c:v>1475</c:v>
                </c:pt>
                <c:pt idx="501">
                  <c:v>1480</c:v>
                </c:pt>
                <c:pt idx="502">
                  <c:v>1485</c:v>
                </c:pt>
                <c:pt idx="503">
                  <c:v>1490</c:v>
                </c:pt>
                <c:pt idx="504">
                  <c:v>1495</c:v>
                </c:pt>
                <c:pt idx="505">
                  <c:v>1500</c:v>
                </c:pt>
                <c:pt idx="506">
                  <c:v>1505</c:v>
                </c:pt>
                <c:pt idx="507">
                  <c:v>1510</c:v>
                </c:pt>
                <c:pt idx="508">
                  <c:v>1515</c:v>
                </c:pt>
                <c:pt idx="509">
                  <c:v>1520</c:v>
                </c:pt>
                <c:pt idx="510">
                  <c:v>1525</c:v>
                </c:pt>
                <c:pt idx="511">
                  <c:v>1530</c:v>
                </c:pt>
                <c:pt idx="512">
                  <c:v>1535</c:v>
                </c:pt>
                <c:pt idx="513">
                  <c:v>1540</c:v>
                </c:pt>
                <c:pt idx="514">
                  <c:v>1545</c:v>
                </c:pt>
                <c:pt idx="515">
                  <c:v>1550</c:v>
                </c:pt>
                <c:pt idx="516">
                  <c:v>1555</c:v>
                </c:pt>
                <c:pt idx="517">
                  <c:v>1560</c:v>
                </c:pt>
                <c:pt idx="518">
                  <c:v>1565</c:v>
                </c:pt>
                <c:pt idx="519">
                  <c:v>1570</c:v>
                </c:pt>
                <c:pt idx="520">
                  <c:v>1575</c:v>
                </c:pt>
                <c:pt idx="521">
                  <c:v>1580</c:v>
                </c:pt>
                <c:pt idx="522">
                  <c:v>1585</c:v>
                </c:pt>
                <c:pt idx="523">
                  <c:v>1590</c:v>
                </c:pt>
                <c:pt idx="524">
                  <c:v>1595</c:v>
                </c:pt>
                <c:pt idx="525">
                  <c:v>1600</c:v>
                </c:pt>
                <c:pt idx="526">
                  <c:v>1605</c:v>
                </c:pt>
                <c:pt idx="527">
                  <c:v>1610</c:v>
                </c:pt>
                <c:pt idx="528">
                  <c:v>1615</c:v>
                </c:pt>
                <c:pt idx="529">
                  <c:v>1620</c:v>
                </c:pt>
                <c:pt idx="530">
                  <c:v>1625</c:v>
                </c:pt>
                <c:pt idx="531">
                  <c:v>1630</c:v>
                </c:pt>
                <c:pt idx="532">
                  <c:v>1635</c:v>
                </c:pt>
                <c:pt idx="533">
                  <c:v>1640</c:v>
                </c:pt>
                <c:pt idx="534">
                  <c:v>1645</c:v>
                </c:pt>
                <c:pt idx="535">
                  <c:v>1650</c:v>
                </c:pt>
                <c:pt idx="536">
                  <c:v>1655</c:v>
                </c:pt>
                <c:pt idx="537">
                  <c:v>1660</c:v>
                </c:pt>
                <c:pt idx="538">
                  <c:v>1665</c:v>
                </c:pt>
                <c:pt idx="539">
                  <c:v>1670</c:v>
                </c:pt>
                <c:pt idx="540">
                  <c:v>1675</c:v>
                </c:pt>
                <c:pt idx="541">
                  <c:v>1680</c:v>
                </c:pt>
                <c:pt idx="542">
                  <c:v>1685</c:v>
                </c:pt>
                <c:pt idx="543">
                  <c:v>1690</c:v>
                </c:pt>
                <c:pt idx="544">
                  <c:v>1695</c:v>
                </c:pt>
                <c:pt idx="545">
                  <c:v>1700</c:v>
                </c:pt>
                <c:pt idx="546">
                  <c:v>1705</c:v>
                </c:pt>
                <c:pt idx="547">
                  <c:v>1710</c:v>
                </c:pt>
                <c:pt idx="548">
                  <c:v>1715</c:v>
                </c:pt>
                <c:pt idx="549">
                  <c:v>1720</c:v>
                </c:pt>
                <c:pt idx="550">
                  <c:v>1725</c:v>
                </c:pt>
                <c:pt idx="551">
                  <c:v>1730</c:v>
                </c:pt>
                <c:pt idx="552">
                  <c:v>1735</c:v>
                </c:pt>
                <c:pt idx="553">
                  <c:v>1740</c:v>
                </c:pt>
                <c:pt idx="554">
                  <c:v>1745</c:v>
                </c:pt>
                <c:pt idx="555">
                  <c:v>1750</c:v>
                </c:pt>
                <c:pt idx="556">
                  <c:v>1755</c:v>
                </c:pt>
                <c:pt idx="557">
                  <c:v>1760</c:v>
                </c:pt>
                <c:pt idx="558">
                  <c:v>1765</c:v>
                </c:pt>
                <c:pt idx="559">
                  <c:v>1770</c:v>
                </c:pt>
                <c:pt idx="560">
                  <c:v>1775</c:v>
                </c:pt>
                <c:pt idx="561">
                  <c:v>1780</c:v>
                </c:pt>
                <c:pt idx="562">
                  <c:v>1785</c:v>
                </c:pt>
                <c:pt idx="563">
                  <c:v>1790</c:v>
                </c:pt>
                <c:pt idx="564">
                  <c:v>1795</c:v>
                </c:pt>
                <c:pt idx="565">
                  <c:v>1800</c:v>
                </c:pt>
                <c:pt idx="566">
                  <c:v>1805</c:v>
                </c:pt>
                <c:pt idx="567">
                  <c:v>1810</c:v>
                </c:pt>
                <c:pt idx="568">
                  <c:v>1815</c:v>
                </c:pt>
                <c:pt idx="569">
                  <c:v>1820</c:v>
                </c:pt>
                <c:pt idx="570">
                  <c:v>1825</c:v>
                </c:pt>
                <c:pt idx="571">
                  <c:v>1830</c:v>
                </c:pt>
                <c:pt idx="572">
                  <c:v>1835</c:v>
                </c:pt>
                <c:pt idx="573">
                  <c:v>1840</c:v>
                </c:pt>
                <c:pt idx="574">
                  <c:v>1845</c:v>
                </c:pt>
                <c:pt idx="575">
                  <c:v>1850</c:v>
                </c:pt>
                <c:pt idx="576">
                  <c:v>1855</c:v>
                </c:pt>
                <c:pt idx="577">
                  <c:v>1860</c:v>
                </c:pt>
                <c:pt idx="578">
                  <c:v>1865</c:v>
                </c:pt>
                <c:pt idx="579">
                  <c:v>1870</c:v>
                </c:pt>
                <c:pt idx="580">
                  <c:v>1875</c:v>
                </c:pt>
                <c:pt idx="581">
                  <c:v>1880</c:v>
                </c:pt>
                <c:pt idx="582">
                  <c:v>1885</c:v>
                </c:pt>
                <c:pt idx="583">
                  <c:v>1890</c:v>
                </c:pt>
                <c:pt idx="584">
                  <c:v>1895</c:v>
                </c:pt>
                <c:pt idx="585">
                  <c:v>1900</c:v>
                </c:pt>
                <c:pt idx="586">
                  <c:v>1905</c:v>
                </c:pt>
                <c:pt idx="587">
                  <c:v>1910</c:v>
                </c:pt>
                <c:pt idx="588">
                  <c:v>1915</c:v>
                </c:pt>
                <c:pt idx="589">
                  <c:v>1920</c:v>
                </c:pt>
                <c:pt idx="590">
                  <c:v>1925</c:v>
                </c:pt>
                <c:pt idx="591">
                  <c:v>1930</c:v>
                </c:pt>
                <c:pt idx="592">
                  <c:v>1935</c:v>
                </c:pt>
                <c:pt idx="593">
                  <c:v>1940</c:v>
                </c:pt>
                <c:pt idx="594">
                  <c:v>1945</c:v>
                </c:pt>
                <c:pt idx="595">
                  <c:v>1950</c:v>
                </c:pt>
                <c:pt idx="596">
                  <c:v>1955</c:v>
                </c:pt>
                <c:pt idx="597">
                  <c:v>1960</c:v>
                </c:pt>
                <c:pt idx="598">
                  <c:v>1965</c:v>
                </c:pt>
                <c:pt idx="599">
                  <c:v>1970</c:v>
                </c:pt>
                <c:pt idx="600">
                  <c:v>1975</c:v>
                </c:pt>
                <c:pt idx="601">
                  <c:v>1980</c:v>
                </c:pt>
                <c:pt idx="602">
                  <c:v>1985</c:v>
                </c:pt>
                <c:pt idx="603">
                  <c:v>1990</c:v>
                </c:pt>
                <c:pt idx="604">
                  <c:v>1995</c:v>
                </c:pt>
                <c:pt idx="605">
                  <c:v>2000</c:v>
                </c:pt>
                <c:pt idx="606">
                  <c:v>2250</c:v>
                </c:pt>
                <c:pt idx="607">
                  <c:v>2500</c:v>
                </c:pt>
                <c:pt idx="608">
                  <c:v>2750</c:v>
                </c:pt>
                <c:pt idx="609">
                  <c:v>3000</c:v>
                </c:pt>
                <c:pt idx="610">
                  <c:v>3250</c:v>
                </c:pt>
                <c:pt idx="611">
                  <c:v>3500</c:v>
                </c:pt>
                <c:pt idx="612">
                  <c:v>3750</c:v>
                </c:pt>
                <c:pt idx="613">
                  <c:v>4000</c:v>
                </c:pt>
                <c:pt idx="614">
                  <c:v>4250</c:v>
                </c:pt>
                <c:pt idx="615">
                  <c:v>4500</c:v>
                </c:pt>
                <c:pt idx="616">
                  <c:v>4750</c:v>
                </c:pt>
                <c:pt idx="617">
                  <c:v>5000</c:v>
                </c:pt>
                <c:pt idx="618">
                  <c:v>5100</c:v>
                </c:pt>
                <c:pt idx="619">
                  <c:v>5200</c:v>
                </c:pt>
                <c:pt idx="620">
                  <c:v>5300</c:v>
                </c:pt>
                <c:pt idx="621">
                  <c:v>5400</c:v>
                </c:pt>
                <c:pt idx="622">
                  <c:v>5500</c:v>
                </c:pt>
                <c:pt idx="623">
                  <c:v>5600</c:v>
                </c:pt>
                <c:pt idx="624">
                  <c:v>5700</c:v>
                </c:pt>
                <c:pt idx="625">
                  <c:v>5800</c:v>
                </c:pt>
                <c:pt idx="626">
                  <c:v>5900</c:v>
                </c:pt>
                <c:pt idx="627">
                  <c:v>6000</c:v>
                </c:pt>
                <c:pt idx="628">
                  <c:v>6100</c:v>
                </c:pt>
                <c:pt idx="629">
                  <c:v>6200</c:v>
                </c:pt>
                <c:pt idx="630">
                  <c:v>6300</c:v>
                </c:pt>
                <c:pt idx="631">
                  <c:v>6400</c:v>
                </c:pt>
                <c:pt idx="632">
                  <c:v>6500</c:v>
                </c:pt>
                <c:pt idx="633">
                  <c:v>6600</c:v>
                </c:pt>
                <c:pt idx="634">
                  <c:v>6700</c:v>
                </c:pt>
                <c:pt idx="635">
                  <c:v>6800</c:v>
                </c:pt>
                <c:pt idx="636">
                  <c:v>6900</c:v>
                </c:pt>
                <c:pt idx="637">
                  <c:v>7000</c:v>
                </c:pt>
                <c:pt idx="638">
                  <c:v>7100</c:v>
                </c:pt>
                <c:pt idx="639">
                  <c:v>7200</c:v>
                </c:pt>
                <c:pt idx="640">
                  <c:v>7300</c:v>
                </c:pt>
                <c:pt idx="641">
                  <c:v>7400</c:v>
                </c:pt>
                <c:pt idx="642">
                  <c:v>7500</c:v>
                </c:pt>
                <c:pt idx="643">
                  <c:v>7600</c:v>
                </c:pt>
                <c:pt idx="644">
                  <c:v>7700</c:v>
                </c:pt>
                <c:pt idx="645">
                  <c:v>7800</c:v>
                </c:pt>
                <c:pt idx="646">
                  <c:v>7900</c:v>
                </c:pt>
                <c:pt idx="647">
                  <c:v>8000</c:v>
                </c:pt>
                <c:pt idx="648">
                  <c:v>8100</c:v>
                </c:pt>
                <c:pt idx="649">
                  <c:v>8200</c:v>
                </c:pt>
                <c:pt idx="650">
                  <c:v>8300</c:v>
                </c:pt>
                <c:pt idx="651">
                  <c:v>8400</c:v>
                </c:pt>
                <c:pt idx="652">
                  <c:v>8500</c:v>
                </c:pt>
                <c:pt idx="653">
                  <c:v>8600</c:v>
                </c:pt>
                <c:pt idx="654">
                  <c:v>8700</c:v>
                </c:pt>
                <c:pt idx="655">
                  <c:v>8800</c:v>
                </c:pt>
                <c:pt idx="656">
                  <c:v>8900</c:v>
                </c:pt>
                <c:pt idx="657">
                  <c:v>9000</c:v>
                </c:pt>
                <c:pt idx="658">
                  <c:v>9100</c:v>
                </c:pt>
                <c:pt idx="659">
                  <c:v>9200</c:v>
                </c:pt>
                <c:pt idx="660">
                  <c:v>9300</c:v>
                </c:pt>
                <c:pt idx="661">
                  <c:v>9400</c:v>
                </c:pt>
                <c:pt idx="662">
                  <c:v>9500</c:v>
                </c:pt>
                <c:pt idx="663">
                  <c:v>9600</c:v>
                </c:pt>
                <c:pt idx="664">
                  <c:v>9700</c:v>
                </c:pt>
                <c:pt idx="665">
                  <c:v>9800</c:v>
                </c:pt>
                <c:pt idx="666">
                  <c:v>9900</c:v>
                </c:pt>
                <c:pt idx="667">
                  <c:v>10000</c:v>
                </c:pt>
              </c:numCache>
            </c:numRef>
          </c:xVal>
          <c:yVal>
            <c:numRef>
              <c:f>'Bode Plots Calculations'!$BF$9:$BF$676</c:f>
              <c:numCache>
                <c:formatCode>General</c:formatCode>
                <c:ptCount val="668"/>
                <c:pt idx="0">
                  <c:v>78.550773470365939</c:v>
                </c:pt>
                <c:pt idx="1">
                  <c:v>75.968396887364733</c:v>
                </c:pt>
                <c:pt idx="2">
                  <c:v>73.545368352108696</c:v>
                </c:pt>
                <c:pt idx="3">
                  <c:v>71.507852323793188</c:v>
                </c:pt>
                <c:pt idx="4">
                  <c:v>69.800953862236156</c:v>
                </c:pt>
                <c:pt idx="5">
                  <c:v>68.348340682619963</c:v>
                </c:pt>
                <c:pt idx="6">
                  <c:v>67.090358411476274</c:v>
                </c:pt>
                <c:pt idx="7">
                  <c:v>65.983885071923936</c:v>
                </c:pt>
                <c:pt idx="8">
                  <c:v>64.997809082784315</c:v>
                </c:pt>
                <c:pt idx="9">
                  <c:v>64.109306009533924</c:v>
                </c:pt>
                <c:pt idx="10">
                  <c:v>58.175186092692279</c:v>
                </c:pt>
                <c:pt idx="11">
                  <c:v>54.669877039709377</c:v>
                </c:pt>
                <c:pt idx="12">
                  <c:v>52.177265173589873</c:v>
                </c:pt>
                <c:pt idx="13">
                  <c:v>50.242323634647128</c:v>
                </c:pt>
                <c:pt idx="14">
                  <c:v>48.660897791393403</c:v>
                </c:pt>
                <c:pt idx="15">
                  <c:v>47.323734333415743</c:v>
                </c:pt>
                <c:pt idx="16">
                  <c:v>46.165505527157151</c:v>
                </c:pt>
                <c:pt idx="17">
                  <c:v>45.14402941489039</c:v>
                </c:pt>
                <c:pt idx="18">
                  <c:v>44.230484706297986</c:v>
                </c:pt>
                <c:pt idx="19">
                  <c:v>38.231745937139898</c:v>
                </c:pt>
                <c:pt idx="20">
                  <c:v>34.744935728476982</c:v>
                </c:pt>
                <c:pt idx="21">
                  <c:v>32.294760349907072</c:v>
                </c:pt>
                <c:pt idx="22">
                  <c:v>30.418574811843154</c:v>
                </c:pt>
                <c:pt idx="23">
                  <c:v>28.910094334922828</c:v>
                </c:pt>
                <c:pt idx="24">
                  <c:v>27.659081372262925</c:v>
                </c:pt>
                <c:pt idx="25">
                  <c:v>26.599542526608865</c:v>
                </c:pt>
                <c:pt idx="26">
                  <c:v>25.688728795703376</c:v>
                </c:pt>
                <c:pt idx="27">
                  <c:v>24.897281146301971</c:v>
                </c:pt>
                <c:pt idx="28">
                  <c:v>22.14834312021566</c:v>
                </c:pt>
                <c:pt idx="29">
                  <c:v>20.634039580735571</c:v>
                </c:pt>
                <c:pt idx="30">
                  <c:v>19.837803188485449</c:v>
                </c:pt>
                <c:pt idx="31">
                  <c:v>19.514903980518795</c:v>
                </c:pt>
                <c:pt idx="32">
                  <c:v>19.532128484785748</c:v>
                </c:pt>
                <c:pt idx="33">
                  <c:v>19.813169031640687</c:v>
                </c:pt>
                <c:pt idx="34">
                  <c:v>20.314685392775967</c:v>
                </c:pt>
                <c:pt idx="35">
                  <c:v>21.014228021239777</c:v>
                </c:pt>
                <c:pt idx="36">
                  <c:v>21.903375451345653</c:v>
                </c:pt>
                <c:pt idx="37">
                  <c:v>22.982479210556068</c:v>
                </c:pt>
                <c:pt idx="38">
                  <c:v>24.252929100437868</c:v>
                </c:pt>
                <c:pt idx="39">
                  <c:v>25.698191350119885</c:v>
                </c:pt>
                <c:pt idx="40">
                  <c:v>27.232763847612201</c:v>
                </c:pt>
                <c:pt idx="41">
                  <c:v>28.591152337878796</c:v>
                </c:pt>
                <c:pt idx="42">
                  <c:v>29.251257873862613</c:v>
                </c:pt>
                <c:pt idx="43">
                  <c:v>28.807259042118893</c:v>
                </c:pt>
                <c:pt idx="44">
                  <c:v>27.519664611043396</c:v>
                </c:pt>
                <c:pt idx="45">
                  <c:v>25.935617034492321</c:v>
                </c:pt>
                <c:pt idx="46">
                  <c:v>24.378230245582181</c:v>
                </c:pt>
                <c:pt idx="47">
                  <c:v>22.956284953880747</c:v>
                </c:pt>
                <c:pt idx="48">
                  <c:v>21.686240772304295</c:v>
                </c:pt>
                <c:pt idx="49">
                  <c:v>20.555295904569796</c:v>
                </c:pt>
                <c:pt idx="50">
                  <c:v>19.544279538816525</c:v>
                </c:pt>
                <c:pt idx="51">
                  <c:v>18.634826122289866</c:v>
                </c:pt>
                <c:pt idx="52">
                  <c:v>17.811193369945663</c:v>
                </c:pt>
                <c:pt idx="53">
                  <c:v>17.060376759024557</c:v>
                </c:pt>
                <c:pt idx="54">
                  <c:v>16.371749562336404</c:v>
                </c:pt>
                <c:pt idx="55">
                  <c:v>15.736628861146148</c:v>
                </c:pt>
                <c:pt idx="56">
                  <c:v>15.147886930054566</c:v>
                </c:pt>
                <c:pt idx="57">
                  <c:v>14.599633393327188</c:v>
                </c:pt>
                <c:pt idx="58">
                  <c:v>14.08696401259434</c:v>
                </c:pt>
                <c:pt idx="59">
                  <c:v>13.605764532055048</c:v>
                </c:pt>
                <c:pt idx="60">
                  <c:v>13.152557821469825</c:v>
                </c:pt>
                <c:pt idx="61">
                  <c:v>12.72438440348321</c:v>
                </c:pt>
                <c:pt idx="62">
                  <c:v>12.318708559099449</c:v>
                </c:pt>
                <c:pt idx="63">
                  <c:v>11.933344037482982</c:v>
                </c:pt>
                <c:pt idx="64">
                  <c:v>11.566394849654316</c:v>
                </c:pt>
                <c:pt idx="65">
                  <c:v>11.216207734511279</c:v>
                </c:pt>
                <c:pt idx="66">
                  <c:v>10.881333717489632</c:v>
                </c:pt>
                <c:pt idx="67">
                  <c:v>10.560496802517614</c:v>
                </c:pt>
                <c:pt idx="68">
                  <c:v>10.252568300392165</c:v>
                </c:pt>
                <c:pt idx="69">
                  <c:v>9.9565456425107044</c:v>
                </c:pt>
                <c:pt idx="70">
                  <c:v>9.6715347887134921</c:v>
                </c:pt>
                <c:pt idx="71">
                  <c:v>9.3967355343532635</c:v>
                </c:pt>
                <c:pt idx="72">
                  <c:v>9.1314291710663316</c:v>
                </c:pt>
                <c:pt idx="73">
                  <c:v>8.8749680700819944</c:v>
                </c:pt>
                <c:pt idx="74">
                  <c:v>8.6267668450659869</c:v>
                </c:pt>
                <c:pt idx="75">
                  <c:v>8.3862948199065439</c:v>
                </c:pt>
                <c:pt idx="76">
                  <c:v>8.1530695802892854</c:v>
                </c:pt>
                <c:pt idx="77">
                  <c:v>7.9266514299130444</c:v>
                </c:pt>
                <c:pt idx="78">
                  <c:v>7.7066386054221825</c:v>
                </c:pt>
                <c:pt idx="79">
                  <c:v>7.492663130564102</c:v>
                </c:pt>
                <c:pt idx="80">
                  <c:v>7.2843872112307722</c:v>
                </c:pt>
                <c:pt idx="81">
                  <c:v>7.0815000900597713</c:v>
                </c:pt>
                <c:pt idx="82">
                  <c:v>6.8837152930325187</c:v>
                </c:pt>
                <c:pt idx="83">
                  <c:v>6.6907682116933396</c:v>
                </c:pt>
                <c:pt idx="84">
                  <c:v>6.5024139737501994</c:v>
                </c:pt>
                <c:pt idx="85">
                  <c:v>6.3184255623139336</c:v>
                </c:pt>
                <c:pt idx="86">
                  <c:v>6.1385921502120189</c:v>
                </c:pt>
                <c:pt idx="87">
                  <c:v>5.9627176209258215</c:v>
                </c:pt>
                <c:pt idx="88">
                  <c:v>5.7906192519506385</c:v>
                </c:pt>
                <c:pt idx="89">
                  <c:v>5.6221265399222116</c:v>
                </c:pt>
                <c:pt idx="90">
                  <c:v>5.4570801498228105</c:v>
                </c:pt>
                <c:pt idx="91">
                  <c:v>5.2953309730745213</c:v>
                </c:pt>
                <c:pt idx="92">
                  <c:v>5.1367392814312405</c:v>
                </c:pt>
                <c:pt idx="93">
                  <c:v>4.9811739653613607</c:v>
                </c:pt>
                <c:pt idx="94">
                  <c:v>4.828511847123699</c:v>
                </c:pt>
                <c:pt idx="95">
                  <c:v>4.6786370600259843</c:v>
                </c:pt>
                <c:pt idx="96">
                  <c:v>4.531440486453576</c:v>
                </c:pt>
                <c:pt idx="97">
                  <c:v>4.386819248197015</c:v>
                </c:pt>
                <c:pt idx="98">
                  <c:v>4.2446762434146486</c:v>
                </c:pt>
                <c:pt idx="99">
                  <c:v>4.1049197252624339</c:v>
                </c:pt>
                <c:pt idx="100">
                  <c:v>3.9674629178231724</c:v>
                </c:pt>
                <c:pt idx="101">
                  <c:v>3.8322236654872341</c:v>
                </c:pt>
                <c:pt idx="102">
                  <c:v>3.6991241123873597</c:v>
                </c:pt>
                <c:pt idx="103">
                  <c:v>3.5680904088821612</c:v>
                </c:pt>
                <c:pt idx="104">
                  <c:v>3.4390524424243409</c:v>
                </c:pt>
                <c:pt idx="105">
                  <c:v>3.3119435904477608</c:v>
                </c:pt>
                <c:pt idx="106">
                  <c:v>3.1867004931686136</c:v>
                </c:pt>
                <c:pt idx="107">
                  <c:v>3.0632628444246968</c:v>
                </c:pt>
                <c:pt idx="108">
                  <c:v>2.9415731988778471</c:v>
                </c:pt>
                <c:pt idx="109">
                  <c:v>2.8215767940817087</c:v>
                </c:pt>
                <c:pt idx="110">
                  <c:v>2.7032213860729879</c:v>
                </c:pt>
                <c:pt idx="111">
                  <c:v>2.5864570972823686</c:v>
                </c:pt>
                <c:pt idx="112">
                  <c:v>2.4712362756834052</c:v>
                </c:pt>
                <c:pt idx="113">
                  <c:v>2.3575133642058206</c:v>
                </c:pt>
                <c:pt idx="114">
                  <c:v>2.2452447795359989</c:v>
                </c:pt>
                <c:pt idx="115">
                  <c:v>2.134388799512724</c:v>
                </c:pt>
                <c:pt idx="116">
                  <c:v>2.0249054584026842</c:v>
                </c:pt>
                <c:pt idx="117">
                  <c:v>1.9167564494080618</c:v>
                </c:pt>
                <c:pt idx="118">
                  <c:v>1.8099050338193845</c:v>
                </c:pt>
                <c:pt idx="119">
                  <c:v>1.7043159562812169</c:v>
                </c:pt>
                <c:pt idx="120">
                  <c:v>1.5999553656869363</c:v>
                </c:pt>
                <c:pt idx="121">
                  <c:v>1.496790741262646</c:v>
                </c:pt>
                <c:pt idx="122">
                  <c:v>1.3947908234395388</c:v>
                </c:pt>
                <c:pt idx="123">
                  <c:v>1.293925549149525</c:v>
                </c:pt>
                <c:pt idx="124">
                  <c:v>1.1941659912105773</c:v>
                </c:pt>
                <c:pt idx="125">
                  <c:v>1.095484301497291</c:v>
                </c:pt>
                <c:pt idx="126">
                  <c:v>0.9978536576178918</c:v>
                </c:pt>
                <c:pt idx="127">
                  <c:v>0.90124821284256451</c:v>
                </c:pt>
                <c:pt idx="128">
                  <c:v>0.8056430490492168</c:v>
                </c:pt>
                <c:pt idx="129">
                  <c:v>0.71101413247195433</c:v>
                </c:pt>
                <c:pt idx="130">
                  <c:v>0.61733827205526692</c:v>
                </c:pt>
                <c:pt idx="131">
                  <c:v>0.52459308023261941</c:v>
                </c:pt>
                <c:pt idx="132">
                  <c:v>0.43275693596265263</c:v>
                </c:pt>
                <c:pt idx="133">
                  <c:v>0.34180894986947075</c:v>
                </c:pt>
                <c:pt idx="134">
                  <c:v>0.25172893134530661</c:v>
                </c:pt>
                <c:pt idx="135">
                  <c:v>0.16249735748488209</c:v>
                </c:pt>
                <c:pt idx="136">
                  <c:v>7.4095343730865459E-2</c:v>
                </c:pt>
                <c:pt idx="137">
                  <c:v>-1.3495383881183785E-2</c:v>
                </c:pt>
                <c:pt idx="138">
                  <c:v>-0.10029251498166399</c:v>
                </c:pt>
                <c:pt idx="139">
                  <c:v>-0.18631317972493688</c:v>
                </c:pt>
                <c:pt idx="140">
                  <c:v>-0.27157397233520292</c:v>
                </c:pt>
                <c:pt idx="141">
                  <c:v>-0.35609097342224172</c:v>
                </c:pt>
                <c:pt idx="142">
                  <c:v>-0.43987977114323418</c:v>
                </c:pt>
                <c:pt idx="143">
                  <c:v>-0.5229554812814643</c:v>
                </c:pt>
                <c:pt idx="144">
                  <c:v>-0.6053327663076451</c:v>
                </c:pt>
                <c:pt idx="145">
                  <c:v>-0.68702585348496059</c:v>
                </c:pt>
                <c:pt idx="146">
                  <c:v>-0.76804855207499378</c:v>
                </c:pt>
                <c:pt idx="147">
                  <c:v>-0.84841426969725242</c:v>
                </c:pt>
                <c:pt idx="148">
                  <c:v>-0.92813602789205363</c:v>
                </c:pt>
                <c:pt idx="149">
                  <c:v>-1.0072264769325627</c:v>
                </c:pt>
                <c:pt idx="150">
                  <c:v>-1.0856979099292918</c:v>
                </c:pt>
                <c:pt idx="151">
                  <c:v>-1.1635622762670701</c:v>
                </c:pt>
                <c:pt idx="152">
                  <c:v>-1.2408311944120543</c:v>
                </c:pt>
                <c:pt idx="153">
                  <c:v>-1.3175159641240286</c:v>
                </c:pt>
                <c:pt idx="154">
                  <c:v>-1.3936275781066521</c:v>
                </c:pt>
                <c:pt idx="155">
                  <c:v>-1.4691767331266408</c:v>
                </c:pt>
                <c:pt idx="156">
                  <c:v>-1.5441738406305092</c:v>
                </c:pt>
                <c:pt idx="157">
                  <c:v>-1.6186290368860101</c:v>
                </c:pt>
                <c:pt idx="158">
                  <c:v>-1.6925521926735891</c:v>
                </c:pt>
                <c:pt idx="159">
                  <c:v>-1.7659529225516002</c:v>
                </c:pt>
                <c:pt idx="160">
                  <c:v>-1.8388405937176266</c:v>
                </c:pt>
                <c:pt idx="161">
                  <c:v>-1.9112243344869204</c:v>
                </c:pt>
                <c:pt idx="162">
                  <c:v>-1.9831130424076107</c:v>
                </c:pt>
                <c:pt idx="163">
                  <c:v>-2.0545153920312904</c:v>
                </c:pt>
                <c:pt idx="164">
                  <c:v>-2.1254398423563954</c:v>
                </c:pt>
                <c:pt idx="165">
                  <c:v>-2.1958946439607931</c:v>
                </c:pt>
                <c:pt idx="166">
                  <c:v>-2.265887845839111</c:v>
                </c:pt>
                <c:pt idx="167">
                  <c:v>-2.3354273019593195</c:v>
                </c:pt>
                <c:pt idx="168">
                  <c:v>-2.4045206775523802</c:v>
                </c:pt>
                <c:pt idx="169">
                  <c:v>-2.4731754551478859</c:v>
                </c:pt>
                <c:pt idx="170">
                  <c:v>-2.541398940367964</c:v>
                </c:pt>
                <c:pt idx="171">
                  <c:v>-2.6091982674909491</c:v>
                </c:pt>
                <c:pt idx="172">
                  <c:v>-2.6765804047958772</c:v>
                </c:pt>
                <c:pt idx="173">
                  <c:v>-2.7435521596979324</c:v>
                </c:pt>
                <c:pt idx="174">
                  <c:v>-2.8101201836847478</c:v>
                </c:pt>
                <c:pt idx="175">
                  <c:v>-2.8762909770627463</c:v>
                </c:pt>
                <c:pt idx="176">
                  <c:v>-2.9420708935222213</c:v>
                </c:pt>
                <c:pt idx="177">
                  <c:v>-3.0074661445295092</c:v>
                </c:pt>
                <c:pt idx="178">
                  <c:v>-3.0724828035539629</c:v>
                </c:pt>
                <c:pt idx="179">
                  <c:v>-3.1371268101372989</c:v>
                </c:pt>
                <c:pt idx="180">
                  <c:v>-3.2014039738121802</c:v>
                </c:pt>
                <c:pt idx="181">
                  <c:v>-3.2653199778769082</c:v>
                </c:pt>
                <c:pt idx="182">
                  <c:v>-3.3288803830323204</c:v>
                </c:pt>
                <c:pt idx="183">
                  <c:v>-3.392090630887111</c:v>
                </c:pt>
                <c:pt idx="184">
                  <c:v>-3.4549560473371548</c:v>
                </c:pt>
                <c:pt idx="185">
                  <c:v>-3.5174818458242774</c:v>
                </c:pt>
                <c:pt idx="186">
                  <c:v>-3.5796731304796197</c:v>
                </c:pt>
                <c:pt idx="187">
                  <c:v>-3.6415348991565049</c:v>
                </c:pt>
                <c:pt idx="188">
                  <c:v>-3.7030720463574331</c:v>
                </c:pt>
                <c:pt idx="189">
                  <c:v>-3.7642893660596339</c:v>
                </c:pt>
                <c:pt idx="190">
                  <c:v>-3.8251915544433897</c:v>
                </c:pt>
                <c:pt idx="191">
                  <c:v>-3.8857832125271545</c:v>
                </c:pt>
                <c:pt idx="192">
                  <c:v>-3.94606884871324</c:v>
                </c:pt>
                <c:pt idx="193">
                  <c:v>-4.0060528812477223</c:v>
                </c:pt>
                <c:pt idx="194">
                  <c:v>-4.0657396405980721</c:v>
                </c:pt>
                <c:pt idx="195">
                  <c:v>-4.1251333717517378</c:v>
                </c:pt>
                <c:pt idx="196">
                  <c:v>-4.1842382364388628</c:v>
                </c:pt>
                <c:pt idx="197">
                  <c:v>-4.2430583152821573</c:v>
                </c:pt>
                <c:pt idx="198">
                  <c:v>-4.3015976098767563</c:v>
                </c:pt>
                <c:pt idx="199">
                  <c:v>-4.3598600448027982</c:v>
                </c:pt>
                <c:pt idx="200">
                  <c:v>-4.4178494695733734</c:v>
                </c:pt>
                <c:pt idx="201">
                  <c:v>-4.475569660520244</c:v>
                </c:pt>
                <c:pt idx="202">
                  <c:v>-4.533024322619827</c:v>
                </c:pt>
                <c:pt idx="203">
                  <c:v>-4.5902170912616409</c:v>
                </c:pt>
                <c:pt idx="204">
                  <c:v>-4.6471515339614253</c:v>
                </c:pt>
                <c:pt idx="205">
                  <c:v>-4.7038311520209302</c:v>
                </c:pt>
                <c:pt idx="206">
                  <c:v>-4.760259382136506</c:v>
                </c:pt>
                <c:pt idx="207">
                  <c:v>-4.8164395979582997</c:v>
                </c:pt>
                <c:pt idx="208">
                  <c:v>-4.8723751116018228</c:v>
                </c:pt>
                <c:pt idx="209">
                  <c:v>-4.928069175113813</c:v>
                </c:pt>
                <c:pt idx="210">
                  <c:v>-4.9835249818938365</c:v>
                </c:pt>
                <c:pt idx="211">
                  <c:v>-5.0387456680734424</c:v>
                </c:pt>
                <c:pt idx="212">
                  <c:v>-5.0937343138541973</c:v>
                </c:pt>
                <c:pt idx="213">
                  <c:v>-5.1484939448062059</c:v>
                </c:pt>
                <c:pt idx="214">
                  <c:v>-5.2030275331285303</c:v>
                </c:pt>
                <c:pt idx="215">
                  <c:v>-5.2573379988726918</c:v>
                </c:pt>
                <c:pt idx="216">
                  <c:v>-5.3114282111307602</c:v>
                </c:pt>
                <c:pt idx="217">
                  <c:v>-5.3653009891890733</c:v>
                </c:pt>
                <c:pt idx="218">
                  <c:v>-5.4189591036490032</c:v>
                </c:pt>
                <c:pt idx="219">
                  <c:v>-5.4724052775156329</c:v>
                </c:pt>
                <c:pt idx="220">
                  <c:v>-5.5256421872556665</c:v>
                </c:pt>
                <c:pt idx="221">
                  <c:v>-5.5786724638255061</c:v>
                </c:pt>
                <c:pt idx="222">
                  <c:v>-5.6314986936705838</c:v>
                </c:pt>
                <c:pt idx="223">
                  <c:v>-5.6841234196968227</c:v>
                </c:pt>
                <c:pt idx="224">
                  <c:v>-5.7365491422152273</c:v>
                </c:pt>
                <c:pt idx="225">
                  <c:v>-5.7887783198604819</c:v>
                </c:pt>
                <c:pt idx="226">
                  <c:v>-6.3007729477507413</c:v>
                </c:pt>
                <c:pt idx="227">
                  <c:v>-6.7955396629520397</c:v>
                </c:pt>
                <c:pt idx="228">
                  <c:v>-7.274969439009757</c:v>
                </c:pt>
                <c:pt idx="229">
                  <c:v>-7.7406851741003289</c:v>
                </c:pt>
                <c:pt idx="230">
                  <c:v>-8.1940875680063776</c:v>
                </c:pt>
                <c:pt idx="231">
                  <c:v>-8.6363914175058554</c:v>
                </c:pt>
                <c:pt idx="232">
                  <c:v>-9.0686546694163255</c:v>
                </c:pt>
                <c:pt idx="233">
                  <c:v>-9.4918019295450264</c:v>
                </c:pt>
                <c:pt idx="234">
                  <c:v>-9.9066436779768718</c:v>
                </c:pt>
                <c:pt idx="235">
                  <c:v>-10.31389212324475</c:v>
                </c:pt>
                <c:pt idx="236">
                  <c:v>-10.714174398967831</c:v>
                </c:pt>
                <c:pt idx="237">
                  <c:v>-11.10804363943471</c:v>
                </c:pt>
                <c:pt idx="238">
                  <c:v>-11.495988347154922</c:v>
                </c:pt>
                <c:pt idx="239">
                  <c:v>-11.878440373189118</c:v>
                </c:pt>
                <c:pt idx="240">
                  <c:v>-12.255781761493274</c:v>
                </c:pt>
                <c:pt idx="241">
                  <c:v>-12.628350655538277</c:v>
                </c:pt>
                <c:pt idx="242">
                  <c:v>-12.996446424797048</c:v>
                </c:pt>
                <c:pt idx="243">
                  <c:v>-13.360334137235201</c:v>
                </c:pt>
                <c:pt idx="244">
                  <c:v>-13.720248479446241</c:v>
                </c:pt>
                <c:pt idx="245">
                  <c:v>-14.076397206881081</c:v>
                </c:pt>
                <c:pt idx="246">
                  <c:v>-14.428964191501919</c:v>
                </c:pt>
                <c:pt idx="247">
                  <c:v>-14.778112122216712</c:v>
                </c:pt>
                <c:pt idx="248">
                  <c:v>-15.1239849039228</c:v>
                </c:pt>
                <c:pt idx="249">
                  <c:v>-15.4667097933711</c:v>
                </c:pt>
                <c:pt idx="250">
                  <c:v>-15.806399303944822</c:v>
                </c:pt>
                <c:pt idx="251">
                  <c:v>-16.143152906510455</c:v>
                </c:pt>
                <c:pt idx="252">
                  <c:v>-16.477058549495947</c:v>
                </c:pt>
                <c:pt idx="253">
                  <c:v>-16.808194018087526</c:v>
                </c:pt>
                <c:pt idx="254">
                  <c:v>-17.136628149760941</c:v>
                </c:pt>
                <c:pt idx="255">
                  <c:v>-17.462421921154288</c:v>
                </c:pt>
                <c:pt idx="256">
                  <c:v>-17.785629419454374</c:v>
                </c:pt>
                <c:pt idx="257">
                  <c:v>-18.106298709931149</c:v>
                </c:pt>
                <c:pt idx="258">
                  <c:v>-18.424472609956712</c:v>
                </c:pt>
                <c:pt idx="259">
                  <c:v>-18.740189378739448</c:v>
                </c:pt>
                <c:pt idx="260">
                  <c:v>-19.053483331053503</c:v>
                </c:pt>
                <c:pt idx="261">
                  <c:v>-19.364385382419112</c:v>
                </c:pt>
                <c:pt idx="262">
                  <c:v>-19.672923532468214</c:v>
                </c:pt>
                <c:pt idx="263">
                  <c:v>-19.979123292593016</c:v>
                </c:pt>
                <c:pt idx="264">
                  <c:v>-20.283008063409163</c:v>
                </c:pt>
                <c:pt idx="265">
                  <c:v>-20.584599467058119</c:v>
                </c:pt>
                <c:pt idx="266">
                  <c:v>-20.883917638916589</c:v>
                </c:pt>
                <c:pt idx="267">
                  <c:v>-21.180981482867026</c:v>
                </c:pt>
                <c:pt idx="268">
                  <c:v>-21.475808893906994</c:v>
                </c:pt>
                <c:pt idx="269">
                  <c:v>-21.768416951531627</c:v>
                </c:pt>
                <c:pt idx="270">
                  <c:v>-22.058822087009482</c:v>
                </c:pt>
                <c:pt idx="271">
                  <c:v>-22.347040227383982</c:v>
                </c:pt>
                <c:pt idx="272">
                  <c:v>-22.633086918768889</c:v>
                </c:pt>
                <c:pt idx="273">
                  <c:v>-22.916977431263568</c:v>
                </c:pt>
                <c:pt idx="274">
                  <c:v>-23.19872684759175</c:v>
                </c:pt>
                <c:pt idx="275">
                  <c:v>-23.47835013736351</c:v>
                </c:pt>
                <c:pt idx="276">
                  <c:v>-23.755862218673002</c:v>
                </c:pt>
                <c:pt idx="277">
                  <c:v>-24.031278008573548</c:v>
                </c:pt>
                <c:pt idx="278">
                  <c:v>-24.304612463815115</c:v>
                </c:pt>
                <c:pt idx="279">
                  <c:v>-24.575880613086134</c:v>
                </c:pt>
                <c:pt idx="280">
                  <c:v>-24.845097581871485</c:v>
                </c:pt>
                <c:pt idx="281">
                  <c:v>-25.112278610919489</c:v>
                </c:pt>
                <c:pt idx="282">
                  <c:v>-25.377439069203383</c:v>
                </c:pt>
                <c:pt idx="283">
                  <c:v>-25.640594462164501</c:v>
                </c:pt>
                <c:pt idx="284">
                  <c:v>-25.901760435935884</c:v>
                </c:pt>
                <c:pt idx="285">
                  <c:v>-26.160952778165303</c:v>
                </c:pt>
                <c:pt idx="286">
                  <c:v>-26.418187415983848</c:v>
                </c:pt>
                <c:pt idx="287">
                  <c:v>-26.673480411601656</c:v>
                </c:pt>
                <c:pt idx="288">
                  <c:v>-26.926847955953619</c:v>
                </c:pt>
                <c:pt idx="289">
                  <c:v>-27.178306360765504</c:v>
                </c:pt>
                <c:pt idx="290">
                  <c:v>-27.427872049363778</c:v>
                </c:pt>
                <c:pt idx="291">
                  <c:v>-27.675561546510757</c:v>
                </c:pt>
                <c:pt idx="292">
                  <c:v>-27.921391467508716</c:v>
                </c:pt>
                <c:pt idx="293">
                  <c:v>-28.165378506783803</c:v>
                </c:pt>
                <c:pt idx="294">
                  <c:v>-28.407539426130526</c:v>
                </c:pt>
                <c:pt idx="295">
                  <c:v>-28.647891042771462</c:v>
                </c:pt>
                <c:pt idx="296">
                  <c:v>-28.886450217363667</c:v>
                </c:pt>
                <c:pt idx="297">
                  <c:v>-29.123233842062643</c:v>
                </c:pt>
                <c:pt idx="298">
                  <c:v>-29.358258828736581</c:v>
                </c:pt>
                <c:pt idx="299">
                  <c:v>-29.591542097407995</c:v>
                </c:pt>
                <c:pt idx="300">
                  <c:v>-29.823100564985651</c:v>
                </c:pt>
                <c:pt idx="301">
                  <c:v>-30.052951134337693</c:v>
                </c:pt>
                <c:pt idx="302">
                  <c:v>-30.281110683746341</c:v>
                </c:pt>
                <c:pt idx="303">
                  <c:v>-30.507596056775196</c:v>
                </c:pt>
                <c:pt idx="304">
                  <c:v>-30.732424052572394</c:v>
                </c:pt>
                <c:pt idx="305">
                  <c:v>-30.955611416625874</c:v>
                </c:pt>
                <c:pt idx="306">
                  <c:v>-31.17717483198129</c:v>
                </c:pt>
                <c:pt idx="307">
                  <c:v>-31.397130910927942</c:v>
                </c:pt>
                <c:pt idx="308">
                  <c:v>-31.615496187153962</c:v>
                </c:pt>
                <c:pt idx="309">
                  <c:v>-31.832287108368348</c:v>
                </c:pt>
                <c:pt idx="310">
                  <c:v>-32.047520029384494</c:v>
                </c:pt>
                <c:pt idx="311">
                  <c:v>-32.261211205657276</c:v>
                </c:pt>
                <c:pt idx="312">
                  <c:v>-32.473376787263931</c:v>
                </c:pt>
                <c:pt idx="313">
                  <c:v>-32.684032813317039</c:v>
                </c:pt>
                <c:pt idx="314">
                  <c:v>-32.893195206796833</c:v>
                </c:pt>
                <c:pt idx="315">
                  <c:v>-33.100879769789053</c:v>
                </c:pt>
                <c:pt idx="316">
                  <c:v>-33.30710217911367</c:v>
                </c:pt>
                <c:pt idx="317">
                  <c:v>-33.511877982329388</c:v>
                </c:pt>
                <c:pt idx="318">
                  <c:v>-33.715222594098485</c:v>
                </c:pt>
                <c:pt idx="319">
                  <c:v>-33.917151292896278</c:v>
                </c:pt>
                <c:pt idx="320">
                  <c:v>-34.117679218049645</c:v>
                </c:pt>
                <c:pt idx="321">
                  <c:v>-34.316821367088814</c:v>
                </c:pt>
                <c:pt idx="322">
                  <c:v>-34.514592593397126</c:v>
                </c:pt>
                <c:pt idx="323">
                  <c:v>-34.711007604143418</c:v>
                </c:pt>
                <c:pt idx="324">
                  <c:v>-34.906080958482256</c:v>
                </c:pt>
                <c:pt idx="325">
                  <c:v>-35.099827066007265</c:v>
                </c:pt>
                <c:pt idx="326">
                  <c:v>-35.292260185443681</c:v>
                </c:pt>
                <c:pt idx="327">
                  <c:v>-35.483394423566111</c:v>
                </c:pt>
                <c:pt idx="328">
                  <c:v>-35.673243734328587</c:v>
                </c:pt>
                <c:pt idx="329">
                  <c:v>-35.861821918193741</c:v>
                </c:pt>
                <c:pt idx="330">
                  <c:v>-36.049142621649203</c:v>
                </c:pt>
                <c:pt idx="331">
                  <c:v>-36.235219336899085</c:v>
                </c:pt>
                <c:pt idx="332">
                  <c:v>-36.420065401719505</c:v>
                </c:pt>
                <c:pt idx="333">
                  <c:v>-36.603693999467183</c:v>
                </c:pt>
                <c:pt idx="334">
                  <c:v>-36.786118159230824</c:v>
                </c:pt>
                <c:pt idx="335">
                  <c:v>-36.967350756115522</c:v>
                </c:pt>
                <c:pt idx="336">
                  <c:v>-37.147404511650656</c:v>
                </c:pt>
                <c:pt idx="337">
                  <c:v>-37.326291994312577</c:v>
                </c:pt>
                <c:pt idx="338">
                  <c:v>-37.504025620153413</c:v>
                </c:pt>
                <c:pt idx="339">
                  <c:v>-37.680617653528174</c:v>
                </c:pt>
                <c:pt idx="340">
                  <c:v>-37.856080207912356</c:v>
                </c:pt>
                <c:pt idx="341">
                  <c:v>-38.03042524680307</c:v>
                </c:pt>
                <c:pt idx="342">
                  <c:v>-38.203664584696696</c:v>
                </c:pt>
                <c:pt idx="343">
                  <c:v>-38.375809888136708</c:v>
                </c:pt>
                <c:pt idx="344">
                  <c:v>-38.546872676825721</c:v>
                </c:pt>
                <c:pt idx="345">
                  <c:v>-38.716864324795822</c:v>
                </c:pt>
                <c:pt idx="346">
                  <c:v>-38.885796061632092</c:v>
                </c:pt>
                <c:pt idx="347">
                  <c:v>-39.053678973743885</c:v>
                </c:pt>
                <c:pt idx="348">
                  <c:v>-39.220524005679508</c:v>
                </c:pt>
                <c:pt idx="349">
                  <c:v>-39.386341961479502</c:v>
                </c:pt>
                <c:pt idx="350">
                  <c:v>-39.551143506064477</c:v>
                </c:pt>
                <c:pt idx="351">
                  <c:v>-39.7149391666536</c:v>
                </c:pt>
                <c:pt idx="352">
                  <c:v>-39.877739334209878</c:v>
                </c:pt>
                <c:pt idx="353">
                  <c:v>-40.039554264908965</c:v>
                </c:pt>
                <c:pt idx="354">
                  <c:v>-40.200394081628126</c:v>
                </c:pt>
                <c:pt idx="355">
                  <c:v>-40.360268775452461</c:v>
                </c:pt>
                <c:pt idx="356">
                  <c:v>-40.519188207195356</c:v>
                </c:pt>
                <c:pt idx="357">
                  <c:v>-40.677162108930872</c:v>
                </c:pt>
                <c:pt idx="358">
                  <c:v>-40.834200085535187</c:v>
                </c:pt>
                <c:pt idx="359">
                  <c:v>-40.99031161623526</c:v>
                </c:pt>
                <c:pt idx="360">
                  <c:v>-41.145506056162169</c:v>
                </c:pt>
                <c:pt idx="361">
                  <c:v>-41.29979263790748</c:v>
                </c:pt>
                <c:pt idx="362">
                  <c:v>-41.453180473080636</c:v>
                </c:pt>
                <c:pt idx="363">
                  <c:v>-41.605678553865737</c:v>
                </c:pt>
                <c:pt idx="364">
                  <c:v>-41.757295754576049</c:v>
                </c:pt>
                <c:pt idx="365">
                  <c:v>-41.908040833205</c:v>
                </c:pt>
                <c:pt idx="366">
                  <c:v>-42.057922432972028</c:v>
                </c:pt>
                <c:pt idx="367">
                  <c:v>-42.206949083862256</c:v>
                </c:pt>
                <c:pt idx="368">
                  <c:v>-42.355129204158885</c:v>
                </c:pt>
                <c:pt idx="369">
                  <c:v>-42.502471101967025</c:v>
                </c:pt>
                <c:pt idx="370">
                  <c:v>-42.648982976728227</c:v>
                </c:pt>
                <c:pt idx="371">
                  <c:v>-42.794672920724878</c:v>
                </c:pt>
                <c:pt idx="372">
                  <c:v>-42.939548920573301</c:v>
                </c:pt>
                <c:pt idx="373">
                  <c:v>-43.083618858705378</c:v>
                </c:pt>
                <c:pt idx="374">
                  <c:v>-43.226890514837478</c:v>
                </c:pt>
                <c:pt idx="375">
                  <c:v>-43.369371567426604</c:v>
                </c:pt>
                <c:pt idx="376">
                  <c:v>-43.511069595112787</c:v>
                </c:pt>
                <c:pt idx="377">
                  <c:v>-43.651992078147558</c:v>
                </c:pt>
                <c:pt idx="378">
                  <c:v>-43.792146399807883</c:v>
                </c:pt>
                <c:pt idx="379">
                  <c:v>-43.931539847795278</c:v>
                </c:pt>
                <c:pt idx="380">
                  <c:v>-44.070179615619757</c:v>
                </c:pt>
                <c:pt idx="381">
                  <c:v>-44.208072803968221</c:v>
                </c:pt>
                <c:pt idx="382">
                  <c:v>-44.345226422057237</c:v>
                </c:pt>
                <c:pt idx="383">
                  <c:v>-44.481647388969705</c:v>
                </c:pt>
                <c:pt idx="384">
                  <c:v>-44.617342534975528</c:v>
                </c:pt>
                <c:pt idx="385">
                  <c:v>-44.752318602835899</c:v>
                </c:pt>
                <c:pt idx="386">
                  <c:v>-44.886582249091262</c:v>
                </c:pt>
                <c:pt idx="387">
                  <c:v>-45.020140045332646</c:v>
                </c:pt>
                <c:pt idx="388">
                  <c:v>-45.152998479456521</c:v>
                </c:pt>
                <c:pt idx="389">
                  <c:v>-45.285163956903006</c:v>
                </c:pt>
                <c:pt idx="390">
                  <c:v>-45.416642801877416</c:v>
                </c:pt>
                <c:pt idx="391">
                  <c:v>-45.547441258555125</c:v>
                </c:pt>
                <c:pt idx="392">
                  <c:v>-45.677565492269856</c:v>
                </c:pt>
                <c:pt idx="393">
                  <c:v>-45.807021590685366</c:v>
                </c:pt>
                <c:pt idx="394">
                  <c:v>-45.93581556495046</c:v>
                </c:pt>
                <c:pt idx="395">
                  <c:v>-46.063953350837664</c:v>
                </c:pt>
                <c:pt idx="396">
                  <c:v>-46.191440809865355</c:v>
                </c:pt>
                <c:pt idx="397">
                  <c:v>-46.318283730403621</c:v>
                </c:pt>
                <c:pt idx="398">
                  <c:v>-46.444487828763926</c:v>
                </c:pt>
                <c:pt idx="399">
                  <c:v>-46.570058750272487</c:v>
                </c:pt>
                <c:pt idx="400">
                  <c:v>-46.695002070327895</c:v>
                </c:pt>
                <c:pt idx="401">
                  <c:v>-46.819323295442608</c:v>
                </c:pt>
                <c:pt idx="402">
                  <c:v>-46.943027864268913</c:v>
                </c:pt>
                <c:pt idx="403">
                  <c:v>-47.066121148609128</c:v>
                </c:pt>
                <c:pt idx="404">
                  <c:v>-47.188608454410499</c:v>
                </c:pt>
                <c:pt idx="405">
                  <c:v>-47.310495022744661</c:v>
                </c:pt>
                <c:pt idx="406">
                  <c:v>-47.431786030772059</c:v>
                </c:pt>
                <c:pt idx="407">
                  <c:v>-47.552486592691423</c:v>
                </c:pt>
                <c:pt idx="408">
                  <c:v>-47.672601760674283</c:v>
                </c:pt>
                <c:pt idx="409">
                  <c:v>-47.792136525785061</c:v>
                </c:pt>
                <c:pt idx="410">
                  <c:v>-47.911095818886544</c:v>
                </c:pt>
                <c:pt idx="411">
                  <c:v>-48.029484511531152</c:v>
                </c:pt>
                <c:pt idx="412">
                  <c:v>-48.147307416838117</c:v>
                </c:pt>
                <c:pt idx="413">
                  <c:v>-48.264569290356661</c:v>
                </c:pt>
                <c:pt idx="414">
                  <c:v>-48.381274830915515</c:v>
                </c:pt>
                <c:pt idx="415">
                  <c:v>-48.497428681458885</c:v>
                </c:pt>
                <c:pt idx="416">
                  <c:v>-48.613035429868972</c:v>
                </c:pt>
                <c:pt idx="417">
                  <c:v>-48.728099609775413</c:v>
                </c:pt>
                <c:pt idx="418">
                  <c:v>-48.842625701351594</c:v>
                </c:pt>
                <c:pt idx="419">
                  <c:v>-48.956618132098278</c:v>
                </c:pt>
                <c:pt idx="420">
                  <c:v>-49.070081277614534</c:v>
                </c:pt>
                <c:pt idx="421">
                  <c:v>-49.183019462356199</c:v>
                </c:pt>
                <c:pt idx="422">
                  <c:v>-49.295436960382155</c:v>
                </c:pt>
                <c:pt idx="423">
                  <c:v>-49.407337996088444</c:v>
                </c:pt>
                <c:pt idx="424">
                  <c:v>-49.518726744930589</c:v>
                </c:pt>
                <c:pt idx="425">
                  <c:v>-49.629607334134043</c:v>
                </c:pt>
                <c:pt idx="426">
                  <c:v>-49.739983843393333</c:v>
                </c:pt>
                <c:pt idx="427">
                  <c:v>-49.849860305559616</c:v>
                </c:pt>
                <c:pt idx="428">
                  <c:v>-49.959240707317214</c:v>
                </c:pt>
                <c:pt idx="429">
                  <c:v>-50.068128989849086</c:v>
                </c:pt>
                <c:pt idx="430">
                  <c:v>-50.176529049491521</c:v>
                </c:pt>
                <c:pt idx="431">
                  <c:v>-50.284444738378092</c:v>
                </c:pt>
                <c:pt idx="432">
                  <c:v>-50.391879865073264</c:v>
                </c:pt>
                <c:pt idx="433">
                  <c:v>-50.498838195195546</c:v>
                </c:pt>
                <c:pt idx="434">
                  <c:v>-50.605323452030603</c:v>
                </c:pt>
                <c:pt idx="435">
                  <c:v>-50.71133931713436</c:v>
                </c:pt>
                <c:pt idx="436">
                  <c:v>-50.816889430926288</c:v>
                </c:pt>
                <c:pt idx="437">
                  <c:v>-50.921977393273067</c:v>
                </c:pt>
                <c:pt idx="438">
                  <c:v>-51.026606764062691</c:v>
                </c:pt>
                <c:pt idx="439">
                  <c:v>-51.130781063769319</c:v>
                </c:pt>
                <c:pt idx="440">
                  <c:v>-51.234503774008928</c:v>
                </c:pt>
                <c:pt idx="441">
                  <c:v>-51.337778338085926</c:v>
                </c:pt>
                <c:pt idx="442">
                  <c:v>-51.440608161530847</c:v>
                </c:pt>
                <c:pt idx="443">
                  <c:v>-51.542996612629523</c:v>
                </c:pt>
                <c:pt idx="444">
                  <c:v>-51.644947022943356</c:v>
                </c:pt>
                <c:pt idx="445">
                  <c:v>-51.746462687821534</c:v>
                </c:pt>
                <c:pt idx="446">
                  <c:v>-51.847546866904636</c:v>
                </c:pt>
                <c:pt idx="447">
                  <c:v>-51.948202784620321</c:v>
                </c:pt>
                <c:pt idx="448">
                  <c:v>-52.0484336306709</c:v>
                </c:pt>
                <c:pt idx="449">
                  <c:v>-52.148242560513069</c:v>
                </c:pt>
                <c:pt idx="450">
                  <c:v>-52.247632695829921</c:v>
                </c:pt>
                <c:pt idx="451">
                  <c:v>-52.346607124995359</c:v>
                </c:pt>
                <c:pt idx="452">
                  <c:v>-52.445168903531012</c:v>
                </c:pt>
                <c:pt idx="453">
                  <c:v>-52.543321054555889</c:v>
                </c:pt>
                <c:pt idx="454">
                  <c:v>-52.64106656922867</c:v>
                </c:pt>
                <c:pt idx="455">
                  <c:v>-52.738408407183115</c:v>
                </c:pt>
                <c:pt idx="456">
                  <c:v>-52.835349496956319</c:v>
                </c:pt>
                <c:pt idx="457">
                  <c:v>-52.931892736410219</c:v>
                </c:pt>
                <c:pt idx="458">
                  <c:v>-53.028040993146412</c:v>
                </c:pt>
                <c:pt idx="459">
                  <c:v>-53.123797104914203</c:v>
                </c:pt>
                <c:pt idx="460">
                  <c:v>-53.219163880012388</c:v>
                </c:pt>
                <c:pt idx="461">
                  <c:v>-53.314144097684419</c:v>
                </c:pt>
                <c:pt idx="462">
                  <c:v>-53.408740508507492</c:v>
                </c:pt>
                <c:pt idx="463">
                  <c:v>-53.502955834775335</c:v>
                </c:pt>
                <c:pt idx="464">
                  <c:v>-53.59679277087502</c:v>
                </c:pt>
                <c:pt idx="465">
                  <c:v>-53.690253983657811</c:v>
                </c:pt>
                <c:pt idx="466">
                  <c:v>-53.783342112804121</c:v>
                </c:pt>
                <c:pt idx="467">
                  <c:v>-53.876059771182803</c:v>
                </c:pt>
                <c:pt idx="468">
                  <c:v>-53.968409545204672</c:v>
                </c:pt>
                <c:pt idx="469">
                  <c:v>-54.060393995170635</c:v>
                </c:pt>
                <c:pt idx="470">
                  <c:v>-54.152015655614264</c:v>
                </c:pt>
                <c:pt idx="471">
                  <c:v>-54.243277035639025</c:v>
                </c:pt>
                <c:pt idx="472">
                  <c:v>-54.334180619250255</c:v>
                </c:pt>
                <c:pt idx="473">
                  <c:v>-54.424728865681999</c:v>
                </c:pt>
                <c:pt idx="474">
                  <c:v>-54.5149242097187</c:v>
                </c:pt>
                <c:pt idx="475">
                  <c:v>-54.604769062011947</c:v>
                </c:pt>
                <c:pt idx="476">
                  <c:v>-54.694265809392292</c:v>
                </c:pt>
                <c:pt idx="477">
                  <c:v>-54.783416815176253</c:v>
                </c:pt>
                <c:pt idx="478">
                  <c:v>-54.872224419468544</c:v>
                </c:pt>
                <c:pt idx="479">
                  <c:v>-54.960690939459703</c:v>
                </c:pt>
                <c:pt idx="480">
                  <c:v>-55.048818669719132</c:v>
                </c:pt>
                <c:pt idx="481">
                  <c:v>-55.136609882483555</c:v>
                </c:pt>
                <c:pt idx="482">
                  <c:v>-55.224066827941201</c:v>
                </c:pt>
                <c:pt idx="483">
                  <c:v>-55.311191734511482</c:v>
                </c:pt>
                <c:pt idx="484">
                  <c:v>-55.397986809120532</c:v>
                </c:pt>
                <c:pt idx="485">
                  <c:v>-55.484454237472519</c:v>
                </c:pt>
                <c:pt idx="486">
                  <c:v>-55.570596184316727</c:v>
                </c:pt>
                <c:pt idx="487">
                  <c:v>-55.656414793710773</c:v>
                </c:pt>
                <c:pt idx="488">
                  <c:v>-55.741912189279638</c:v>
                </c:pt>
                <c:pt idx="489">
                  <c:v>-55.827090474470957</c:v>
                </c:pt>
                <c:pt idx="490">
                  <c:v>-55.91195173280633</c:v>
                </c:pt>
                <c:pt idx="491">
                  <c:v>-55.996498028128947</c:v>
                </c:pt>
                <c:pt idx="492">
                  <c:v>-56.08073140484742</c:v>
                </c:pt>
                <c:pt idx="493">
                  <c:v>-56.164653888175977</c:v>
                </c:pt>
                <c:pt idx="494">
                  <c:v>-56.248267484371119</c:v>
                </c:pt>
                <c:pt idx="495">
                  <c:v>-56.331574180964672</c:v>
                </c:pt>
                <c:pt idx="496">
                  <c:v>-56.414575946993388</c:v>
                </c:pt>
                <c:pt idx="497">
                  <c:v>-56.497274733225169</c:v>
                </c:pt>
                <c:pt idx="498">
                  <c:v>-56.579672472381887</c:v>
                </c:pt>
                <c:pt idx="499">
                  <c:v>-56.661771079358942</c:v>
                </c:pt>
                <c:pt idx="500">
                  <c:v>-56.743572451441537</c:v>
                </c:pt>
                <c:pt idx="501">
                  <c:v>-56.82507846851783</c:v>
                </c:pt>
                <c:pt idx="502">
                  <c:v>-56.906290993288842</c:v>
                </c:pt>
                <c:pt idx="503">
                  <c:v>-56.987211871475424</c:v>
                </c:pt>
                <c:pt idx="504">
                  <c:v>-57.067842932022103</c:v>
                </c:pt>
                <c:pt idx="505">
                  <c:v>-57.148185987297921</c:v>
                </c:pt>
                <c:pt idx="506">
                  <c:v>-57.228242833294452</c:v>
                </c:pt>
                <c:pt idx="507">
                  <c:v>-57.308015249820841</c:v>
                </c:pt>
                <c:pt idx="508">
                  <c:v>-57.387505000696052</c:v>
                </c:pt>
                <c:pt idx="509">
                  <c:v>-57.466713833938343</c:v>
                </c:pt>
                <c:pt idx="510">
                  <c:v>-57.545643481951949</c:v>
                </c:pt>
                <c:pt idx="511">
                  <c:v>-57.624295661711173</c:v>
                </c:pt>
                <c:pt idx="512">
                  <c:v>-57.702672074941674</c:v>
                </c:pt>
                <c:pt idx="513">
                  <c:v>-57.780774408299308</c:v>
                </c:pt>
                <c:pt idx="514">
                  <c:v>-57.85860433354631</c:v>
                </c:pt>
                <c:pt idx="515">
                  <c:v>-57.936163507724991</c:v>
                </c:pt>
                <c:pt idx="516">
                  <c:v>-58.013453573328952</c:v>
                </c:pt>
                <c:pt idx="517">
                  <c:v>-58.090476158471859</c:v>
                </c:pt>
                <c:pt idx="518">
                  <c:v>-58.167232877053806</c:v>
                </c:pt>
                <c:pt idx="519">
                  <c:v>-58.243725328925365</c:v>
                </c:pt>
                <c:pt idx="520">
                  <c:v>-58.319955100049256</c:v>
                </c:pt>
                <c:pt idx="521">
                  <c:v>-58.39592376265977</c:v>
                </c:pt>
                <c:pt idx="522">
                  <c:v>-58.471632875419985</c:v>
                </c:pt>
                <c:pt idx="523">
                  <c:v>-58.547083983576663</c:v>
                </c:pt>
                <c:pt idx="524">
                  <c:v>-58.622278619113118</c:v>
                </c:pt>
                <c:pt idx="525">
                  <c:v>-58.697218300899834</c:v>
                </c:pt>
                <c:pt idx="526">
                  <c:v>-58.771904534843003</c:v>
                </c:pt>
                <c:pt idx="527">
                  <c:v>-58.846338814031071</c:v>
                </c:pt>
                <c:pt idx="528">
                  <c:v>-58.920522618879133</c:v>
                </c:pt>
                <c:pt idx="529">
                  <c:v>-58.994457417271427</c:v>
                </c:pt>
                <c:pt idx="530">
                  <c:v>-59.068144664701812</c:v>
                </c:pt>
                <c:pt idx="531">
                  <c:v>-59.141585804412273</c:v>
                </c:pt>
                <c:pt idx="532">
                  <c:v>-59.2147822675296</c:v>
                </c:pt>
                <c:pt idx="533">
                  <c:v>-59.287735473200136</c:v>
                </c:pt>
                <c:pt idx="534">
                  <c:v>-59.360446828722701</c:v>
                </c:pt>
                <c:pt idx="535">
                  <c:v>-59.432917729679637</c:v>
                </c:pt>
                <c:pt idx="536">
                  <c:v>-59.505149560066201</c:v>
                </c:pt>
                <c:pt idx="537">
                  <c:v>-59.577143692418048</c:v>
                </c:pt>
                <c:pt idx="538">
                  <c:v>-59.648901487937053</c:v>
                </c:pt>
                <c:pt idx="539">
                  <c:v>-59.720424296615477</c:v>
                </c:pt>
                <c:pt idx="540">
                  <c:v>-59.79171345735832</c:v>
                </c:pt>
                <c:pt idx="541">
                  <c:v>-59.862770298104166</c:v>
                </c:pt>
                <c:pt idx="542">
                  <c:v>-59.933596135944313</c:v>
                </c:pt>
                <c:pt idx="543">
                  <c:v>-60.004192277240335</c:v>
                </c:pt>
                <c:pt idx="544">
                  <c:v>-60.074560017740069</c:v>
                </c:pt>
                <c:pt idx="545">
                  <c:v>-60.144700642692037</c:v>
                </c:pt>
                <c:pt idx="546">
                  <c:v>-60.214615426958353</c:v>
                </c:pt>
                <c:pt idx="547">
                  <c:v>-60.284305635126145</c:v>
                </c:pt>
                <c:pt idx="548">
                  <c:v>-60.353772521617458</c:v>
                </c:pt>
                <c:pt idx="549">
                  <c:v>-60.423017330797748</c:v>
                </c:pt>
                <c:pt idx="550">
                  <c:v>-60.492041297082892</c:v>
                </c:pt>
                <c:pt idx="551">
                  <c:v>-60.5608456450448</c:v>
                </c:pt>
                <c:pt idx="552">
                  <c:v>-60.629431589515718</c:v>
                </c:pt>
                <c:pt idx="553">
                  <c:v>-60.697800335691021</c:v>
                </c:pt>
                <c:pt idx="554">
                  <c:v>-60.765953079230755</c:v>
                </c:pt>
                <c:pt idx="555">
                  <c:v>-60.83389100635987</c:v>
                </c:pt>
                <c:pt idx="556">
                  <c:v>-60.901615293967055</c:v>
                </c:pt>
                <c:pt idx="557">
                  <c:v>-60.969127109702342</c:v>
                </c:pt>
                <c:pt idx="558">
                  <c:v>-61.036427612073503</c:v>
                </c:pt>
                <c:pt idx="559">
                  <c:v>-61.103517950541047</c:v>
                </c:pt>
                <c:pt idx="560">
                  <c:v>-61.170399265612176</c:v>
                </c:pt>
                <c:pt idx="561">
                  <c:v>-61.237072688933324</c:v>
                </c:pt>
                <c:pt idx="562">
                  <c:v>-61.303539343381729</c:v>
                </c:pt>
                <c:pt idx="563">
                  <c:v>-61.369800343155639</c:v>
                </c:pt>
                <c:pt idx="564">
                  <c:v>-61.435856793863479</c:v>
                </c:pt>
                <c:pt idx="565">
                  <c:v>-61.50170979261182</c:v>
                </c:pt>
                <c:pt idx="566">
                  <c:v>-61.567360428092258</c:v>
                </c:pt>
                <c:pt idx="567">
                  <c:v>-61.632809780667202</c:v>
                </c:pt>
                <c:pt idx="568">
                  <c:v>-61.698058922454507</c:v>
                </c:pt>
                <c:pt idx="569">
                  <c:v>-61.76310891741111</c:v>
                </c:pt>
                <c:pt idx="570">
                  <c:v>-61.827960821415566</c:v>
                </c:pt>
                <c:pt idx="571">
                  <c:v>-61.892615682349579</c:v>
                </c:pt>
                <c:pt idx="572">
                  <c:v>-61.957074540178461</c:v>
                </c:pt>
                <c:pt idx="573">
                  <c:v>-62.021338427030628</c:v>
                </c:pt>
                <c:pt idx="574">
                  <c:v>-62.085408367276074</c:v>
                </c:pt>
                <c:pt idx="575">
                  <c:v>-62.14928537760386</c:v>
                </c:pt>
                <c:pt idx="576">
                  <c:v>-62.212970467098678</c:v>
                </c:pt>
                <c:pt idx="577">
                  <c:v>-62.276464637316415</c:v>
                </c:pt>
                <c:pt idx="578">
                  <c:v>-62.33976888235879</c:v>
                </c:pt>
                <c:pt idx="579">
                  <c:v>-62.402884188947134</c:v>
                </c:pt>
                <c:pt idx="580">
                  <c:v>-62.46581153649511</c:v>
                </c:pt>
                <c:pt idx="581">
                  <c:v>-62.528551897180733</c:v>
                </c:pt>
                <c:pt idx="582">
                  <c:v>-62.591106236017346</c:v>
                </c:pt>
                <c:pt idx="583">
                  <c:v>-62.653475510923748</c:v>
                </c:pt>
                <c:pt idx="584">
                  <c:v>-62.715660672793589</c:v>
                </c:pt>
                <c:pt idx="585">
                  <c:v>-62.777662665563774</c:v>
                </c:pt>
                <c:pt idx="586">
                  <c:v>-62.839482426282089</c:v>
                </c:pt>
                <c:pt idx="587">
                  <c:v>-62.901120885173974</c:v>
                </c:pt>
                <c:pt idx="588">
                  <c:v>-62.96257896570863</c:v>
                </c:pt>
                <c:pt idx="589">
                  <c:v>-63.023857584664036</c:v>
                </c:pt>
                <c:pt idx="590">
                  <c:v>-63.084957652191527</c:v>
                </c:pt>
                <c:pt idx="591">
                  <c:v>-63.145880071879354</c:v>
                </c:pt>
                <c:pt idx="592">
                  <c:v>-63.206625740815497</c:v>
                </c:pt>
                <c:pt idx="593">
                  <c:v>-63.267195549649884</c:v>
                </c:pt>
                <c:pt idx="594">
                  <c:v>-63.327590382655679</c:v>
                </c:pt>
                <c:pt idx="595">
                  <c:v>-63.38781111778998</c:v>
                </c:pt>
                <c:pt idx="596">
                  <c:v>-63.447858626753693</c:v>
                </c:pt>
                <c:pt idx="597">
                  <c:v>-63.507733775050745</c:v>
                </c:pt>
                <c:pt idx="598">
                  <c:v>-63.567437422046602</c:v>
                </c:pt>
                <c:pt idx="599">
                  <c:v>-63.626970421026073</c:v>
                </c:pt>
                <c:pt idx="600">
                  <c:v>-63.686333619250448</c:v>
                </c:pt>
                <c:pt idx="601">
                  <c:v>-63.745527858013908</c:v>
                </c:pt>
                <c:pt idx="602">
                  <c:v>-63.804553972699374</c:v>
                </c:pt>
                <c:pt idx="603">
                  <c:v>-63.863412792833635</c:v>
                </c:pt>
                <c:pt idx="604">
                  <c:v>-63.922105142141788</c:v>
                </c:pt>
                <c:pt idx="605">
                  <c:v>-63.980631838601184</c:v>
                </c:pt>
                <c:pt idx="606">
                  <c:v>-66.712307232505864</c:v>
                </c:pt>
                <c:pt idx="607">
                  <c:v>-69.115897719665909</c:v>
                </c:pt>
                <c:pt idx="608">
                  <c:v>-71.254771271211041</c:v>
                </c:pt>
                <c:pt idx="609">
                  <c:v>-73.176456514365469</c:v>
                </c:pt>
                <c:pt idx="610">
                  <c:v>-74.917439941563657</c:v>
                </c:pt>
                <c:pt idx="611">
                  <c:v>-76.50626671736444</c:v>
                </c:pt>
                <c:pt idx="612">
                  <c:v>-77.965624205472466</c:v>
                </c:pt>
                <c:pt idx="613">
                  <c:v>-79.31378792855989</c:v>
                </c:pt>
                <c:pt idx="614">
                  <c:v>-80.565652392119915</c:v>
                </c:pt>
                <c:pt idx="615">
                  <c:v>-81.733482610059838</c:v>
                </c:pt>
                <c:pt idx="616">
                  <c:v>-82.827472413111423</c:v>
                </c:pt>
                <c:pt idx="617">
                  <c:v>-83.856165893935525</c:v>
                </c:pt>
                <c:pt idx="618">
                  <c:v>-84.250737783635472</c:v>
                </c:pt>
                <c:pt idx="619">
                  <c:v>-84.636358388276363</c:v>
                </c:pt>
                <c:pt idx="620">
                  <c:v>-85.013420369969722</c:v>
                </c:pt>
                <c:pt idx="621">
                  <c:v>-85.382292355795329</c:v>
                </c:pt>
                <c:pt idx="622">
                  <c:v>-85.743320776194736</c:v>
                </c:pt>
                <c:pt idx="623">
                  <c:v>-86.096831536909079</c:v>
                </c:pt>
                <c:pt idx="624">
                  <c:v>-86.443131541814111</c:v>
                </c:pt>
                <c:pt idx="625">
                  <c:v>-86.782510081952452</c:v>
                </c:pt>
                <c:pt idx="626">
                  <c:v>-87.115240104281852</c:v>
                </c:pt>
                <c:pt idx="627">
                  <c:v>-87.441579372112841</c:v>
                </c:pt>
                <c:pt idx="628">
                  <c:v>-87.761771527859693</c:v>
                </c:pt>
                <c:pt idx="629">
                  <c:v>-88.076047067551798</c:v>
                </c:pt>
                <c:pt idx="630">
                  <c:v>-88.384624235520519</c:v>
                </c:pt>
                <c:pt idx="631">
                  <c:v>-88.687709846771014</c:v>
                </c:pt>
                <c:pt idx="632">
                  <c:v>-88.985500043752253</c:v>
                </c:pt>
                <c:pt idx="633">
                  <c:v>-89.278180993535941</c:v>
                </c:pt>
                <c:pt idx="634">
                  <c:v>-89.565929530794563</c:v>
                </c:pt>
                <c:pt idx="635">
                  <c:v>-89.848913751420099</c:v>
                </c:pt>
                <c:pt idx="636">
                  <c:v>-90.127293561137861</c:v>
                </c:pt>
                <c:pt idx="637">
                  <c:v>-90.401221183037876</c:v>
                </c:pt>
                <c:pt idx="638">
                  <c:v>-90.670841627561231</c:v>
                </c:pt>
                <c:pt idx="639">
                  <c:v>-90.936293128136455</c:v>
                </c:pt>
                <c:pt idx="640">
                  <c:v>-91.197707545355115</c:v>
                </c:pt>
                <c:pt idx="641">
                  <c:v>-91.455210742302199</c:v>
                </c:pt>
                <c:pt idx="642">
                  <c:v>-91.708922933412254</c:v>
                </c:pt>
                <c:pt idx="643">
                  <c:v>-91.958959009003408</c:v>
                </c:pt>
                <c:pt idx="644">
                  <c:v>-92.20542883744406</c:v>
                </c:pt>
                <c:pt idx="645">
                  <c:v>-92.448437546730162</c:v>
                </c:pt>
                <c:pt idx="646">
                  <c:v>-92.688085787092803</c:v>
                </c:pt>
                <c:pt idx="647">
                  <c:v>-92.924469976110871</c:v>
                </c:pt>
                <c:pt idx="648">
                  <c:v>-93.157682527676002</c:v>
                </c:pt>
                <c:pt idx="649">
                  <c:v>-93.387812066039274</c:v>
                </c:pt>
                <c:pt idx="650">
                  <c:v>-93.614943626063422</c:v>
                </c:pt>
                <c:pt idx="651">
                  <c:v>-93.839158840709928</c:v>
                </c:pt>
                <c:pt idx="652">
                  <c:v>-94.060536116702892</c:v>
                </c:pt>
                <c:pt idx="653">
                  <c:v>-94.279150799233179</c:v>
                </c:pt>
                <c:pt idx="654">
                  <c:v>-94.495075326496035</c:v>
                </c:pt>
                <c:pt idx="655">
                  <c:v>-94.708379374789416</c:v>
                </c:pt>
                <c:pt idx="656">
                  <c:v>-94.919129994842592</c:v>
                </c:pt>
                <c:pt idx="657">
                  <c:v>-95.127391739990159</c:v>
                </c:pt>
                <c:pt idx="658">
                  <c:v>-95.333226786758289</c:v>
                </c:pt>
                <c:pt idx="659">
                  <c:v>-95.536695048385383</c:v>
                </c:pt>
                <c:pt idx="660">
                  <c:v>-95.737854281758587</c:v>
                </c:pt>
                <c:pt idx="661">
                  <c:v>-95.936760188210542</c:v>
                </c:pt>
                <c:pt idx="662">
                  <c:v>-96.133466508587091</c:v>
                </c:pt>
                <c:pt idx="663">
                  <c:v>-96.328025112964824</c:v>
                </c:pt>
                <c:pt idx="664">
                  <c:v>-96.520486085369996</c:v>
                </c:pt>
                <c:pt idx="665">
                  <c:v>-96.710897803823102</c:v>
                </c:pt>
                <c:pt idx="666">
                  <c:v>-96.899307016010439</c:v>
                </c:pt>
                <c:pt idx="667">
                  <c:v>-97.085758910861486</c:v>
                </c:pt>
              </c:numCache>
            </c:numRef>
          </c:yVal>
          <c:smooth val="1"/>
          <c:extLst>
            <c:ext xmlns:c16="http://schemas.microsoft.com/office/drawing/2014/chart" uri="{C3380CC4-5D6E-409C-BE32-E72D297353CC}">
              <c16:uniqueId val="{00000000-D5A9-449A-A5D9-B3CFE1720AFE}"/>
            </c:ext>
          </c:extLst>
        </c:ser>
        <c:ser>
          <c:idx val="5"/>
          <c:order val="2"/>
          <c:tx>
            <c:v>LC Double Pole</c:v>
          </c:tx>
          <c:spPr>
            <a:ln w="28575">
              <a:solidFill>
                <a:schemeClr val="tx1"/>
              </a:solidFill>
            </a:ln>
          </c:spPr>
          <c:marker>
            <c:symbol val="x"/>
            <c:size val="8"/>
            <c:spPr>
              <a:noFill/>
              <a:ln w="22225">
                <a:solidFill>
                  <a:schemeClr val="tx1"/>
                </a:solidFill>
              </a:ln>
            </c:spPr>
          </c:marker>
          <c:dLbls>
            <c:dLbl>
              <c:idx val="0"/>
              <c:layout>
                <c:manualLayout>
                  <c:x val="5.9616632195422774E-3"/>
                  <c:y val="0"/>
                </c:manualLayout>
              </c:layout>
              <c:dLblPos val="r"/>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1-D5A9-449A-A5D9-B3CFE1720AFE}"/>
                </c:ext>
              </c:extLst>
            </c:dLbl>
            <c:spPr>
              <a:noFill/>
              <a:ln w="25400">
                <a:noFill/>
              </a:ln>
            </c:spPr>
            <c:txPr>
              <a:bodyPr rot="0"/>
              <a:lstStyle/>
              <a:p>
                <a:pPr algn="ctr" rtl="0">
                  <a:defRPr sz="1000" b="1" i="0" u="none" strike="noStrike" baseline="0">
                    <a:solidFill>
                      <a:srgbClr val="000000"/>
                    </a:solidFill>
                    <a:latin typeface="Arial"/>
                    <a:ea typeface="Arial"/>
                    <a:cs typeface="Arial"/>
                  </a:defRPr>
                </a:pPr>
                <a:endParaRPr lang="en-US"/>
              </a:p>
            </c:txPr>
            <c:dLblPos val="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'Bode Plots Calculations'!$B$683</c:f>
              <c:numCache>
                <c:formatCode>General</c:formatCode>
                <c:ptCount val="1"/>
                <c:pt idx="0">
                  <c:v>8.6678955466478627</c:v>
                </c:pt>
              </c:numCache>
            </c:numRef>
          </c:xVal>
          <c:yVal>
            <c:numRef>
              <c:f>'Bode Plots Calculations'!$BF$683</c:f>
              <c:numCache>
                <c:formatCode>General</c:formatCode>
                <c:ptCount val="1"/>
                <c:pt idx="0">
                  <c:v>29.227017399217885</c:v>
                </c:pt>
              </c:numCache>
            </c:numRef>
          </c:yVal>
          <c:smooth val="1"/>
          <c:extLst>
            <c:ext xmlns:c16="http://schemas.microsoft.com/office/drawing/2014/chart" uri="{C3380CC4-5D6E-409C-BE32-E72D297353CC}">
              <c16:uniqueId val="{00000002-D5A9-449A-A5D9-B3CFE1720AFE}"/>
            </c:ext>
          </c:extLst>
        </c:ser>
        <c:ser>
          <c:idx val="6"/>
          <c:order val="3"/>
          <c:tx>
            <c:v>Fz1</c:v>
          </c:tx>
          <c:spPr>
            <a:ln w="28575">
              <a:noFill/>
            </a:ln>
          </c:spPr>
          <c:marker>
            <c:symbol val="circle"/>
            <c:size val="8"/>
            <c:spPr>
              <a:noFill/>
              <a:ln w="19050">
                <a:solidFill>
                  <a:srgbClr val="000000"/>
                </a:solidFill>
                <a:prstDash val="solid"/>
              </a:ln>
            </c:spPr>
          </c:marker>
          <c:dLbls>
            <c:dLbl>
              <c:idx val="0"/>
              <c:tx>
                <c:rich>
                  <a:bodyPr/>
                  <a:lstStyle/>
                  <a:p>
                    <a:r>
                      <a:rPr lang="en-US">
                        <a:solidFill>
                          <a:srgbClr val="0000FF"/>
                        </a:solidFill>
                      </a:rPr>
                      <a:t>F</a:t>
                    </a:r>
                    <a:r>
                      <a:rPr lang="en-US" baseline="-25000"/>
                      <a:t>Z1</a:t>
                    </a:r>
                  </a:p>
                </c:rich>
              </c:tx>
              <c:dLblPos val="t"/>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3-D5A9-449A-A5D9-B3CFE1720AFE}"/>
                </c:ext>
              </c:extLst>
            </c:dLbl>
            <c:spPr>
              <a:noFill/>
              <a:ln w="25400">
                <a:noFill/>
              </a:ln>
            </c:spPr>
            <c:txPr>
              <a:bodyPr/>
              <a:lstStyle/>
              <a:p>
                <a:pPr>
                  <a:defRPr sz="1000" b="1" i="0" u="none" strike="noStrike" baseline="0">
                    <a:solidFill>
                      <a:srgbClr val="0000FF"/>
                    </a:solidFill>
                    <a:latin typeface="Arial"/>
                    <a:ea typeface="Arial"/>
                    <a:cs typeface="Arial"/>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'Bode Plots Calculations'!$B$684</c:f>
              <c:numCache>
                <c:formatCode>General</c:formatCode>
                <c:ptCount val="1"/>
                <c:pt idx="0">
                  <c:v>2.9038633643584215</c:v>
                </c:pt>
              </c:numCache>
            </c:numRef>
          </c:xVal>
          <c:yVal>
            <c:numRef>
              <c:f>'Bode Plots Calculations'!$BF$684</c:f>
              <c:numCache>
                <c:formatCode>General</c:formatCode>
                <c:ptCount val="1"/>
                <c:pt idx="0">
                  <c:v>19.547466547550286</c:v>
                </c:pt>
              </c:numCache>
            </c:numRef>
          </c:yVal>
          <c:smooth val="1"/>
          <c:extLst>
            <c:ext xmlns:c16="http://schemas.microsoft.com/office/drawing/2014/chart" uri="{C3380CC4-5D6E-409C-BE32-E72D297353CC}">
              <c16:uniqueId val="{00000004-D5A9-449A-A5D9-B3CFE1720AFE}"/>
            </c:ext>
          </c:extLst>
        </c:ser>
        <c:ser>
          <c:idx val="7"/>
          <c:order val="4"/>
          <c:tx>
            <c:v>Fz2</c:v>
          </c:tx>
          <c:spPr>
            <a:ln w="28575">
              <a:noFill/>
            </a:ln>
          </c:spPr>
          <c:marker>
            <c:symbol val="circle"/>
            <c:size val="8"/>
            <c:spPr>
              <a:noFill/>
              <a:ln w="19050" cap="rnd">
                <a:solidFill>
                  <a:srgbClr val="000000"/>
                </a:solidFill>
                <a:prstDash val="solid"/>
                <a:round/>
              </a:ln>
            </c:spPr>
          </c:marker>
          <c:dLbls>
            <c:dLbl>
              <c:idx val="0"/>
              <c:tx>
                <c:rich>
                  <a:bodyPr/>
                  <a:lstStyle/>
                  <a:p>
                    <a:r>
                      <a:rPr lang="en-US">
                        <a:solidFill>
                          <a:srgbClr val="0000FF"/>
                        </a:solidFill>
                      </a:rPr>
                      <a:t>F</a:t>
                    </a:r>
                    <a:r>
                      <a:rPr lang="en-US" baseline="-25000"/>
                      <a:t>Z2</a:t>
                    </a:r>
                  </a:p>
                </c:rich>
              </c:tx>
              <c:dLblPos val="b"/>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5-D5A9-449A-A5D9-B3CFE1720AFE}"/>
                </c:ext>
              </c:extLst>
            </c:dLbl>
            <c:spPr>
              <a:noFill/>
              <a:ln w="25400">
                <a:noFill/>
              </a:ln>
            </c:spPr>
            <c:txPr>
              <a:bodyPr/>
              <a:lstStyle/>
              <a:p>
                <a:pPr>
                  <a:defRPr sz="1000" b="1" i="0" u="none" strike="noStrike" baseline="0">
                    <a:solidFill>
                      <a:srgbClr val="0000FF"/>
                    </a:solidFill>
                    <a:latin typeface="Arial"/>
                    <a:ea typeface="Arial"/>
                    <a:cs typeface="Arial"/>
                  </a:defRPr>
                </a:pPr>
                <a:endParaRPr lang="en-US"/>
              </a:p>
            </c:txPr>
            <c:dLblPos val="b"/>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'Bode Plots Calculations'!$B$685</c:f>
              <c:numCache>
                <c:formatCode>General</c:formatCode>
                <c:ptCount val="1"/>
                <c:pt idx="0">
                  <c:v>7.560409825318219</c:v>
                </c:pt>
              </c:numCache>
            </c:numRef>
          </c:xVal>
          <c:yVal>
            <c:numRef>
              <c:f>'Bode Plots Calculations'!$BF$685</c:f>
              <c:numCache>
                <c:formatCode>General</c:formatCode>
                <c:ptCount val="1"/>
                <c:pt idx="0">
                  <c:v>27.414364327070636</c:v>
                </c:pt>
              </c:numCache>
            </c:numRef>
          </c:yVal>
          <c:smooth val="1"/>
          <c:extLst>
            <c:ext xmlns:c16="http://schemas.microsoft.com/office/drawing/2014/chart" uri="{C3380CC4-5D6E-409C-BE32-E72D297353CC}">
              <c16:uniqueId val="{00000006-D5A9-449A-A5D9-B3CFE1720AFE}"/>
            </c:ext>
          </c:extLst>
        </c:ser>
        <c:ser>
          <c:idx val="8"/>
          <c:order val="5"/>
          <c:tx>
            <c:v>Fp1</c:v>
          </c:tx>
          <c:spPr>
            <a:ln w="28575">
              <a:noFill/>
            </a:ln>
          </c:spPr>
          <c:marker>
            <c:symbol val="x"/>
            <c:size val="8"/>
            <c:spPr>
              <a:noFill/>
              <a:ln w="22225">
                <a:solidFill>
                  <a:srgbClr val="000000"/>
                </a:solidFill>
                <a:prstDash val="solid"/>
              </a:ln>
            </c:spPr>
          </c:marker>
          <c:dLbls>
            <c:dLbl>
              <c:idx val="0"/>
              <c:tx>
                <c:rich>
                  <a:bodyPr/>
                  <a:lstStyle/>
                  <a:p>
                    <a:r>
                      <a:rPr lang="en-US">
                        <a:solidFill>
                          <a:srgbClr val="0000FF"/>
                        </a:solidFill>
                      </a:rPr>
                      <a:t>F</a:t>
                    </a:r>
                    <a:r>
                      <a:rPr lang="en-US" baseline="-25000"/>
                      <a:t>P1</a:t>
                    </a:r>
                  </a:p>
                </c:rich>
              </c:tx>
              <c:dLblPos val="r"/>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7-D5A9-449A-A5D9-B3CFE1720AFE}"/>
                </c:ext>
              </c:extLst>
            </c:dLbl>
            <c:spPr>
              <a:noFill/>
              <a:ln w="25400">
                <a:noFill/>
              </a:ln>
            </c:spPr>
            <c:txPr>
              <a:bodyPr/>
              <a:lstStyle/>
              <a:p>
                <a:pPr>
                  <a:defRPr sz="1000" b="1" i="0" u="none" strike="noStrike" baseline="0">
                    <a:solidFill>
                      <a:srgbClr val="0000FF"/>
                    </a:solidFill>
                    <a:latin typeface="Arial"/>
                    <a:ea typeface="Arial"/>
                    <a:cs typeface="Arial"/>
                  </a:defRPr>
                </a:pPr>
                <a:endParaRPr lang="en-US"/>
              </a:p>
            </c:txPr>
            <c:dLblPos val="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'Bode Plots Calculations'!$B$686</c:f>
              <c:numCache>
                <c:formatCode>General</c:formatCode>
                <c:ptCount val="1"/>
                <c:pt idx="0">
                  <c:v>3114.5781462574628</c:v>
                </c:pt>
              </c:numCache>
            </c:numRef>
          </c:xVal>
          <c:yVal>
            <c:numRef>
              <c:f>'Bode Plots Calculations'!$BF$686</c:f>
              <c:numCache>
                <c:formatCode>General</c:formatCode>
                <c:ptCount val="1"/>
                <c:pt idx="0">
                  <c:v>-73.994922342811705</c:v>
                </c:pt>
              </c:numCache>
            </c:numRef>
          </c:yVal>
          <c:smooth val="1"/>
          <c:extLst>
            <c:ext xmlns:c16="http://schemas.microsoft.com/office/drawing/2014/chart" uri="{C3380CC4-5D6E-409C-BE32-E72D297353CC}">
              <c16:uniqueId val="{00000008-D5A9-449A-A5D9-B3CFE1720AFE}"/>
            </c:ext>
          </c:extLst>
        </c:ser>
        <c:ser>
          <c:idx val="9"/>
          <c:order val="6"/>
          <c:tx>
            <c:v>Fp2</c:v>
          </c:tx>
          <c:spPr>
            <a:ln w="28575">
              <a:solidFill>
                <a:schemeClr val="tx1"/>
              </a:solidFill>
            </a:ln>
          </c:spPr>
          <c:marker>
            <c:symbol val="x"/>
            <c:size val="8"/>
            <c:spPr>
              <a:noFill/>
              <a:ln w="22225">
                <a:solidFill>
                  <a:schemeClr val="tx1"/>
                </a:solidFill>
              </a:ln>
            </c:spPr>
          </c:marker>
          <c:dLbls>
            <c:dLbl>
              <c:idx val="0"/>
              <c:tx>
                <c:rich>
                  <a:bodyPr/>
                  <a:lstStyle/>
                  <a:p>
                    <a:r>
                      <a:rPr lang="en-US">
                        <a:solidFill>
                          <a:srgbClr val="0000FF"/>
                        </a:solidFill>
                      </a:rPr>
                      <a:t>F</a:t>
                    </a:r>
                    <a:r>
                      <a:rPr lang="en-US" baseline="-25000"/>
                      <a:t>P2</a:t>
                    </a:r>
                  </a:p>
                </c:rich>
              </c:tx>
              <c:dLblPos val="t"/>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9-D5A9-449A-A5D9-B3CFE1720AFE}"/>
                </c:ext>
              </c:extLst>
            </c:dLbl>
            <c:spPr>
              <a:noFill/>
              <a:ln w="25400">
                <a:noFill/>
              </a:ln>
            </c:spPr>
            <c:txPr>
              <a:bodyPr/>
              <a:lstStyle/>
              <a:p>
                <a:pPr>
                  <a:defRPr sz="1000" b="1" i="0" u="none" strike="noStrike" baseline="0">
                    <a:solidFill>
                      <a:srgbClr val="0000FF"/>
                    </a:solidFill>
                    <a:latin typeface="Arial"/>
                    <a:ea typeface="Arial"/>
                    <a:cs typeface="Arial"/>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'Bode Plots Calculations'!$B$687</c:f>
              <c:numCache>
                <c:formatCode>General</c:formatCode>
                <c:ptCount val="1"/>
                <c:pt idx="0">
                  <c:v>200.36657214073108</c:v>
                </c:pt>
              </c:numCache>
            </c:numRef>
          </c:xVal>
          <c:yVal>
            <c:numRef>
              <c:f>'Bode Plots Calculations'!$BF$687</c:f>
              <c:numCache>
                <c:formatCode>General</c:formatCode>
                <c:ptCount val="1"/>
                <c:pt idx="0">
                  <c:v>-14.102365029443426</c:v>
                </c:pt>
              </c:numCache>
            </c:numRef>
          </c:yVal>
          <c:smooth val="1"/>
          <c:extLst>
            <c:ext xmlns:c16="http://schemas.microsoft.com/office/drawing/2014/chart" uri="{C3380CC4-5D6E-409C-BE32-E72D297353CC}">
              <c16:uniqueId val="{0000000A-D5A9-449A-A5D9-B3CFE1720AFE}"/>
            </c:ext>
          </c:extLst>
        </c:ser>
        <c:ser>
          <c:idx val="4"/>
          <c:order val="7"/>
          <c:tx>
            <c:v>F_ESR</c:v>
          </c:tx>
          <c:spPr>
            <a:ln w="28575">
              <a:noFill/>
            </a:ln>
          </c:spPr>
          <c:marker>
            <c:symbol val="circle"/>
            <c:size val="8"/>
            <c:spPr>
              <a:noFill/>
              <a:ln w="19050">
                <a:solidFill>
                  <a:srgbClr val="000000"/>
                </a:solidFill>
                <a:prstDash val="solid"/>
              </a:ln>
            </c:spPr>
          </c:marker>
          <c:dLbls>
            <c:dLbl>
              <c:idx val="0"/>
              <c:tx>
                <c:rich>
                  <a:bodyPr/>
                  <a:lstStyle/>
                  <a:p>
                    <a:r>
                      <a:rPr lang="en-US" b="1"/>
                      <a:t>F</a:t>
                    </a:r>
                    <a:r>
                      <a:rPr lang="en-US" baseline="-25000"/>
                      <a:t>ESR</a:t>
                    </a:r>
                  </a:p>
                </c:rich>
              </c:tx>
              <c:dLblPos val="l"/>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B-D5A9-449A-A5D9-B3CFE1720AFE}"/>
                </c:ext>
              </c:extLst>
            </c:dLbl>
            <c:spPr>
              <a:noFill/>
              <a:ln w="25400">
                <a:noFill/>
              </a:ln>
            </c:spPr>
            <c:txPr>
              <a:bodyPr/>
              <a:lstStyle/>
              <a:p>
                <a:pPr>
                  <a:defRPr sz="1000" b="1" i="0" u="none" strike="noStrike" baseline="0">
                    <a:solidFill>
                      <a:srgbClr val="000000"/>
                    </a:solidFill>
                    <a:latin typeface="Arial"/>
                    <a:ea typeface="Arial"/>
                    <a:cs typeface="Arial"/>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'Bode Plots Calculations'!$B$682</c:f>
              <c:numCache>
                <c:formatCode>General</c:formatCode>
                <c:ptCount val="1"/>
                <c:pt idx="0">
                  <c:v>3183.0988654751277</c:v>
                </c:pt>
              </c:numCache>
            </c:numRef>
          </c:xVal>
          <c:yVal>
            <c:numRef>
              <c:f>'Bode Plots Calculations'!$BF$682</c:f>
              <c:numCache>
                <c:formatCode>General</c:formatCode>
                <c:ptCount val="1"/>
                <c:pt idx="0">
                  <c:v>-74.467518468760233</c:v>
                </c:pt>
              </c:numCache>
            </c:numRef>
          </c:yVal>
          <c:smooth val="1"/>
          <c:extLst>
            <c:ext xmlns:c16="http://schemas.microsoft.com/office/drawing/2014/chart" uri="{C3380CC4-5D6E-409C-BE32-E72D297353CC}">
              <c16:uniqueId val="{0000000C-D5A9-449A-A5D9-B3CFE1720AFE}"/>
            </c:ext>
          </c:extLst>
        </c:ser>
        <c:dLbls>
          <c:showLegendKey val="0"/>
          <c:showVal val="0"/>
          <c:showCatName val="0"/>
          <c:showSerName val="0"/>
          <c:showPercent val="0"/>
          <c:showBubbleSize val="0"/>
        </c:dLbls>
        <c:axId val="137321088"/>
        <c:axId val="142865152"/>
      </c:scatterChart>
      <c:scatterChart>
        <c:scatterStyle val="lineMarker"/>
        <c:varyColors val="0"/>
        <c:ser>
          <c:idx val="3"/>
          <c:order val="1"/>
          <c:tx>
            <c:v>Loop Phase</c:v>
          </c:tx>
          <c:spPr>
            <a:ln w="34925">
              <a:solidFill>
                <a:srgbClr val="002060"/>
              </a:solidFill>
              <a:prstDash val="sysDash"/>
            </a:ln>
          </c:spPr>
          <c:marker>
            <c:symbol val="none"/>
          </c:marker>
          <c:xVal>
            <c:numRef>
              <c:f>'Bode Plots Calculations'!$B$9:$B$676</c:f>
              <c:numCache>
                <c:formatCode>General</c:formatCode>
                <c:ptCount val="668"/>
                <c:pt idx="0">
                  <c:v>1E-3</c:v>
                </c:pt>
                <c:pt idx="1">
                  <c:v>2E-3</c:v>
                </c:pt>
                <c:pt idx="2">
                  <c:v>3.0000000000000001E-3</c:v>
                </c:pt>
                <c:pt idx="3">
                  <c:v>4.0000000000000001E-3</c:v>
                </c:pt>
                <c:pt idx="4">
                  <c:v>5.0000000000000001E-3</c:v>
                </c:pt>
                <c:pt idx="5">
                  <c:v>6.0000000000000001E-3</c:v>
                </c:pt>
                <c:pt idx="6">
                  <c:v>7.0000000000000001E-3</c:v>
                </c:pt>
                <c:pt idx="7">
                  <c:v>8.0000000000000002E-3</c:v>
                </c:pt>
                <c:pt idx="8">
                  <c:v>8.9999999999999993E-3</c:v>
                </c:pt>
                <c:pt idx="9">
                  <c:v>0.01</c:v>
                </c:pt>
                <c:pt idx="10">
                  <c:v>0.02</c:v>
                </c:pt>
                <c:pt idx="11">
                  <c:v>0.03</c:v>
                </c:pt>
                <c:pt idx="12">
                  <c:v>0.04</c:v>
                </c:pt>
                <c:pt idx="13">
                  <c:v>0.05</c:v>
                </c:pt>
                <c:pt idx="14">
                  <c:v>0.06</c:v>
                </c:pt>
                <c:pt idx="15">
                  <c:v>7.0000000000000007E-2</c:v>
                </c:pt>
                <c:pt idx="16">
                  <c:v>0.08</c:v>
                </c:pt>
                <c:pt idx="17">
                  <c:v>0.09</c:v>
                </c:pt>
                <c:pt idx="18">
                  <c:v>0.1</c:v>
                </c:pt>
                <c:pt idx="19">
                  <c:v>0.2</c:v>
                </c:pt>
                <c:pt idx="20">
                  <c:v>0.3</c:v>
                </c:pt>
                <c:pt idx="21">
                  <c:v>0.4</c:v>
                </c:pt>
                <c:pt idx="22">
                  <c:v>0.5</c:v>
                </c:pt>
                <c:pt idx="23">
                  <c:v>0.6</c:v>
                </c:pt>
                <c:pt idx="24">
                  <c:v>0.7</c:v>
                </c:pt>
                <c:pt idx="25">
                  <c:v>0.8</c:v>
                </c:pt>
                <c:pt idx="26">
                  <c:v>0.9</c:v>
                </c:pt>
                <c:pt idx="27">
                  <c:v>1</c:v>
                </c:pt>
                <c:pt idx="28">
                  <c:v>1.5</c:v>
                </c:pt>
                <c:pt idx="29">
                  <c:v>2</c:v>
                </c:pt>
                <c:pt idx="30">
                  <c:v>2.5</c:v>
                </c:pt>
                <c:pt idx="31">
                  <c:v>3</c:v>
                </c:pt>
                <c:pt idx="32">
                  <c:v>3.5</c:v>
                </c:pt>
                <c:pt idx="33">
                  <c:v>4</c:v>
                </c:pt>
                <c:pt idx="34">
                  <c:v>4.5</c:v>
                </c:pt>
                <c:pt idx="35">
                  <c:v>5</c:v>
                </c:pt>
                <c:pt idx="36">
                  <c:v>5.5</c:v>
                </c:pt>
                <c:pt idx="37">
                  <c:v>6</c:v>
                </c:pt>
                <c:pt idx="38">
                  <c:v>6.5</c:v>
                </c:pt>
                <c:pt idx="39">
                  <c:v>7</c:v>
                </c:pt>
                <c:pt idx="40">
                  <c:v>7.5</c:v>
                </c:pt>
                <c:pt idx="41">
                  <c:v>8</c:v>
                </c:pt>
                <c:pt idx="42">
                  <c:v>8.5</c:v>
                </c:pt>
                <c:pt idx="43">
                  <c:v>9</c:v>
                </c:pt>
                <c:pt idx="44">
                  <c:v>9.5</c:v>
                </c:pt>
                <c:pt idx="45">
                  <c:v>10</c:v>
                </c:pt>
                <c:pt idx="46">
                  <c:v>10.5</c:v>
                </c:pt>
                <c:pt idx="47">
                  <c:v>11</c:v>
                </c:pt>
                <c:pt idx="48">
                  <c:v>11.5</c:v>
                </c:pt>
                <c:pt idx="49">
                  <c:v>12</c:v>
                </c:pt>
                <c:pt idx="50">
                  <c:v>12.5</c:v>
                </c:pt>
                <c:pt idx="51">
                  <c:v>13</c:v>
                </c:pt>
                <c:pt idx="52">
                  <c:v>13.5</c:v>
                </c:pt>
                <c:pt idx="53">
                  <c:v>14</c:v>
                </c:pt>
                <c:pt idx="54">
                  <c:v>14.5</c:v>
                </c:pt>
                <c:pt idx="55">
                  <c:v>15</c:v>
                </c:pt>
                <c:pt idx="56">
                  <c:v>15.5</c:v>
                </c:pt>
                <c:pt idx="57">
                  <c:v>16</c:v>
                </c:pt>
                <c:pt idx="58">
                  <c:v>16.5</c:v>
                </c:pt>
                <c:pt idx="59">
                  <c:v>17</c:v>
                </c:pt>
                <c:pt idx="60">
                  <c:v>17.5</c:v>
                </c:pt>
                <c:pt idx="61">
                  <c:v>18</c:v>
                </c:pt>
                <c:pt idx="62">
                  <c:v>18.5</c:v>
                </c:pt>
                <c:pt idx="63">
                  <c:v>19</c:v>
                </c:pt>
                <c:pt idx="64">
                  <c:v>19.5</c:v>
                </c:pt>
                <c:pt idx="65">
                  <c:v>20</c:v>
                </c:pt>
                <c:pt idx="66">
                  <c:v>20.5</c:v>
                </c:pt>
                <c:pt idx="67">
                  <c:v>21</c:v>
                </c:pt>
                <c:pt idx="68">
                  <c:v>21.5</c:v>
                </c:pt>
                <c:pt idx="69">
                  <c:v>22</c:v>
                </c:pt>
                <c:pt idx="70">
                  <c:v>22.5</c:v>
                </c:pt>
                <c:pt idx="71">
                  <c:v>23</c:v>
                </c:pt>
                <c:pt idx="72">
                  <c:v>23.5</c:v>
                </c:pt>
                <c:pt idx="73">
                  <c:v>24</c:v>
                </c:pt>
                <c:pt idx="74">
                  <c:v>24.5</c:v>
                </c:pt>
                <c:pt idx="75">
                  <c:v>25</c:v>
                </c:pt>
                <c:pt idx="76">
                  <c:v>25.5</c:v>
                </c:pt>
                <c:pt idx="77">
                  <c:v>26</c:v>
                </c:pt>
                <c:pt idx="78">
                  <c:v>26.5</c:v>
                </c:pt>
                <c:pt idx="79">
                  <c:v>27</c:v>
                </c:pt>
                <c:pt idx="80">
                  <c:v>27.5</c:v>
                </c:pt>
                <c:pt idx="81">
                  <c:v>28</c:v>
                </c:pt>
                <c:pt idx="82">
                  <c:v>28.5</c:v>
                </c:pt>
                <c:pt idx="83">
                  <c:v>29</c:v>
                </c:pt>
                <c:pt idx="84">
                  <c:v>29.5</c:v>
                </c:pt>
                <c:pt idx="85">
                  <c:v>30</c:v>
                </c:pt>
                <c:pt idx="86">
                  <c:v>30.5</c:v>
                </c:pt>
                <c:pt idx="87">
                  <c:v>31</c:v>
                </c:pt>
                <c:pt idx="88">
                  <c:v>31.5</c:v>
                </c:pt>
                <c:pt idx="89">
                  <c:v>32</c:v>
                </c:pt>
                <c:pt idx="90">
                  <c:v>32.5</c:v>
                </c:pt>
                <c:pt idx="91">
                  <c:v>33</c:v>
                </c:pt>
                <c:pt idx="92">
                  <c:v>33.5</c:v>
                </c:pt>
                <c:pt idx="93">
                  <c:v>34</c:v>
                </c:pt>
                <c:pt idx="94">
                  <c:v>34.5</c:v>
                </c:pt>
                <c:pt idx="95">
                  <c:v>35</c:v>
                </c:pt>
                <c:pt idx="96">
                  <c:v>35.5</c:v>
                </c:pt>
                <c:pt idx="97">
                  <c:v>36</c:v>
                </c:pt>
                <c:pt idx="98">
                  <c:v>36.5</c:v>
                </c:pt>
                <c:pt idx="99">
                  <c:v>37</c:v>
                </c:pt>
                <c:pt idx="100">
                  <c:v>37.5</c:v>
                </c:pt>
                <c:pt idx="101">
                  <c:v>38</c:v>
                </c:pt>
                <c:pt idx="102">
                  <c:v>38.5</c:v>
                </c:pt>
                <c:pt idx="103">
                  <c:v>39</c:v>
                </c:pt>
                <c:pt idx="104">
                  <c:v>39.5</c:v>
                </c:pt>
                <c:pt idx="105">
                  <c:v>40</c:v>
                </c:pt>
                <c:pt idx="106">
                  <c:v>40.5</c:v>
                </c:pt>
                <c:pt idx="107">
                  <c:v>41</c:v>
                </c:pt>
                <c:pt idx="108">
                  <c:v>41.5</c:v>
                </c:pt>
                <c:pt idx="109">
                  <c:v>42</c:v>
                </c:pt>
                <c:pt idx="110">
                  <c:v>42.5</c:v>
                </c:pt>
                <c:pt idx="111">
                  <c:v>43</c:v>
                </c:pt>
                <c:pt idx="112">
                  <c:v>43.5</c:v>
                </c:pt>
                <c:pt idx="113">
                  <c:v>44</c:v>
                </c:pt>
                <c:pt idx="114">
                  <c:v>44.5</c:v>
                </c:pt>
                <c:pt idx="115">
                  <c:v>45</c:v>
                </c:pt>
                <c:pt idx="116">
                  <c:v>45.5</c:v>
                </c:pt>
                <c:pt idx="117">
                  <c:v>46</c:v>
                </c:pt>
                <c:pt idx="118">
                  <c:v>46.5</c:v>
                </c:pt>
                <c:pt idx="119">
                  <c:v>47</c:v>
                </c:pt>
                <c:pt idx="120">
                  <c:v>47.5</c:v>
                </c:pt>
                <c:pt idx="121">
                  <c:v>48</c:v>
                </c:pt>
                <c:pt idx="122">
                  <c:v>48.5</c:v>
                </c:pt>
                <c:pt idx="123">
                  <c:v>49</c:v>
                </c:pt>
                <c:pt idx="124">
                  <c:v>49.5</c:v>
                </c:pt>
                <c:pt idx="125">
                  <c:v>50</c:v>
                </c:pt>
                <c:pt idx="126">
                  <c:v>50.5</c:v>
                </c:pt>
                <c:pt idx="127">
                  <c:v>51</c:v>
                </c:pt>
                <c:pt idx="128">
                  <c:v>51.5</c:v>
                </c:pt>
                <c:pt idx="129">
                  <c:v>52</c:v>
                </c:pt>
                <c:pt idx="130">
                  <c:v>52.5</c:v>
                </c:pt>
                <c:pt idx="131">
                  <c:v>53</c:v>
                </c:pt>
                <c:pt idx="132">
                  <c:v>53.5</c:v>
                </c:pt>
                <c:pt idx="133">
                  <c:v>54</c:v>
                </c:pt>
                <c:pt idx="134">
                  <c:v>54.5</c:v>
                </c:pt>
                <c:pt idx="135">
                  <c:v>55</c:v>
                </c:pt>
                <c:pt idx="136">
                  <c:v>55.5</c:v>
                </c:pt>
                <c:pt idx="137">
                  <c:v>56</c:v>
                </c:pt>
                <c:pt idx="138">
                  <c:v>56.5</c:v>
                </c:pt>
                <c:pt idx="139">
                  <c:v>57</c:v>
                </c:pt>
                <c:pt idx="140">
                  <c:v>57.5</c:v>
                </c:pt>
                <c:pt idx="141">
                  <c:v>58</c:v>
                </c:pt>
                <c:pt idx="142">
                  <c:v>58.5</c:v>
                </c:pt>
                <c:pt idx="143">
                  <c:v>59</c:v>
                </c:pt>
                <c:pt idx="144">
                  <c:v>59.5</c:v>
                </c:pt>
                <c:pt idx="145">
                  <c:v>60</c:v>
                </c:pt>
                <c:pt idx="146">
                  <c:v>60.5</c:v>
                </c:pt>
                <c:pt idx="147">
                  <c:v>61</c:v>
                </c:pt>
                <c:pt idx="148">
                  <c:v>61.5</c:v>
                </c:pt>
                <c:pt idx="149">
                  <c:v>62</c:v>
                </c:pt>
                <c:pt idx="150">
                  <c:v>62.5</c:v>
                </c:pt>
                <c:pt idx="151">
                  <c:v>63</c:v>
                </c:pt>
                <c:pt idx="152">
                  <c:v>63.5</c:v>
                </c:pt>
                <c:pt idx="153">
                  <c:v>64</c:v>
                </c:pt>
                <c:pt idx="154">
                  <c:v>64.5</c:v>
                </c:pt>
                <c:pt idx="155">
                  <c:v>65</c:v>
                </c:pt>
                <c:pt idx="156">
                  <c:v>65.5</c:v>
                </c:pt>
                <c:pt idx="157">
                  <c:v>66</c:v>
                </c:pt>
                <c:pt idx="158">
                  <c:v>66.5</c:v>
                </c:pt>
                <c:pt idx="159">
                  <c:v>67</c:v>
                </c:pt>
                <c:pt idx="160">
                  <c:v>67.5</c:v>
                </c:pt>
                <c:pt idx="161">
                  <c:v>68</c:v>
                </c:pt>
                <c:pt idx="162">
                  <c:v>68.5</c:v>
                </c:pt>
                <c:pt idx="163">
                  <c:v>69</c:v>
                </c:pt>
                <c:pt idx="164">
                  <c:v>69.5</c:v>
                </c:pt>
                <c:pt idx="165">
                  <c:v>70</c:v>
                </c:pt>
                <c:pt idx="166">
                  <c:v>70.5</c:v>
                </c:pt>
                <c:pt idx="167">
                  <c:v>71</c:v>
                </c:pt>
                <c:pt idx="168">
                  <c:v>71.5</c:v>
                </c:pt>
                <c:pt idx="169">
                  <c:v>72</c:v>
                </c:pt>
                <c:pt idx="170">
                  <c:v>72.5</c:v>
                </c:pt>
                <c:pt idx="171">
                  <c:v>73</c:v>
                </c:pt>
                <c:pt idx="172">
                  <c:v>73.5</c:v>
                </c:pt>
                <c:pt idx="173">
                  <c:v>74</c:v>
                </c:pt>
                <c:pt idx="174">
                  <c:v>74.5</c:v>
                </c:pt>
                <c:pt idx="175">
                  <c:v>75</c:v>
                </c:pt>
                <c:pt idx="176">
                  <c:v>75.5</c:v>
                </c:pt>
                <c:pt idx="177">
                  <c:v>76</c:v>
                </c:pt>
                <c:pt idx="178">
                  <c:v>76.5</c:v>
                </c:pt>
                <c:pt idx="179">
                  <c:v>77</c:v>
                </c:pt>
                <c:pt idx="180">
                  <c:v>77.5</c:v>
                </c:pt>
                <c:pt idx="181">
                  <c:v>78</c:v>
                </c:pt>
                <c:pt idx="182">
                  <c:v>78.5</c:v>
                </c:pt>
                <c:pt idx="183">
                  <c:v>79</c:v>
                </c:pt>
                <c:pt idx="184">
                  <c:v>79.5</c:v>
                </c:pt>
                <c:pt idx="185">
                  <c:v>80</c:v>
                </c:pt>
                <c:pt idx="186">
                  <c:v>80.5</c:v>
                </c:pt>
                <c:pt idx="187">
                  <c:v>81</c:v>
                </c:pt>
                <c:pt idx="188">
                  <c:v>81.5</c:v>
                </c:pt>
                <c:pt idx="189">
                  <c:v>82</c:v>
                </c:pt>
                <c:pt idx="190">
                  <c:v>82.5</c:v>
                </c:pt>
                <c:pt idx="191">
                  <c:v>83</c:v>
                </c:pt>
                <c:pt idx="192">
                  <c:v>83.5</c:v>
                </c:pt>
                <c:pt idx="193">
                  <c:v>84</c:v>
                </c:pt>
                <c:pt idx="194">
                  <c:v>84.5</c:v>
                </c:pt>
                <c:pt idx="195">
                  <c:v>85</c:v>
                </c:pt>
                <c:pt idx="196">
                  <c:v>85.5</c:v>
                </c:pt>
                <c:pt idx="197">
                  <c:v>86</c:v>
                </c:pt>
                <c:pt idx="198">
                  <c:v>86.5</c:v>
                </c:pt>
                <c:pt idx="199">
                  <c:v>87</c:v>
                </c:pt>
                <c:pt idx="200">
                  <c:v>87.5</c:v>
                </c:pt>
                <c:pt idx="201">
                  <c:v>88</c:v>
                </c:pt>
                <c:pt idx="202">
                  <c:v>88.5</c:v>
                </c:pt>
                <c:pt idx="203">
                  <c:v>89</c:v>
                </c:pt>
                <c:pt idx="204">
                  <c:v>89.5</c:v>
                </c:pt>
                <c:pt idx="205">
                  <c:v>90</c:v>
                </c:pt>
                <c:pt idx="206">
                  <c:v>90.5</c:v>
                </c:pt>
                <c:pt idx="207">
                  <c:v>91</c:v>
                </c:pt>
                <c:pt idx="208">
                  <c:v>91.5</c:v>
                </c:pt>
                <c:pt idx="209">
                  <c:v>92</c:v>
                </c:pt>
                <c:pt idx="210">
                  <c:v>92.5</c:v>
                </c:pt>
                <c:pt idx="211">
                  <c:v>93</c:v>
                </c:pt>
                <c:pt idx="212">
                  <c:v>93.5</c:v>
                </c:pt>
                <c:pt idx="213">
                  <c:v>94</c:v>
                </c:pt>
                <c:pt idx="214">
                  <c:v>94.5</c:v>
                </c:pt>
                <c:pt idx="215">
                  <c:v>95</c:v>
                </c:pt>
                <c:pt idx="216">
                  <c:v>95.5</c:v>
                </c:pt>
                <c:pt idx="217">
                  <c:v>96</c:v>
                </c:pt>
                <c:pt idx="218">
                  <c:v>96.5</c:v>
                </c:pt>
                <c:pt idx="219">
                  <c:v>97</c:v>
                </c:pt>
                <c:pt idx="220">
                  <c:v>97.5</c:v>
                </c:pt>
                <c:pt idx="221">
                  <c:v>98</c:v>
                </c:pt>
                <c:pt idx="222">
                  <c:v>98.5</c:v>
                </c:pt>
                <c:pt idx="223">
                  <c:v>99</c:v>
                </c:pt>
                <c:pt idx="224">
                  <c:v>99.5</c:v>
                </c:pt>
                <c:pt idx="225">
                  <c:v>100</c:v>
                </c:pt>
                <c:pt idx="226">
                  <c:v>105</c:v>
                </c:pt>
                <c:pt idx="227">
                  <c:v>110</c:v>
                </c:pt>
                <c:pt idx="228">
                  <c:v>115</c:v>
                </c:pt>
                <c:pt idx="229">
                  <c:v>120</c:v>
                </c:pt>
                <c:pt idx="230">
                  <c:v>125</c:v>
                </c:pt>
                <c:pt idx="231">
                  <c:v>130</c:v>
                </c:pt>
                <c:pt idx="232">
                  <c:v>135</c:v>
                </c:pt>
                <c:pt idx="233">
                  <c:v>140</c:v>
                </c:pt>
                <c:pt idx="234">
                  <c:v>145</c:v>
                </c:pt>
                <c:pt idx="235">
                  <c:v>150</c:v>
                </c:pt>
                <c:pt idx="236">
                  <c:v>155</c:v>
                </c:pt>
                <c:pt idx="237">
                  <c:v>160</c:v>
                </c:pt>
                <c:pt idx="238">
                  <c:v>165</c:v>
                </c:pt>
                <c:pt idx="239">
                  <c:v>170</c:v>
                </c:pt>
                <c:pt idx="240">
                  <c:v>175</c:v>
                </c:pt>
                <c:pt idx="241">
                  <c:v>180</c:v>
                </c:pt>
                <c:pt idx="242">
                  <c:v>185</c:v>
                </c:pt>
                <c:pt idx="243">
                  <c:v>190</c:v>
                </c:pt>
                <c:pt idx="244">
                  <c:v>195</c:v>
                </c:pt>
                <c:pt idx="245">
                  <c:v>200</c:v>
                </c:pt>
                <c:pt idx="246">
                  <c:v>205</c:v>
                </c:pt>
                <c:pt idx="247">
                  <c:v>210</c:v>
                </c:pt>
                <c:pt idx="248">
                  <c:v>215</c:v>
                </c:pt>
                <c:pt idx="249">
                  <c:v>220</c:v>
                </c:pt>
                <c:pt idx="250">
                  <c:v>225</c:v>
                </c:pt>
                <c:pt idx="251">
                  <c:v>230</c:v>
                </c:pt>
                <c:pt idx="252">
                  <c:v>235</c:v>
                </c:pt>
                <c:pt idx="253">
                  <c:v>240</c:v>
                </c:pt>
                <c:pt idx="254">
                  <c:v>245</c:v>
                </c:pt>
                <c:pt idx="255">
                  <c:v>250</c:v>
                </c:pt>
                <c:pt idx="256">
                  <c:v>255</c:v>
                </c:pt>
                <c:pt idx="257">
                  <c:v>260</c:v>
                </c:pt>
                <c:pt idx="258">
                  <c:v>265</c:v>
                </c:pt>
                <c:pt idx="259">
                  <c:v>270</c:v>
                </c:pt>
                <c:pt idx="260">
                  <c:v>275</c:v>
                </c:pt>
                <c:pt idx="261">
                  <c:v>280</c:v>
                </c:pt>
                <c:pt idx="262">
                  <c:v>285</c:v>
                </c:pt>
                <c:pt idx="263">
                  <c:v>290</c:v>
                </c:pt>
                <c:pt idx="264">
                  <c:v>295</c:v>
                </c:pt>
                <c:pt idx="265">
                  <c:v>300</c:v>
                </c:pt>
                <c:pt idx="266">
                  <c:v>305</c:v>
                </c:pt>
                <c:pt idx="267">
                  <c:v>310</c:v>
                </c:pt>
                <c:pt idx="268">
                  <c:v>315</c:v>
                </c:pt>
                <c:pt idx="269">
                  <c:v>320</c:v>
                </c:pt>
                <c:pt idx="270">
                  <c:v>325</c:v>
                </c:pt>
                <c:pt idx="271">
                  <c:v>330</c:v>
                </c:pt>
                <c:pt idx="272">
                  <c:v>335</c:v>
                </c:pt>
                <c:pt idx="273">
                  <c:v>340</c:v>
                </c:pt>
                <c:pt idx="274">
                  <c:v>345</c:v>
                </c:pt>
                <c:pt idx="275">
                  <c:v>350</c:v>
                </c:pt>
                <c:pt idx="276">
                  <c:v>355</c:v>
                </c:pt>
                <c:pt idx="277">
                  <c:v>360</c:v>
                </c:pt>
                <c:pt idx="278">
                  <c:v>365</c:v>
                </c:pt>
                <c:pt idx="279">
                  <c:v>370</c:v>
                </c:pt>
                <c:pt idx="280">
                  <c:v>375</c:v>
                </c:pt>
                <c:pt idx="281">
                  <c:v>380</c:v>
                </c:pt>
                <c:pt idx="282">
                  <c:v>385</c:v>
                </c:pt>
                <c:pt idx="283">
                  <c:v>390</c:v>
                </c:pt>
                <c:pt idx="284">
                  <c:v>395</c:v>
                </c:pt>
                <c:pt idx="285">
                  <c:v>400</c:v>
                </c:pt>
                <c:pt idx="286">
                  <c:v>405</c:v>
                </c:pt>
                <c:pt idx="287">
                  <c:v>410</c:v>
                </c:pt>
                <c:pt idx="288">
                  <c:v>415</c:v>
                </c:pt>
                <c:pt idx="289">
                  <c:v>420</c:v>
                </c:pt>
                <c:pt idx="290">
                  <c:v>425</c:v>
                </c:pt>
                <c:pt idx="291">
                  <c:v>430</c:v>
                </c:pt>
                <c:pt idx="292">
                  <c:v>435</c:v>
                </c:pt>
                <c:pt idx="293">
                  <c:v>440</c:v>
                </c:pt>
                <c:pt idx="294">
                  <c:v>445</c:v>
                </c:pt>
                <c:pt idx="295">
                  <c:v>450</c:v>
                </c:pt>
                <c:pt idx="296">
                  <c:v>455</c:v>
                </c:pt>
                <c:pt idx="297">
                  <c:v>460</c:v>
                </c:pt>
                <c:pt idx="298">
                  <c:v>465</c:v>
                </c:pt>
                <c:pt idx="299">
                  <c:v>470</c:v>
                </c:pt>
                <c:pt idx="300">
                  <c:v>475</c:v>
                </c:pt>
                <c:pt idx="301">
                  <c:v>480</c:v>
                </c:pt>
                <c:pt idx="302">
                  <c:v>485</c:v>
                </c:pt>
                <c:pt idx="303">
                  <c:v>490</c:v>
                </c:pt>
                <c:pt idx="304">
                  <c:v>495</c:v>
                </c:pt>
                <c:pt idx="305">
                  <c:v>500</c:v>
                </c:pt>
                <c:pt idx="306">
                  <c:v>505</c:v>
                </c:pt>
                <c:pt idx="307">
                  <c:v>510</c:v>
                </c:pt>
                <c:pt idx="308">
                  <c:v>515</c:v>
                </c:pt>
                <c:pt idx="309">
                  <c:v>520</c:v>
                </c:pt>
                <c:pt idx="310">
                  <c:v>525</c:v>
                </c:pt>
                <c:pt idx="311">
                  <c:v>530</c:v>
                </c:pt>
                <c:pt idx="312">
                  <c:v>535</c:v>
                </c:pt>
                <c:pt idx="313">
                  <c:v>540</c:v>
                </c:pt>
                <c:pt idx="314">
                  <c:v>545</c:v>
                </c:pt>
                <c:pt idx="315">
                  <c:v>550</c:v>
                </c:pt>
                <c:pt idx="316">
                  <c:v>555</c:v>
                </c:pt>
                <c:pt idx="317">
                  <c:v>560</c:v>
                </c:pt>
                <c:pt idx="318">
                  <c:v>565</c:v>
                </c:pt>
                <c:pt idx="319">
                  <c:v>570</c:v>
                </c:pt>
                <c:pt idx="320">
                  <c:v>575</c:v>
                </c:pt>
                <c:pt idx="321">
                  <c:v>580</c:v>
                </c:pt>
                <c:pt idx="322">
                  <c:v>585</c:v>
                </c:pt>
                <c:pt idx="323">
                  <c:v>590</c:v>
                </c:pt>
                <c:pt idx="324">
                  <c:v>595</c:v>
                </c:pt>
                <c:pt idx="325">
                  <c:v>600</c:v>
                </c:pt>
                <c:pt idx="326">
                  <c:v>605</c:v>
                </c:pt>
                <c:pt idx="327">
                  <c:v>610</c:v>
                </c:pt>
                <c:pt idx="328">
                  <c:v>615</c:v>
                </c:pt>
                <c:pt idx="329">
                  <c:v>620</c:v>
                </c:pt>
                <c:pt idx="330">
                  <c:v>625</c:v>
                </c:pt>
                <c:pt idx="331">
                  <c:v>630</c:v>
                </c:pt>
                <c:pt idx="332">
                  <c:v>635</c:v>
                </c:pt>
                <c:pt idx="333">
                  <c:v>640</c:v>
                </c:pt>
                <c:pt idx="334">
                  <c:v>645</c:v>
                </c:pt>
                <c:pt idx="335">
                  <c:v>650</c:v>
                </c:pt>
                <c:pt idx="336">
                  <c:v>655</c:v>
                </c:pt>
                <c:pt idx="337">
                  <c:v>660</c:v>
                </c:pt>
                <c:pt idx="338">
                  <c:v>665</c:v>
                </c:pt>
                <c:pt idx="339">
                  <c:v>670</c:v>
                </c:pt>
                <c:pt idx="340">
                  <c:v>675</c:v>
                </c:pt>
                <c:pt idx="341">
                  <c:v>680</c:v>
                </c:pt>
                <c:pt idx="342">
                  <c:v>685</c:v>
                </c:pt>
                <c:pt idx="343">
                  <c:v>690</c:v>
                </c:pt>
                <c:pt idx="344">
                  <c:v>695</c:v>
                </c:pt>
                <c:pt idx="345">
                  <c:v>700</c:v>
                </c:pt>
                <c:pt idx="346">
                  <c:v>705</c:v>
                </c:pt>
                <c:pt idx="347">
                  <c:v>710</c:v>
                </c:pt>
                <c:pt idx="348">
                  <c:v>715</c:v>
                </c:pt>
                <c:pt idx="349">
                  <c:v>720</c:v>
                </c:pt>
                <c:pt idx="350">
                  <c:v>725</c:v>
                </c:pt>
                <c:pt idx="351">
                  <c:v>730</c:v>
                </c:pt>
                <c:pt idx="352">
                  <c:v>735</c:v>
                </c:pt>
                <c:pt idx="353">
                  <c:v>740</c:v>
                </c:pt>
                <c:pt idx="354">
                  <c:v>745</c:v>
                </c:pt>
                <c:pt idx="355">
                  <c:v>750</c:v>
                </c:pt>
                <c:pt idx="356">
                  <c:v>755</c:v>
                </c:pt>
                <c:pt idx="357">
                  <c:v>760</c:v>
                </c:pt>
                <c:pt idx="358">
                  <c:v>765</c:v>
                </c:pt>
                <c:pt idx="359">
                  <c:v>770</c:v>
                </c:pt>
                <c:pt idx="360">
                  <c:v>775</c:v>
                </c:pt>
                <c:pt idx="361">
                  <c:v>780</c:v>
                </c:pt>
                <c:pt idx="362">
                  <c:v>785</c:v>
                </c:pt>
                <c:pt idx="363">
                  <c:v>790</c:v>
                </c:pt>
                <c:pt idx="364">
                  <c:v>795</c:v>
                </c:pt>
                <c:pt idx="365">
                  <c:v>800</c:v>
                </c:pt>
                <c:pt idx="366">
                  <c:v>805</c:v>
                </c:pt>
                <c:pt idx="367">
                  <c:v>810</c:v>
                </c:pt>
                <c:pt idx="368">
                  <c:v>815</c:v>
                </c:pt>
                <c:pt idx="369">
                  <c:v>820</c:v>
                </c:pt>
                <c:pt idx="370">
                  <c:v>825</c:v>
                </c:pt>
                <c:pt idx="371">
                  <c:v>830</c:v>
                </c:pt>
                <c:pt idx="372">
                  <c:v>835</c:v>
                </c:pt>
                <c:pt idx="373">
                  <c:v>840</c:v>
                </c:pt>
                <c:pt idx="374">
                  <c:v>845</c:v>
                </c:pt>
                <c:pt idx="375">
                  <c:v>850</c:v>
                </c:pt>
                <c:pt idx="376">
                  <c:v>855</c:v>
                </c:pt>
                <c:pt idx="377">
                  <c:v>860</c:v>
                </c:pt>
                <c:pt idx="378">
                  <c:v>865</c:v>
                </c:pt>
                <c:pt idx="379">
                  <c:v>870</c:v>
                </c:pt>
                <c:pt idx="380">
                  <c:v>875</c:v>
                </c:pt>
                <c:pt idx="381">
                  <c:v>880</c:v>
                </c:pt>
                <c:pt idx="382">
                  <c:v>885</c:v>
                </c:pt>
                <c:pt idx="383">
                  <c:v>890</c:v>
                </c:pt>
                <c:pt idx="384">
                  <c:v>895</c:v>
                </c:pt>
                <c:pt idx="385">
                  <c:v>900</c:v>
                </c:pt>
                <c:pt idx="386">
                  <c:v>905</c:v>
                </c:pt>
                <c:pt idx="387">
                  <c:v>910</c:v>
                </c:pt>
                <c:pt idx="388">
                  <c:v>915</c:v>
                </c:pt>
                <c:pt idx="389">
                  <c:v>920</c:v>
                </c:pt>
                <c:pt idx="390">
                  <c:v>925</c:v>
                </c:pt>
                <c:pt idx="391">
                  <c:v>930</c:v>
                </c:pt>
                <c:pt idx="392">
                  <c:v>935</c:v>
                </c:pt>
                <c:pt idx="393">
                  <c:v>940</c:v>
                </c:pt>
                <c:pt idx="394">
                  <c:v>945</c:v>
                </c:pt>
                <c:pt idx="395">
                  <c:v>950</c:v>
                </c:pt>
                <c:pt idx="396">
                  <c:v>955</c:v>
                </c:pt>
                <c:pt idx="397">
                  <c:v>960</c:v>
                </c:pt>
                <c:pt idx="398">
                  <c:v>965</c:v>
                </c:pt>
                <c:pt idx="399">
                  <c:v>970</c:v>
                </c:pt>
                <c:pt idx="400">
                  <c:v>975</c:v>
                </c:pt>
                <c:pt idx="401">
                  <c:v>980</c:v>
                </c:pt>
                <c:pt idx="402">
                  <c:v>985</c:v>
                </c:pt>
                <c:pt idx="403">
                  <c:v>990</c:v>
                </c:pt>
                <c:pt idx="404">
                  <c:v>995</c:v>
                </c:pt>
                <c:pt idx="405">
                  <c:v>1000</c:v>
                </c:pt>
                <c:pt idx="406">
                  <c:v>1005</c:v>
                </c:pt>
                <c:pt idx="407">
                  <c:v>1010</c:v>
                </c:pt>
                <c:pt idx="408">
                  <c:v>1015</c:v>
                </c:pt>
                <c:pt idx="409">
                  <c:v>1020</c:v>
                </c:pt>
                <c:pt idx="410">
                  <c:v>1025</c:v>
                </c:pt>
                <c:pt idx="411">
                  <c:v>1030</c:v>
                </c:pt>
                <c:pt idx="412">
                  <c:v>1035</c:v>
                </c:pt>
                <c:pt idx="413">
                  <c:v>1040</c:v>
                </c:pt>
                <c:pt idx="414">
                  <c:v>1045</c:v>
                </c:pt>
                <c:pt idx="415">
                  <c:v>1050</c:v>
                </c:pt>
                <c:pt idx="416">
                  <c:v>1055</c:v>
                </c:pt>
                <c:pt idx="417">
                  <c:v>1060</c:v>
                </c:pt>
                <c:pt idx="418">
                  <c:v>1065</c:v>
                </c:pt>
                <c:pt idx="419">
                  <c:v>1070</c:v>
                </c:pt>
                <c:pt idx="420">
                  <c:v>1075</c:v>
                </c:pt>
                <c:pt idx="421">
                  <c:v>1080</c:v>
                </c:pt>
                <c:pt idx="422">
                  <c:v>1085</c:v>
                </c:pt>
                <c:pt idx="423">
                  <c:v>1090</c:v>
                </c:pt>
                <c:pt idx="424">
                  <c:v>1095</c:v>
                </c:pt>
                <c:pt idx="425">
                  <c:v>1100</c:v>
                </c:pt>
                <c:pt idx="426">
                  <c:v>1105</c:v>
                </c:pt>
                <c:pt idx="427">
                  <c:v>1110</c:v>
                </c:pt>
                <c:pt idx="428">
                  <c:v>1115</c:v>
                </c:pt>
                <c:pt idx="429">
                  <c:v>1120</c:v>
                </c:pt>
                <c:pt idx="430">
                  <c:v>1125</c:v>
                </c:pt>
                <c:pt idx="431">
                  <c:v>1130</c:v>
                </c:pt>
                <c:pt idx="432">
                  <c:v>1135</c:v>
                </c:pt>
                <c:pt idx="433">
                  <c:v>1140</c:v>
                </c:pt>
                <c:pt idx="434">
                  <c:v>1145</c:v>
                </c:pt>
                <c:pt idx="435">
                  <c:v>1150</c:v>
                </c:pt>
                <c:pt idx="436">
                  <c:v>1155</c:v>
                </c:pt>
                <c:pt idx="437">
                  <c:v>1160</c:v>
                </c:pt>
                <c:pt idx="438">
                  <c:v>1165</c:v>
                </c:pt>
                <c:pt idx="439">
                  <c:v>1170</c:v>
                </c:pt>
                <c:pt idx="440">
                  <c:v>1175</c:v>
                </c:pt>
                <c:pt idx="441">
                  <c:v>1180</c:v>
                </c:pt>
                <c:pt idx="442">
                  <c:v>1185</c:v>
                </c:pt>
                <c:pt idx="443">
                  <c:v>1190</c:v>
                </c:pt>
                <c:pt idx="444">
                  <c:v>1195</c:v>
                </c:pt>
                <c:pt idx="445">
                  <c:v>1200</c:v>
                </c:pt>
                <c:pt idx="446">
                  <c:v>1205</c:v>
                </c:pt>
                <c:pt idx="447">
                  <c:v>1210</c:v>
                </c:pt>
                <c:pt idx="448">
                  <c:v>1215</c:v>
                </c:pt>
                <c:pt idx="449">
                  <c:v>1220</c:v>
                </c:pt>
                <c:pt idx="450">
                  <c:v>1225</c:v>
                </c:pt>
                <c:pt idx="451">
                  <c:v>1230</c:v>
                </c:pt>
                <c:pt idx="452">
                  <c:v>1235</c:v>
                </c:pt>
                <c:pt idx="453">
                  <c:v>1240</c:v>
                </c:pt>
                <c:pt idx="454">
                  <c:v>1245</c:v>
                </c:pt>
                <c:pt idx="455">
                  <c:v>1250</c:v>
                </c:pt>
                <c:pt idx="456">
                  <c:v>1255</c:v>
                </c:pt>
                <c:pt idx="457">
                  <c:v>1260</c:v>
                </c:pt>
                <c:pt idx="458">
                  <c:v>1265</c:v>
                </c:pt>
                <c:pt idx="459">
                  <c:v>1270</c:v>
                </c:pt>
                <c:pt idx="460">
                  <c:v>1275</c:v>
                </c:pt>
                <c:pt idx="461">
                  <c:v>1280</c:v>
                </c:pt>
                <c:pt idx="462">
                  <c:v>1285</c:v>
                </c:pt>
                <c:pt idx="463">
                  <c:v>1290</c:v>
                </c:pt>
                <c:pt idx="464">
                  <c:v>1295</c:v>
                </c:pt>
                <c:pt idx="465">
                  <c:v>1300</c:v>
                </c:pt>
                <c:pt idx="466">
                  <c:v>1305</c:v>
                </c:pt>
                <c:pt idx="467">
                  <c:v>1310</c:v>
                </c:pt>
                <c:pt idx="468">
                  <c:v>1315</c:v>
                </c:pt>
                <c:pt idx="469">
                  <c:v>1320</c:v>
                </c:pt>
                <c:pt idx="470">
                  <c:v>1325</c:v>
                </c:pt>
                <c:pt idx="471">
                  <c:v>1330</c:v>
                </c:pt>
                <c:pt idx="472">
                  <c:v>1335</c:v>
                </c:pt>
                <c:pt idx="473">
                  <c:v>1340</c:v>
                </c:pt>
                <c:pt idx="474">
                  <c:v>1345</c:v>
                </c:pt>
                <c:pt idx="475">
                  <c:v>1350</c:v>
                </c:pt>
                <c:pt idx="476">
                  <c:v>1355</c:v>
                </c:pt>
                <c:pt idx="477">
                  <c:v>1360</c:v>
                </c:pt>
                <c:pt idx="478">
                  <c:v>1365</c:v>
                </c:pt>
                <c:pt idx="479">
                  <c:v>1370</c:v>
                </c:pt>
                <c:pt idx="480">
                  <c:v>1375</c:v>
                </c:pt>
                <c:pt idx="481">
                  <c:v>1380</c:v>
                </c:pt>
                <c:pt idx="482">
                  <c:v>1385</c:v>
                </c:pt>
                <c:pt idx="483">
                  <c:v>1390</c:v>
                </c:pt>
                <c:pt idx="484">
                  <c:v>1395</c:v>
                </c:pt>
                <c:pt idx="485">
                  <c:v>1400</c:v>
                </c:pt>
                <c:pt idx="486">
                  <c:v>1405</c:v>
                </c:pt>
                <c:pt idx="487">
                  <c:v>1410</c:v>
                </c:pt>
                <c:pt idx="488">
                  <c:v>1415</c:v>
                </c:pt>
                <c:pt idx="489">
                  <c:v>1420</c:v>
                </c:pt>
                <c:pt idx="490">
                  <c:v>1425</c:v>
                </c:pt>
                <c:pt idx="491">
                  <c:v>1430</c:v>
                </c:pt>
                <c:pt idx="492">
                  <c:v>1435</c:v>
                </c:pt>
                <c:pt idx="493">
                  <c:v>1440</c:v>
                </c:pt>
                <c:pt idx="494">
                  <c:v>1445</c:v>
                </c:pt>
                <c:pt idx="495">
                  <c:v>1450</c:v>
                </c:pt>
                <c:pt idx="496">
                  <c:v>1455</c:v>
                </c:pt>
                <c:pt idx="497">
                  <c:v>1460</c:v>
                </c:pt>
                <c:pt idx="498">
                  <c:v>1465</c:v>
                </c:pt>
                <c:pt idx="499">
                  <c:v>1470</c:v>
                </c:pt>
                <c:pt idx="500">
                  <c:v>1475</c:v>
                </c:pt>
                <c:pt idx="501">
                  <c:v>1480</c:v>
                </c:pt>
                <c:pt idx="502">
                  <c:v>1485</c:v>
                </c:pt>
                <c:pt idx="503">
                  <c:v>1490</c:v>
                </c:pt>
                <c:pt idx="504">
                  <c:v>1495</c:v>
                </c:pt>
                <c:pt idx="505">
                  <c:v>1500</c:v>
                </c:pt>
                <c:pt idx="506">
                  <c:v>1505</c:v>
                </c:pt>
                <c:pt idx="507">
                  <c:v>1510</c:v>
                </c:pt>
                <c:pt idx="508">
                  <c:v>1515</c:v>
                </c:pt>
                <c:pt idx="509">
                  <c:v>1520</c:v>
                </c:pt>
                <c:pt idx="510">
                  <c:v>1525</c:v>
                </c:pt>
                <c:pt idx="511">
                  <c:v>1530</c:v>
                </c:pt>
                <c:pt idx="512">
                  <c:v>1535</c:v>
                </c:pt>
                <c:pt idx="513">
                  <c:v>1540</c:v>
                </c:pt>
                <c:pt idx="514">
                  <c:v>1545</c:v>
                </c:pt>
                <c:pt idx="515">
                  <c:v>1550</c:v>
                </c:pt>
                <c:pt idx="516">
                  <c:v>1555</c:v>
                </c:pt>
                <c:pt idx="517">
                  <c:v>1560</c:v>
                </c:pt>
                <c:pt idx="518">
                  <c:v>1565</c:v>
                </c:pt>
                <c:pt idx="519">
                  <c:v>1570</c:v>
                </c:pt>
                <c:pt idx="520">
                  <c:v>1575</c:v>
                </c:pt>
                <c:pt idx="521">
                  <c:v>1580</c:v>
                </c:pt>
                <c:pt idx="522">
                  <c:v>1585</c:v>
                </c:pt>
                <c:pt idx="523">
                  <c:v>1590</c:v>
                </c:pt>
                <c:pt idx="524">
                  <c:v>1595</c:v>
                </c:pt>
                <c:pt idx="525">
                  <c:v>1600</c:v>
                </c:pt>
                <c:pt idx="526">
                  <c:v>1605</c:v>
                </c:pt>
                <c:pt idx="527">
                  <c:v>1610</c:v>
                </c:pt>
                <c:pt idx="528">
                  <c:v>1615</c:v>
                </c:pt>
                <c:pt idx="529">
                  <c:v>1620</c:v>
                </c:pt>
                <c:pt idx="530">
                  <c:v>1625</c:v>
                </c:pt>
                <c:pt idx="531">
                  <c:v>1630</c:v>
                </c:pt>
                <c:pt idx="532">
                  <c:v>1635</c:v>
                </c:pt>
                <c:pt idx="533">
                  <c:v>1640</c:v>
                </c:pt>
                <c:pt idx="534">
                  <c:v>1645</c:v>
                </c:pt>
                <c:pt idx="535">
                  <c:v>1650</c:v>
                </c:pt>
                <c:pt idx="536">
                  <c:v>1655</c:v>
                </c:pt>
                <c:pt idx="537">
                  <c:v>1660</c:v>
                </c:pt>
                <c:pt idx="538">
                  <c:v>1665</c:v>
                </c:pt>
                <c:pt idx="539">
                  <c:v>1670</c:v>
                </c:pt>
                <c:pt idx="540">
                  <c:v>1675</c:v>
                </c:pt>
                <c:pt idx="541">
                  <c:v>1680</c:v>
                </c:pt>
                <c:pt idx="542">
                  <c:v>1685</c:v>
                </c:pt>
                <c:pt idx="543">
                  <c:v>1690</c:v>
                </c:pt>
                <c:pt idx="544">
                  <c:v>1695</c:v>
                </c:pt>
                <c:pt idx="545">
                  <c:v>1700</c:v>
                </c:pt>
                <c:pt idx="546">
                  <c:v>1705</c:v>
                </c:pt>
                <c:pt idx="547">
                  <c:v>1710</c:v>
                </c:pt>
                <c:pt idx="548">
                  <c:v>1715</c:v>
                </c:pt>
                <c:pt idx="549">
                  <c:v>1720</c:v>
                </c:pt>
                <c:pt idx="550">
                  <c:v>1725</c:v>
                </c:pt>
                <c:pt idx="551">
                  <c:v>1730</c:v>
                </c:pt>
                <c:pt idx="552">
                  <c:v>1735</c:v>
                </c:pt>
                <c:pt idx="553">
                  <c:v>1740</c:v>
                </c:pt>
                <c:pt idx="554">
                  <c:v>1745</c:v>
                </c:pt>
                <c:pt idx="555">
                  <c:v>1750</c:v>
                </c:pt>
                <c:pt idx="556">
                  <c:v>1755</c:v>
                </c:pt>
                <c:pt idx="557">
                  <c:v>1760</c:v>
                </c:pt>
                <c:pt idx="558">
                  <c:v>1765</c:v>
                </c:pt>
                <c:pt idx="559">
                  <c:v>1770</c:v>
                </c:pt>
                <c:pt idx="560">
                  <c:v>1775</c:v>
                </c:pt>
                <c:pt idx="561">
                  <c:v>1780</c:v>
                </c:pt>
                <c:pt idx="562">
                  <c:v>1785</c:v>
                </c:pt>
                <c:pt idx="563">
                  <c:v>1790</c:v>
                </c:pt>
                <c:pt idx="564">
                  <c:v>1795</c:v>
                </c:pt>
                <c:pt idx="565">
                  <c:v>1800</c:v>
                </c:pt>
                <c:pt idx="566">
                  <c:v>1805</c:v>
                </c:pt>
                <c:pt idx="567">
                  <c:v>1810</c:v>
                </c:pt>
                <c:pt idx="568">
                  <c:v>1815</c:v>
                </c:pt>
                <c:pt idx="569">
                  <c:v>1820</c:v>
                </c:pt>
                <c:pt idx="570">
                  <c:v>1825</c:v>
                </c:pt>
                <c:pt idx="571">
                  <c:v>1830</c:v>
                </c:pt>
                <c:pt idx="572">
                  <c:v>1835</c:v>
                </c:pt>
                <c:pt idx="573">
                  <c:v>1840</c:v>
                </c:pt>
                <c:pt idx="574">
                  <c:v>1845</c:v>
                </c:pt>
                <c:pt idx="575">
                  <c:v>1850</c:v>
                </c:pt>
                <c:pt idx="576">
                  <c:v>1855</c:v>
                </c:pt>
                <c:pt idx="577">
                  <c:v>1860</c:v>
                </c:pt>
                <c:pt idx="578">
                  <c:v>1865</c:v>
                </c:pt>
                <c:pt idx="579">
                  <c:v>1870</c:v>
                </c:pt>
                <c:pt idx="580">
                  <c:v>1875</c:v>
                </c:pt>
                <c:pt idx="581">
                  <c:v>1880</c:v>
                </c:pt>
                <c:pt idx="582">
                  <c:v>1885</c:v>
                </c:pt>
                <c:pt idx="583">
                  <c:v>1890</c:v>
                </c:pt>
                <c:pt idx="584">
                  <c:v>1895</c:v>
                </c:pt>
                <c:pt idx="585">
                  <c:v>1900</c:v>
                </c:pt>
                <c:pt idx="586">
                  <c:v>1905</c:v>
                </c:pt>
                <c:pt idx="587">
                  <c:v>1910</c:v>
                </c:pt>
                <c:pt idx="588">
                  <c:v>1915</c:v>
                </c:pt>
                <c:pt idx="589">
                  <c:v>1920</c:v>
                </c:pt>
                <c:pt idx="590">
                  <c:v>1925</c:v>
                </c:pt>
                <c:pt idx="591">
                  <c:v>1930</c:v>
                </c:pt>
                <c:pt idx="592">
                  <c:v>1935</c:v>
                </c:pt>
                <c:pt idx="593">
                  <c:v>1940</c:v>
                </c:pt>
                <c:pt idx="594">
                  <c:v>1945</c:v>
                </c:pt>
                <c:pt idx="595">
                  <c:v>1950</c:v>
                </c:pt>
                <c:pt idx="596">
                  <c:v>1955</c:v>
                </c:pt>
                <c:pt idx="597">
                  <c:v>1960</c:v>
                </c:pt>
                <c:pt idx="598">
                  <c:v>1965</c:v>
                </c:pt>
                <c:pt idx="599">
                  <c:v>1970</c:v>
                </c:pt>
                <c:pt idx="600">
                  <c:v>1975</c:v>
                </c:pt>
                <c:pt idx="601">
                  <c:v>1980</c:v>
                </c:pt>
                <c:pt idx="602">
                  <c:v>1985</c:v>
                </c:pt>
                <c:pt idx="603">
                  <c:v>1990</c:v>
                </c:pt>
                <c:pt idx="604">
                  <c:v>1995</c:v>
                </c:pt>
                <c:pt idx="605">
                  <c:v>2000</c:v>
                </c:pt>
                <c:pt idx="606">
                  <c:v>2250</c:v>
                </c:pt>
                <c:pt idx="607">
                  <c:v>2500</c:v>
                </c:pt>
                <c:pt idx="608">
                  <c:v>2750</c:v>
                </c:pt>
                <c:pt idx="609">
                  <c:v>3000</c:v>
                </c:pt>
                <c:pt idx="610">
                  <c:v>3250</c:v>
                </c:pt>
                <c:pt idx="611">
                  <c:v>3500</c:v>
                </c:pt>
                <c:pt idx="612">
                  <c:v>3750</c:v>
                </c:pt>
                <c:pt idx="613">
                  <c:v>4000</c:v>
                </c:pt>
                <c:pt idx="614">
                  <c:v>4250</c:v>
                </c:pt>
                <c:pt idx="615">
                  <c:v>4500</c:v>
                </c:pt>
                <c:pt idx="616">
                  <c:v>4750</c:v>
                </c:pt>
                <c:pt idx="617">
                  <c:v>5000</c:v>
                </c:pt>
                <c:pt idx="618">
                  <c:v>5100</c:v>
                </c:pt>
                <c:pt idx="619">
                  <c:v>5200</c:v>
                </c:pt>
                <c:pt idx="620">
                  <c:v>5300</c:v>
                </c:pt>
                <c:pt idx="621">
                  <c:v>5400</c:v>
                </c:pt>
                <c:pt idx="622">
                  <c:v>5500</c:v>
                </c:pt>
                <c:pt idx="623">
                  <c:v>5600</c:v>
                </c:pt>
                <c:pt idx="624">
                  <c:v>5700</c:v>
                </c:pt>
                <c:pt idx="625">
                  <c:v>5800</c:v>
                </c:pt>
                <c:pt idx="626">
                  <c:v>5900</c:v>
                </c:pt>
                <c:pt idx="627">
                  <c:v>6000</c:v>
                </c:pt>
                <c:pt idx="628">
                  <c:v>6100</c:v>
                </c:pt>
                <c:pt idx="629">
                  <c:v>6200</c:v>
                </c:pt>
                <c:pt idx="630">
                  <c:v>6300</c:v>
                </c:pt>
                <c:pt idx="631">
                  <c:v>6400</c:v>
                </c:pt>
                <c:pt idx="632">
                  <c:v>6500</c:v>
                </c:pt>
                <c:pt idx="633">
                  <c:v>6600</c:v>
                </c:pt>
                <c:pt idx="634">
                  <c:v>6700</c:v>
                </c:pt>
                <c:pt idx="635">
                  <c:v>6800</c:v>
                </c:pt>
                <c:pt idx="636">
                  <c:v>6900</c:v>
                </c:pt>
                <c:pt idx="637">
                  <c:v>7000</c:v>
                </c:pt>
                <c:pt idx="638">
                  <c:v>7100</c:v>
                </c:pt>
                <c:pt idx="639">
                  <c:v>7200</c:v>
                </c:pt>
                <c:pt idx="640">
                  <c:v>7300</c:v>
                </c:pt>
                <c:pt idx="641">
                  <c:v>7400</c:v>
                </c:pt>
                <c:pt idx="642">
                  <c:v>7500</c:v>
                </c:pt>
                <c:pt idx="643">
                  <c:v>7600</c:v>
                </c:pt>
                <c:pt idx="644">
                  <c:v>7700</c:v>
                </c:pt>
                <c:pt idx="645">
                  <c:v>7800</c:v>
                </c:pt>
                <c:pt idx="646">
                  <c:v>7900</c:v>
                </c:pt>
                <c:pt idx="647">
                  <c:v>8000</c:v>
                </c:pt>
                <c:pt idx="648">
                  <c:v>8100</c:v>
                </c:pt>
                <c:pt idx="649">
                  <c:v>8200</c:v>
                </c:pt>
                <c:pt idx="650">
                  <c:v>8300</c:v>
                </c:pt>
                <c:pt idx="651">
                  <c:v>8400</c:v>
                </c:pt>
                <c:pt idx="652">
                  <c:v>8500</c:v>
                </c:pt>
                <c:pt idx="653">
                  <c:v>8600</c:v>
                </c:pt>
                <c:pt idx="654">
                  <c:v>8700</c:v>
                </c:pt>
                <c:pt idx="655">
                  <c:v>8800</c:v>
                </c:pt>
                <c:pt idx="656">
                  <c:v>8900</c:v>
                </c:pt>
                <c:pt idx="657">
                  <c:v>9000</c:v>
                </c:pt>
                <c:pt idx="658">
                  <c:v>9100</c:v>
                </c:pt>
                <c:pt idx="659">
                  <c:v>9200</c:v>
                </c:pt>
                <c:pt idx="660">
                  <c:v>9300</c:v>
                </c:pt>
                <c:pt idx="661">
                  <c:v>9400</c:v>
                </c:pt>
                <c:pt idx="662">
                  <c:v>9500</c:v>
                </c:pt>
                <c:pt idx="663">
                  <c:v>9600</c:v>
                </c:pt>
                <c:pt idx="664">
                  <c:v>9700</c:v>
                </c:pt>
                <c:pt idx="665">
                  <c:v>9800</c:v>
                </c:pt>
                <c:pt idx="666">
                  <c:v>9900</c:v>
                </c:pt>
                <c:pt idx="667">
                  <c:v>10000</c:v>
                </c:pt>
              </c:numCache>
            </c:numRef>
          </c:xVal>
          <c:yVal>
            <c:numRef>
              <c:f>'Bode Plots Calculations'!$BG$9:$BG$676</c:f>
              <c:numCache>
                <c:formatCode>General</c:formatCode>
                <c:ptCount val="668"/>
                <c:pt idx="0">
                  <c:v>-31.3316992132408</c:v>
                </c:pt>
                <c:pt idx="1">
                  <c:v>-50.580351725844167</c:v>
                </c:pt>
                <c:pt idx="2">
                  <c:v>-61.24581538142283</c:v>
                </c:pt>
                <c:pt idx="3">
                  <c:v>-67.593829877877909</c:v>
                </c:pt>
                <c:pt idx="4">
                  <c:v>-71.705100425826927</c:v>
                </c:pt>
                <c:pt idx="5">
                  <c:v>-74.553806566618263</c:v>
                </c:pt>
                <c:pt idx="6">
                  <c:v>-76.631776374020248</c:v>
                </c:pt>
                <c:pt idx="7">
                  <c:v>-78.208454294674539</c:v>
                </c:pt>
                <c:pt idx="8">
                  <c:v>-79.442184981293252</c:v>
                </c:pt>
                <c:pt idx="9">
                  <c:v>-80.431561518985134</c:v>
                </c:pt>
                <c:pt idx="10">
                  <c:v>-84.811349969251523</c:v>
                </c:pt>
                <c:pt idx="11">
                  <c:v>-86.12213156656604</c:v>
                </c:pt>
                <c:pt idx="12">
                  <c:v>-86.654966046521977</c:v>
                </c:pt>
                <c:pt idx="13">
                  <c:v>-86.875562396962167</c:v>
                </c:pt>
                <c:pt idx="14">
                  <c:v>-86.939833299767187</c:v>
                </c:pt>
                <c:pt idx="15">
                  <c:v>-86.914726177578615</c:v>
                </c:pt>
                <c:pt idx="16">
                  <c:v>-86.833750492875282</c:v>
                </c:pt>
                <c:pt idx="17">
                  <c:v>-86.715535942306943</c:v>
                </c:pt>
                <c:pt idx="18">
                  <c:v>-86.57126668918103</c:v>
                </c:pt>
                <c:pt idx="19">
                  <c:v>-84.557846869823848</c:v>
                </c:pt>
                <c:pt idx="20">
                  <c:v>-82.241182479472513</c:v>
                </c:pt>
                <c:pt idx="21">
                  <c:v>-79.86116818078537</c:v>
                </c:pt>
                <c:pt idx="22">
                  <c:v>-77.469514830870963</c:v>
                </c:pt>
                <c:pt idx="23">
                  <c:v>-75.086353370507069</c:v>
                </c:pt>
                <c:pt idx="24">
                  <c:v>-72.722573814058052</c:v>
                </c:pt>
                <c:pt idx="25">
                  <c:v>-70.385385433309551</c:v>
                </c:pt>
                <c:pt idx="26">
                  <c:v>-68.08015552612467</c:v>
                </c:pt>
                <c:pt idx="27">
                  <c:v>-65.811138396901541</c:v>
                </c:pt>
                <c:pt idx="28">
                  <c:v>-55.111232531802273</c:v>
                </c:pt>
                <c:pt idx="29">
                  <c:v>-45.631856874823633</c:v>
                </c:pt>
                <c:pt idx="30">
                  <c:v>-37.424761458001676</c:v>
                </c:pt>
                <c:pt idx="31">
                  <c:v>-30.441347591869672</c:v>
                </c:pt>
                <c:pt idx="32">
                  <c:v>-24.602689589307872</c:v>
                </c:pt>
                <c:pt idx="33">
                  <c:v>-19.841841130365257</c:v>
                </c:pt>
                <c:pt idx="34">
                  <c:v>-16.128707640953213</c:v>
                </c:pt>
                <c:pt idx="35">
                  <c:v>-13.489258254881413</c:v>
                </c:pt>
                <c:pt idx="36">
                  <c:v>-12.029653405784183</c:v>
                </c:pt>
                <c:pt idx="37">
                  <c:v>-11.976357328501036</c:v>
                </c:pt>
                <c:pt idx="38">
                  <c:v>-13.746151925725739</c:v>
                </c:pt>
                <c:pt idx="39">
                  <c:v>-18.056841050879473</c:v>
                </c:pt>
                <c:pt idx="40">
                  <c:v>-26.028630215804736</c:v>
                </c:pt>
                <c:pt idx="41">
                  <c:v>-38.909593932141931</c:v>
                </c:pt>
                <c:pt idx="42">
                  <c:v>-56.448266789245785</c:v>
                </c:pt>
                <c:pt idx="43">
                  <c:v>-74.836178657678659</c:v>
                </c:pt>
                <c:pt idx="44">
                  <c:v>-89.588935148832135</c:v>
                </c:pt>
                <c:pt idx="45">
                  <c:v>-99.679236285489537</c:v>
                </c:pt>
                <c:pt idx="46">
                  <c:v>-106.22503499384726</c:v>
                </c:pt>
                <c:pt idx="47">
                  <c:v>-110.46041189885112</c:v>
                </c:pt>
                <c:pt idx="48">
                  <c:v>-113.23077408587783</c:v>
                </c:pt>
                <c:pt idx="49">
                  <c:v>-115.05947203377994</c:v>
                </c:pt>
                <c:pt idx="50">
                  <c:v>-116.26819829695938</c:v>
                </c:pt>
                <c:pt idx="51">
                  <c:v>-117.05887534096728</c:v>
                </c:pt>
                <c:pt idx="52">
                  <c:v>-117.56183240431302</c:v>
                </c:pt>
                <c:pt idx="53">
                  <c:v>-117.86354936717953</c:v>
                </c:pt>
                <c:pt idx="54">
                  <c:v>-118.02286772441488</c:v>
                </c:pt>
                <c:pt idx="55">
                  <c:v>-118.08071035693541</c:v>
                </c:pt>
                <c:pt idx="56">
                  <c:v>-118.06607714271357</c:v>
                </c:pt>
                <c:pt idx="57">
                  <c:v>-117.99984717194037</c:v>
                </c:pt>
                <c:pt idx="58">
                  <c:v>-117.89725292014211</c:v>
                </c:pt>
                <c:pt idx="59">
                  <c:v>-117.76952847791485</c:v>
                </c:pt>
                <c:pt idx="60">
                  <c:v>-117.62503105319938</c:v>
                </c:pt>
                <c:pt idx="61">
                  <c:v>-117.47001871787587</c:v>
                </c:pt>
                <c:pt idx="62">
                  <c:v>-117.30919903224566</c:v>
                </c:pt>
                <c:pt idx="63">
                  <c:v>-117.14612199875563</c:v>
                </c:pt>
                <c:pt idx="64">
                  <c:v>-116.98346539291184</c:v>
                </c:pt>
                <c:pt idx="65">
                  <c:v>-116.82324450442692</c:v>
                </c:pt>
                <c:pt idx="66">
                  <c:v>-116.66696801975118</c:v>
                </c:pt>
                <c:pt idx="67">
                  <c:v>-116.51575502550757</c:v>
                </c:pt>
                <c:pt idx="68">
                  <c:v>-116.37042361062137</c:v>
                </c:pt>
                <c:pt idx="69">
                  <c:v>-116.23155849523812</c:v>
                </c:pt>
                <c:pt idx="70">
                  <c:v>-116.0995630179267</c:v>
                </c:pt>
                <c:pt idx="71">
                  <c:v>-115.97469935158476</c:v>
                </c:pt>
                <c:pt idx="72">
                  <c:v>-115.85711978737643</c:v>
                </c:pt>
                <c:pt idx="73">
                  <c:v>-115.74689118985894</c:v>
                </c:pt>
                <c:pt idx="74">
                  <c:v>-115.6440141951287</c:v>
                </c:pt>
                <c:pt idx="75">
                  <c:v>-115.54843833645862</c:v>
                </c:pt>
                <c:pt idx="76">
                  <c:v>-115.46007399685065</c:v>
                </c:pt>
                <c:pt idx="77">
                  <c:v>-115.37880187632744</c:v>
                </c:pt>
                <c:pt idx="78">
                  <c:v>-115.30448050343165</c:v>
                </c:pt>
                <c:pt idx="79">
                  <c:v>-115.23695220099071</c:v>
                </c:pt>
                <c:pt idx="80">
                  <c:v>-115.17604782551864</c:v>
                </c:pt>
                <c:pt idx="81">
                  <c:v>-115.12159053030159</c:v>
                </c:pt>
                <c:pt idx="82">
                  <c:v>-115.07339874888409</c:v>
                </c:pt>
                <c:pt idx="83">
                  <c:v>-115.03128855441329</c:v>
                </c:pt>
                <c:pt idx="84">
                  <c:v>-114.99507551820147</c:v>
                </c:pt>
                <c:pt idx="85">
                  <c:v>-114.96457616576842</c:v>
                </c:pt>
                <c:pt idx="86">
                  <c:v>-114.93960910891023</c:v>
                </c:pt>
                <c:pt idx="87">
                  <c:v>-114.9199959167796</c:v>
                </c:pt>
                <c:pt idx="88">
                  <c:v>-114.90556177663223</c:v>
                </c:pt>
                <c:pt idx="89">
                  <c:v>-114.89613598508471</c:v>
                </c:pt>
                <c:pt idx="90">
                  <c:v>-114.89155230289442</c:v>
                </c:pt>
                <c:pt idx="91">
                  <c:v>-114.89164919999695</c:v>
                </c:pt>
                <c:pt idx="92">
                  <c:v>-114.89627001249042</c:v>
                </c:pt>
                <c:pt idx="93">
                  <c:v>-114.90526302919002</c:v>
                </c:pt>
                <c:pt idx="94">
                  <c:v>-114.91848152208745</c:v>
                </c:pt>
                <c:pt idx="95">
                  <c:v>-114.9357837323856</c:v>
                </c:pt>
                <c:pt idx="96">
                  <c:v>-114.95703282161512</c:v>
                </c:pt>
                <c:pt idx="97">
                  <c:v>-114.98209679557544</c:v>
                </c:pt>
                <c:pt idx="98">
                  <c:v>-115.01084840740862</c:v>
                </c:pt>
                <c:pt idx="99">
                  <c:v>-115.0431650449375</c:v>
                </c:pt>
                <c:pt idx="100">
                  <c:v>-115.07892860644131</c:v>
                </c:pt>
                <c:pt idx="101">
                  <c:v>-115.11802536825276</c:v>
                </c:pt>
                <c:pt idx="102">
                  <c:v>-115.16034584691776</c:v>
                </c:pt>
                <c:pt idx="103">
                  <c:v>-115.20578465812623</c:v>
                </c:pt>
                <c:pt idx="104">
                  <c:v>-115.25424037419032</c:v>
                </c:pt>
                <c:pt idx="105">
                  <c:v>-115.30561538148655</c:v>
                </c:pt>
                <c:pt idx="106">
                  <c:v>-115.35981573898638</c:v>
                </c:pt>
                <c:pt idx="107">
                  <c:v>-115.41675103875809</c:v>
                </c:pt>
                <c:pt idx="108">
                  <c:v>-115.47633426912481</c:v>
                </c:pt>
                <c:pt idx="109">
                  <c:v>-115.53848168100102</c:v>
                </c:pt>
                <c:pt idx="110">
                  <c:v>-115.60311265779868</c:v>
                </c:pt>
                <c:pt idx="111">
                  <c:v>-115.67014958918263</c:v>
                </c:pt>
                <c:pt idx="112">
                  <c:v>-115.73951774887006</c:v>
                </c:pt>
                <c:pt idx="113">
                  <c:v>-115.81114517659401</c:v>
                </c:pt>
                <c:pt idx="114">
                  <c:v>-115.8849625642946</c:v>
                </c:pt>
                <c:pt idx="115">
                  <c:v>-115.96090314655403</c:v>
                </c:pt>
                <c:pt idx="116">
                  <c:v>-116.03890259525564</c:v>
                </c:pt>
                <c:pt idx="117">
                  <c:v>-116.11889891841523</c:v>
                </c:pt>
                <c:pt idx="118">
                  <c:v>-116.20083236311199</c:v>
                </c:pt>
                <c:pt idx="119">
                  <c:v>-116.28464532242812</c:v>
                </c:pt>
                <c:pt idx="120">
                  <c:v>-116.37028224629165</c:v>
                </c:pt>
                <c:pt idx="121">
                  <c:v>-116.45768955610829</c:v>
                </c:pt>
                <c:pt idx="122">
                  <c:v>-116.54681556306069</c:v>
                </c:pt>
                <c:pt idx="123">
                  <c:v>-116.63761038994915</c:v>
                </c:pt>
                <c:pt idx="124">
                  <c:v>-116.73002589644456</c:v>
                </c:pt>
                <c:pt idx="125">
                  <c:v>-116.82401560762425</c:v>
                </c:pt>
                <c:pt idx="126">
                  <c:v>-116.91953464566105</c:v>
                </c:pt>
                <c:pt idx="127">
                  <c:v>-117.01653966453699</c:v>
                </c:pt>
                <c:pt idx="128">
                  <c:v>-117.11498878765562</c:v>
                </c:pt>
                <c:pt idx="129">
                  <c:v>-117.21484154822915</c:v>
                </c:pt>
                <c:pt idx="130">
                  <c:v>-117.31605883231968</c:v>
                </c:pt>
                <c:pt idx="131">
                  <c:v>-117.4186028244177</c:v>
                </c:pt>
                <c:pt idx="132">
                  <c:v>-117.52243695544442</c:v>
                </c:pt>
                <c:pt idx="133">
                  <c:v>-117.62752585306808</c:v>
                </c:pt>
                <c:pt idx="134">
                  <c:v>-117.73383529422919</c:v>
                </c:pt>
                <c:pt idx="135">
                  <c:v>-117.84133215977323</c:v>
                </c:pt>
                <c:pt idx="136">
                  <c:v>-117.94998439109324</c:v>
                </c:pt>
                <c:pt idx="137">
                  <c:v>-118.05976094868869</c:v>
                </c:pt>
                <c:pt idx="138">
                  <c:v>-118.17063177255223</c:v>
                </c:pt>
                <c:pt idx="139">
                  <c:v>-118.28256774429748</c:v>
                </c:pt>
                <c:pt idx="140">
                  <c:v>-118.39554065094759</c:v>
                </c:pt>
                <c:pt idx="141">
                  <c:v>-118.5095231503054</c:v>
                </c:pt>
                <c:pt idx="142">
                  <c:v>-118.62448873783164</c:v>
                </c:pt>
                <c:pt idx="143">
                  <c:v>-118.74041171496002</c:v>
                </c:pt>
                <c:pt idx="144">
                  <c:v>-118.85726715878151</c:v>
                </c:pt>
                <c:pt idx="145">
                  <c:v>-118.97503089303339</c:v>
                </c:pt>
                <c:pt idx="146">
                  <c:v>-119.09367946033232</c:v>
                </c:pt>
                <c:pt idx="147">
                  <c:v>-119.21319009559232</c:v>
                </c:pt>
                <c:pt idx="148">
                  <c:v>-119.33354070057283</c:v>
                </c:pt>
                <c:pt idx="149">
                  <c:v>-119.45470981950348</c:v>
                </c:pt>
                <c:pt idx="150">
                  <c:v>-119.57667661573608</c:v>
                </c:pt>
                <c:pt idx="151">
                  <c:v>-119.69942084937504</c:v>
                </c:pt>
                <c:pt idx="152">
                  <c:v>-119.82292285584188</c:v>
                </c:pt>
                <c:pt idx="153">
                  <c:v>-119.94716352532974</c:v>
                </c:pt>
                <c:pt idx="154">
                  <c:v>-120.07212428310727</c:v>
                </c:pt>
                <c:pt idx="155">
                  <c:v>-120.19778707063304</c:v>
                </c:pt>
                <c:pt idx="156">
                  <c:v>-120.32413432744248</c:v>
                </c:pt>
                <c:pt idx="157">
                  <c:v>-120.4511489737733</c:v>
                </c:pt>
                <c:pt idx="158">
                  <c:v>-120.57881439389458</c:v>
                </c:pt>
                <c:pt idx="159">
                  <c:v>-120.70711442010843</c:v>
                </c:pt>
                <c:pt idx="160">
                  <c:v>-120.83603331739367</c:v>
                </c:pt>
                <c:pt idx="161">
                  <c:v>-120.96555576866214</c:v>
                </c:pt>
                <c:pt idx="162">
                  <c:v>-121.09566686060127</c:v>
                </c:pt>
                <c:pt idx="163">
                  <c:v>-121.22635207007545</c:v>
                </c:pt>
                <c:pt idx="164">
                  <c:v>-121.35759725106242</c:v>
                </c:pt>
                <c:pt idx="165">
                  <c:v>-121.48938862210052</c:v>
                </c:pt>
                <c:pt idx="166">
                  <c:v>-121.6217127542243</c:v>
                </c:pt>
                <c:pt idx="167">
                  <c:v>-121.7545565593674</c:v>
                </c:pt>
                <c:pt idx="168">
                  <c:v>-121.88790727921153</c:v>
                </c:pt>
                <c:pt idx="169">
                  <c:v>-122.02175247446344</c:v>
                </c:pt>
                <c:pt idx="170">
                  <c:v>-122.15608001453995</c:v>
                </c:pt>
                <c:pt idx="171">
                  <c:v>-122.2908780676444</c:v>
                </c:pt>
                <c:pt idx="172">
                  <c:v>-122.42613509121747</c:v>
                </c:pt>
                <c:pt idx="173">
                  <c:v>-122.56183982274638</c:v>
                </c:pt>
                <c:pt idx="174">
                  <c:v>-122.69798127091704</c:v>
                </c:pt>
                <c:pt idx="175">
                  <c:v>-122.83454870709508</c:v>
                </c:pt>
                <c:pt idx="176">
                  <c:v>-122.97153165712156</c:v>
                </c:pt>
                <c:pt idx="177">
                  <c:v>-123.10891989341037</c:v>
                </c:pt>
                <c:pt idx="178">
                  <c:v>-123.24670342733484</c:v>
                </c:pt>
                <c:pt idx="179">
                  <c:v>-123.38487250189098</c:v>
                </c:pt>
                <c:pt idx="180">
                  <c:v>-123.52341758462659</c:v>
                </c:pt>
                <c:pt idx="181">
                  <c:v>-123.66232936082532</c:v>
                </c:pt>
                <c:pt idx="182">
                  <c:v>-123.80159872693464</c:v>
                </c:pt>
                <c:pt idx="183">
                  <c:v>-123.94121678422825</c:v>
                </c:pt>
                <c:pt idx="184">
                  <c:v>-124.08117483269346</c:v>
                </c:pt>
                <c:pt idx="185">
                  <c:v>-124.22146436513432</c:v>
                </c:pt>
                <c:pt idx="186">
                  <c:v>-124.36207706148168</c:v>
                </c:pt>
                <c:pt idx="187">
                  <c:v>-124.50300478330256</c:v>
                </c:pt>
                <c:pt idx="188">
                  <c:v>-124.64423956849983</c:v>
                </c:pt>
                <c:pt idx="189">
                  <c:v>-124.78577362619606</c:v>
                </c:pt>
                <c:pt idx="190">
                  <c:v>-124.92759933179299</c:v>
                </c:pt>
                <c:pt idx="191">
                  <c:v>-125.06970922220017</c:v>
                </c:pt>
                <c:pt idx="192">
                  <c:v>-125.2120959912273</c:v>
                </c:pt>
                <c:pt idx="193">
                  <c:v>-125.35475248513157</c:v>
                </c:pt>
                <c:pt idx="194">
                  <c:v>-125.49767169831645</c:v>
                </c:pt>
                <c:pt idx="195">
                  <c:v>-125.64084676917429</c:v>
                </c:pt>
                <c:pt idx="196">
                  <c:v>-125.78427097606873</c:v>
                </c:pt>
                <c:pt idx="197">
                  <c:v>-125.92793773344992</c:v>
                </c:pt>
                <c:pt idx="198">
                  <c:v>-126.07184058809948</c:v>
                </c:pt>
                <c:pt idx="199">
                  <c:v>-126.21597321549812</c:v>
                </c:pt>
                <c:pt idx="200">
                  <c:v>-126.36032941631368</c:v>
                </c:pt>
                <c:pt idx="201">
                  <c:v>-126.50490311300308</c:v>
                </c:pt>
                <c:pt idx="202">
                  <c:v>-126.64968834652478</c:v>
                </c:pt>
                <c:pt idx="203">
                  <c:v>-126.79467927315815</c:v>
                </c:pt>
                <c:pt idx="204">
                  <c:v>-126.93987016142475</c:v>
                </c:pt>
                <c:pt idx="205">
                  <c:v>-127.08525538910881</c:v>
                </c:pt>
                <c:pt idx="206">
                  <c:v>-127.23082944037246</c:v>
                </c:pt>
                <c:pt idx="207">
                  <c:v>-127.37658690296274</c:v>
                </c:pt>
                <c:pt idx="208">
                  <c:v>-127.52252246550704</c:v>
                </c:pt>
                <c:pt idx="209">
                  <c:v>-127.66863091489361</c:v>
                </c:pt>
                <c:pt idx="210">
                  <c:v>-127.81490713373445</c:v>
                </c:pt>
                <c:pt idx="211">
                  <c:v>-127.96134609790703</c:v>
                </c:pt>
                <c:pt idx="212">
                  <c:v>-128.10794287417255</c:v>
                </c:pt>
                <c:pt idx="213">
                  <c:v>-128.25469261786819</c:v>
                </c:pt>
                <c:pt idx="214">
                  <c:v>-128.40159057066992</c:v>
                </c:pt>
                <c:pt idx="215">
                  <c:v>-128.54863205842446</c:v>
                </c:pt>
                <c:pt idx="216">
                  <c:v>-128.69581248904711</c:v>
                </c:pt>
                <c:pt idx="217">
                  <c:v>-128.8431273504836</c:v>
                </c:pt>
                <c:pt idx="218">
                  <c:v>-128.99057220873379</c:v>
                </c:pt>
                <c:pt idx="219">
                  <c:v>-129.138142705935</c:v>
                </c:pt>
                <c:pt idx="220">
                  <c:v>-129.28583455850239</c:v>
                </c:pt>
                <c:pt idx="221">
                  <c:v>-129.43364355532592</c:v>
                </c:pt>
                <c:pt idx="222">
                  <c:v>-129.58156555601994</c:v>
                </c:pt>
                <c:pt idx="223">
                  <c:v>-129.72959648922551</c:v>
                </c:pt>
                <c:pt idx="224">
                  <c:v>-129.87773235096256</c:v>
                </c:pt>
                <c:pt idx="225">
                  <c:v>-130.02596920303051</c:v>
                </c:pt>
                <c:pt idx="226">
                  <c:v>-131.51306984317031</c:v>
                </c:pt>
                <c:pt idx="227">
                  <c:v>-133.00637149526628</c:v>
                </c:pt>
                <c:pt idx="228">
                  <c:v>-134.50281529816453</c:v>
                </c:pt>
                <c:pt idx="229">
                  <c:v>-135.99974762673702</c:v>
                </c:pt>
                <c:pt idx="230">
                  <c:v>-137.49484535994367</c:v>
                </c:pt>
                <c:pt idx="231">
                  <c:v>-138.98605858161878</c:v>
                </c:pt>
                <c:pt idx="232">
                  <c:v>-140.4715662672474</c:v>
                </c:pt>
                <c:pt idx="233">
                  <c:v>-141.94974173530119</c:v>
                </c:pt>
                <c:pt idx="234">
                  <c:v>-143.41912549996667</c:v>
                </c:pt>
                <c:pt idx="235">
                  <c:v>-144.87840377166802</c:v>
                </c:pt>
                <c:pt idx="236">
                  <c:v>-146.32639129050074</c:v>
                </c:pt>
                <c:pt idx="237">
                  <c:v>-147.76201749746053</c:v>
                </c:pt>
                <c:pt idx="238">
                  <c:v>-149.18431528426498</c:v>
                </c:pt>
                <c:pt idx="239">
                  <c:v>-150.59241173863572</c:v>
                </c:pt>
                <c:pt idx="240">
                  <c:v>-151.98552043475325</c:v>
                </c:pt>
                <c:pt idx="241">
                  <c:v>-153.36293491985634</c:v>
                </c:pt>
                <c:pt idx="242">
                  <c:v>-154.72402312585629</c:v>
                </c:pt>
                <c:pt idx="243">
                  <c:v>-156.06822249526803</c:v>
                </c:pt>
                <c:pt idx="244">
                  <c:v>-157.39503565796227</c:v>
                </c:pt>
                <c:pt idx="245">
                  <c:v>-158.70402653232824</c:v>
                </c:pt>
                <c:pt idx="246">
                  <c:v>-159.99481675368358</c:v>
                </c:pt>
                <c:pt idx="247">
                  <c:v>-161.26708235589373</c:v>
                </c:pt>
                <c:pt idx="248">
                  <c:v>-162.52055065044789</c:v>
                </c:pt>
                <c:pt idx="249">
                  <c:v>-163.75499726167581</c:v>
                </c:pt>
                <c:pt idx="250">
                  <c:v>-164.97024328814018</c:v>
                </c:pt>
                <c:pt idx="251">
                  <c:v>-166.1661525691018</c:v>
                </c:pt>
                <c:pt idx="252">
                  <c:v>-167.34262904181011</c:v>
                </c:pt>
                <c:pt idx="253">
                  <c:v>-168.49961418059655</c:v>
                </c:pt>
                <c:pt idx="254">
                  <c:v>-169.63708451265876</c:v>
                </c:pt>
                <c:pt idx="255">
                  <c:v>-170.75504920827635</c:v>
                </c:pt>
                <c:pt idx="256">
                  <c:v>-171.85354774519587</c:v>
                </c:pt>
                <c:pt idx="257">
                  <c:v>-172.93264764824875</c:v>
                </c:pt>
                <c:pt idx="258">
                  <c:v>-173.99244230605916</c:v>
                </c:pt>
                <c:pt idx="259">
                  <c:v>-175.03304886707915</c:v>
                </c:pt>
                <c:pt idx="260">
                  <c:v>-176.05460621726155</c:v>
                </c:pt>
                <c:pt idx="261">
                  <c:v>-177.05727304152015</c:v>
                </c:pt>
                <c:pt idx="262">
                  <c:v>-178.04122597080658</c:v>
                </c:pt>
                <c:pt idx="263">
                  <c:v>-179.0066578162033</c:v>
                </c:pt>
                <c:pt idx="264">
                  <c:v>-179.95377589093872</c:v>
                </c:pt>
                <c:pt idx="265">
                  <c:v>-180.88280042070519</c:v>
                </c:pt>
                <c:pt idx="266">
                  <c:v>-181.79396304213535</c:v>
                </c:pt>
                <c:pt idx="267">
                  <c:v>-182.68750538877779</c:v>
                </c:pt>
                <c:pt idx="268">
                  <c:v>-183.56367776343532</c:v>
                </c:pt>
                <c:pt idx="269">
                  <c:v>-184.42273789528886</c:v>
                </c:pt>
                <c:pt idx="270">
                  <c:v>-185.26494977983791</c:v>
                </c:pt>
                <c:pt idx="271">
                  <c:v>-186.09058259934895</c:v>
                </c:pt>
                <c:pt idx="272">
                  <c:v>-186.89990972121302</c:v>
                </c:pt>
                <c:pt idx="273">
                  <c:v>-187.69320777137796</c:v>
                </c:pt>
                <c:pt idx="274">
                  <c:v>-188.47075577983358</c:v>
                </c:pt>
                <c:pt idx="275">
                  <c:v>-189.23283439498519</c:v>
                </c:pt>
                <c:pt idx="276">
                  <c:v>-189.9797251636567</c:v>
                </c:pt>
                <c:pt idx="277">
                  <c:v>-190.71170987340361</c:v>
                </c:pt>
                <c:pt idx="278">
                  <c:v>-191.42906995379465</c:v>
                </c:pt>
                <c:pt idx="279">
                  <c:v>-192.13208593332766</c:v>
                </c:pt>
                <c:pt idx="280">
                  <c:v>-192.82103694868064</c:v>
                </c:pt>
                <c:pt idx="281">
                  <c:v>-193.49620030305675</c:v>
                </c:pt>
                <c:pt idx="282">
                  <c:v>-194.15785107045667</c:v>
                </c:pt>
                <c:pt idx="283">
                  <c:v>-194.80626174280758</c:v>
                </c:pt>
                <c:pt idx="284">
                  <c:v>-195.44170191697893</c:v>
                </c:pt>
                <c:pt idx="285">
                  <c:v>-196.06443801883378</c:v>
                </c:pt>
                <c:pt idx="286">
                  <c:v>-196.67473306158288</c:v>
                </c:pt>
                <c:pt idx="287">
                  <c:v>-197.27284643583803</c:v>
                </c:pt>
                <c:pt idx="288">
                  <c:v>-197.85903372888941</c:v>
                </c:pt>
                <c:pt idx="289">
                  <c:v>-198.43354657086357</c:v>
                </c:pt>
                <c:pt idx="290">
                  <c:v>-198.99663250554846</c:v>
                </c:pt>
                <c:pt idx="291">
                  <c:v>-199.54853488380323</c:v>
                </c:pt>
                <c:pt idx="292">
                  <c:v>-200.08949277759606</c:v>
                </c:pt>
                <c:pt idx="293">
                  <c:v>-200.61974091283747</c:v>
                </c:pt>
                <c:pt idx="294">
                  <c:v>-201.13950961929834</c:v>
                </c:pt>
                <c:pt idx="295">
                  <c:v>-201.64902479601568</c:v>
                </c:pt>
                <c:pt idx="296">
                  <c:v>-202.14850789070155</c:v>
                </c:pt>
                <c:pt idx="297">
                  <c:v>-202.6381758917768</c:v>
                </c:pt>
                <c:pt idx="298">
                  <c:v>-203.11824133175196</c:v>
                </c:pt>
                <c:pt idx="299">
                  <c:v>-203.58891230077433</c:v>
                </c:pt>
                <c:pt idx="300">
                  <c:v>-204.05039246924952</c:v>
                </c:pt>
                <c:pt idx="301">
                  <c:v>-204.50288111853376</c:v>
                </c:pt>
                <c:pt idx="302">
                  <c:v>-204.94657317877059</c:v>
                </c:pt>
                <c:pt idx="303">
                  <c:v>-205.3816592730241</c:v>
                </c:pt>
                <c:pt idx="304">
                  <c:v>-205.8083257669293</c:v>
                </c:pt>
                <c:pt idx="305">
                  <c:v>-206.22675482314699</c:v>
                </c:pt>
                <c:pt idx="306">
                  <c:v>-206.63712445997186</c:v>
                </c:pt>
                <c:pt idx="307">
                  <c:v>-207.0396086135006</c:v>
                </c:pt>
                <c:pt idx="308">
                  <c:v>-207.43437720281747</c:v>
                </c:pt>
                <c:pt idx="309">
                  <c:v>-207.82159619770721</c:v>
                </c:pt>
                <c:pt idx="310">
                  <c:v>-208.20142768844855</c:v>
                </c:pt>
                <c:pt idx="311">
                  <c:v>-208.57402995728404</c:v>
                </c:pt>
                <c:pt idx="312">
                  <c:v>-208.93955755120186</c:v>
                </c:pt>
                <c:pt idx="313">
                  <c:v>-209.29816135569973</c:v>
                </c:pt>
                <c:pt idx="314">
                  <c:v>-209.6499886692346</c:v>
                </c:pt>
                <c:pt idx="315">
                  <c:v>-209.99518327809335</c:v>
                </c:pt>
                <c:pt idx="316">
                  <c:v>-210.33388553144431</c:v>
                </c:pt>
                <c:pt idx="317">
                  <c:v>-210.66623241635938</c:v>
                </c:pt>
                <c:pt idx="318">
                  <c:v>-210.99235763261569</c:v>
                </c:pt>
                <c:pt idx="319">
                  <c:v>-211.31239166710986</c:v>
                </c:pt>
                <c:pt idx="320">
                  <c:v>-211.62646186773674</c:v>
                </c:pt>
                <c:pt idx="321">
                  <c:v>-211.93469251660139</c:v>
                </c:pt>
                <c:pt idx="322">
                  <c:v>-212.23720490245069</c:v>
                </c:pt>
                <c:pt idx="323">
                  <c:v>-212.53411739222517</c:v>
                </c:pt>
                <c:pt idx="324">
                  <c:v>-212.82554550164451</c:v>
                </c:pt>
                <c:pt idx="325">
                  <c:v>-213.11160196475325</c:v>
                </c:pt>
                <c:pt idx="326">
                  <c:v>-213.39239680236412</c:v>
                </c:pt>
                <c:pt idx="327">
                  <c:v>-213.66803738934522</c:v>
                </c:pt>
                <c:pt idx="328">
                  <c:v>-213.93862852070893</c:v>
                </c:pt>
                <c:pt idx="329">
                  <c:v>-214.20427247646546</c:v>
                </c:pt>
                <c:pt idx="330">
                  <c:v>-214.46506908521297</c:v>
                </c:pt>
                <c:pt idx="331">
                  <c:v>-214.72111578644402</c:v>
                </c:pt>
                <c:pt idx="332">
                  <c:v>-214.97250769154996</c:v>
                </c:pt>
                <c:pt idx="333">
                  <c:v>-215.21933764351598</c:v>
                </c:pt>
                <c:pt idx="334">
                  <c:v>-215.46169627529821</c:v>
                </c:pt>
                <c:pt idx="335">
                  <c:v>-215.69967206688307</c:v>
                </c:pt>
                <c:pt idx="336">
                  <c:v>-215.93335140103079</c:v>
                </c:pt>
                <c:pt idx="337">
                  <c:v>-216.16281861770815</c:v>
                </c:pt>
                <c:pt idx="338">
                  <c:v>-216.38815606721934</c:v>
                </c:pt>
                <c:pt idx="339">
                  <c:v>-216.60944416204606</c:v>
                </c:pt>
                <c:pt idx="340">
                  <c:v>-216.82676142740948</c:v>
                </c:pt>
                <c:pt idx="341">
                  <c:v>-217.0401845505705</c:v>
                </c:pt>
                <c:pt idx="342">
                  <c:v>-217.24978842888336</c:v>
                </c:pt>
                <c:pt idx="343">
                  <c:v>-217.45564621662331</c:v>
                </c:pt>
                <c:pt idx="344">
                  <c:v>-217.65782937060581</c:v>
                </c:pt>
                <c:pt idx="345">
                  <c:v>-217.85640769461924</c:v>
                </c:pt>
                <c:pt idx="346">
                  <c:v>-218.05144938269191</c:v>
                </c:pt>
                <c:pt idx="347">
                  <c:v>-218.24302106121593</c:v>
                </c:pt>
                <c:pt idx="348">
                  <c:v>-218.43118782995057</c:v>
                </c:pt>
                <c:pt idx="349">
                  <c:v>-218.61601330192835</c:v>
                </c:pt>
                <c:pt idx="350">
                  <c:v>-218.79755964228696</c:v>
                </c:pt>
                <c:pt idx="351">
                  <c:v>-218.97588760605166</c:v>
                </c:pt>
                <c:pt idx="352">
                  <c:v>-219.15105657489076</c:v>
                </c:pt>
                <c:pt idx="353">
                  <c:v>-219.32312459286919</c:v>
                </c:pt>
                <c:pt idx="354">
                  <c:v>-219.49214840122318</c:v>
                </c:pt>
                <c:pt idx="355">
                  <c:v>-219.65818347218007</c:v>
                </c:pt>
                <c:pt idx="356">
                  <c:v>-219.82128404184738</c:v>
                </c:pt>
                <c:pt idx="357">
                  <c:v>-219.98150314219347</c:v>
                </c:pt>
                <c:pt idx="358">
                  <c:v>-220.13889263214378</c:v>
                </c:pt>
                <c:pt idx="359">
                  <c:v>-220.29350322781556</c:v>
                </c:pt>
                <c:pt idx="360">
                  <c:v>-220.44538453191285</c:v>
                </c:pt>
                <c:pt idx="361">
                  <c:v>-220.59458506230487</c:v>
                </c:pt>
                <c:pt idx="362">
                  <c:v>-220.74115227980914</c:v>
                </c:pt>
                <c:pt idx="363">
                  <c:v>-220.88513261520097</c:v>
                </c:pt>
                <c:pt idx="364">
                  <c:v>-221.02657149547053</c:v>
                </c:pt>
                <c:pt idx="365">
                  <c:v>-221.16551336934779</c:v>
                </c:pt>
                <c:pt idx="366">
                  <c:v>-221.30200173211605</c:v>
                </c:pt>
                <c:pt idx="367">
                  <c:v>-221.43607914973367</c:v>
                </c:pt>
                <c:pt idx="368">
                  <c:v>-221.56778728228326</c:v>
                </c:pt>
                <c:pt idx="369">
                  <c:v>-221.69716690676754</c:v>
                </c:pt>
                <c:pt idx="370">
                  <c:v>-221.82425793927004</c:v>
                </c:pt>
                <c:pt idx="371">
                  <c:v>-221.94909945649937</c:v>
                </c:pt>
                <c:pt idx="372">
                  <c:v>-222.07172971673361</c:v>
                </c:pt>
                <c:pt idx="373">
                  <c:v>-222.19218618018306</c:v>
                </c:pt>
                <c:pt idx="374">
                  <c:v>-222.31050552878736</c:v>
                </c:pt>
                <c:pt idx="375">
                  <c:v>-222.426723685464</c:v>
                </c:pt>
                <c:pt idx="376">
                  <c:v>-222.5408758328231</c:v>
                </c:pt>
                <c:pt idx="377">
                  <c:v>-222.65299643136504</c:v>
                </c:pt>
                <c:pt idx="378">
                  <c:v>-222.76311923717475</c:v>
                </c:pt>
                <c:pt idx="379">
                  <c:v>-222.87127731912915</c:v>
                </c:pt>
                <c:pt idx="380">
                  <c:v>-222.97750307562933</c:v>
                </c:pt>
                <c:pt idx="381">
                  <c:v>-223.08182825087408</c:v>
                </c:pt>
                <c:pt idx="382">
                  <c:v>-223.18428395068602</c:v>
                </c:pt>
                <c:pt idx="383">
                  <c:v>-223.28490065790453</c:v>
                </c:pt>
                <c:pt idx="384">
                  <c:v>-223.38370824735819</c:v>
                </c:pt>
                <c:pt idx="385">
                  <c:v>-223.48073600042835</c:v>
                </c:pt>
                <c:pt idx="386">
                  <c:v>-223.57601261921641</c:v>
                </c:pt>
                <c:pt idx="387">
                  <c:v>-223.66956624032622</c:v>
                </c:pt>
                <c:pt idx="388">
                  <c:v>-223.76142444827289</c:v>
                </c:pt>
                <c:pt idx="389">
                  <c:v>-223.85161428852868</c:v>
                </c:pt>
                <c:pt idx="390">
                  <c:v>-223.94016228021741</c:v>
                </c:pt>
                <c:pt idx="391">
                  <c:v>-224.02709442846654</c:v>
                </c:pt>
                <c:pt idx="392">
                  <c:v>-224.11243623642787</c:v>
                </c:pt>
                <c:pt idx="393">
                  <c:v>-224.19621271697608</c:v>
                </c:pt>
                <c:pt idx="394">
                  <c:v>-224.2784484040946</c:v>
                </c:pt>
                <c:pt idx="395">
                  <c:v>-224.35916736395814</c:v>
                </c:pt>
                <c:pt idx="396">
                  <c:v>-224.43839320572039</c:v>
                </c:pt>
                <c:pt idx="397">
                  <c:v>-224.51614909201558</c:v>
                </c:pt>
                <c:pt idx="398">
                  <c:v>-224.59245774918278</c:v>
                </c:pt>
                <c:pt idx="399">
                  <c:v>-224.66734147721954</c:v>
                </c:pt>
                <c:pt idx="400">
                  <c:v>-224.74082215947479</c:v>
                </c:pt>
                <c:pt idx="401">
                  <c:v>-224.8129212720869</c:v>
                </c:pt>
                <c:pt idx="402">
                  <c:v>-224.8836598931745</c:v>
                </c:pt>
                <c:pt idx="403">
                  <c:v>-224.95305871178832</c:v>
                </c:pt>
                <c:pt idx="404">
                  <c:v>-225.02113803662945</c:v>
                </c:pt>
                <c:pt idx="405">
                  <c:v>-225.08791780454209</c:v>
                </c:pt>
                <c:pt idx="406">
                  <c:v>-225.15341758878563</c:v>
                </c:pt>
                <c:pt idx="407">
                  <c:v>-225.21765660709471</c:v>
                </c:pt>
                <c:pt idx="408">
                  <c:v>-225.28065372953088</c:v>
                </c:pt>
                <c:pt idx="409">
                  <c:v>-225.34242748613366</c:v>
                </c:pt>
                <c:pt idx="410">
                  <c:v>-225.40299607437549</c:v>
                </c:pt>
                <c:pt idx="411">
                  <c:v>-225.46237736642698</c:v>
                </c:pt>
                <c:pt idx="412">
                  <c:v>-225.52058891623767</c:v>
                </c:pt>
                <c:pt idx="413">
                  <c:v>-225.57764796643701</c:v>
                </c:pt>
                <c:pt idx="414">
                  <c:v>-225.63357145506109</c:v>
                </c:pt>
                <c:pt idx="415">
                  <c:v>-225.68837602211039</c:v>
                </c:pt>
                <c:pt idx="416">
                  <c:v>-225.74207801594258</c:v>
                </c:pt>
                <c:pt idx="417">
                  <c:v>-225.79469349950523</c:v>
                </c:pt>
                <c:pt idx="418">
                  <c:v>-225.84623825641307</c:v>
                </c:pt>
                <c:pt idx="419">
                  <c:v>-225.89672779687447</c:v>
                </c:pt>
                <c:pt idx="420">
                  <c:v>-225.94617736347044</c:v>
                </c:pt>
                <c:pt idx="421">
                  <c:v>-225.99460193679101</c:v>
                </c:pt>
                <c:pt idx="422">
                  <c:v>-226.04201624093284</c:v>
                </c:pt>
                <c:pt idx="423">
                  <c:v>-226.08843474886149</c:v>
                </c:pt>
                <c:pt idx="424">
                  <c:v>-226.13387168764271</c:v>
                </c:pt>
                <c:pt idx="425">
                  <c:v>-226.17834104354574</c:v>
                </c:pt>
                <c:pt idx="426">
                  <c:v>-226.2218565670228</c:v>
                </c:pt>
                <c:pt idx="427">
                  <c:v>-226.26443177756718</c:v>
                </c:pt>
                <c:pt idx="428">
                  <c:v>-226.30607996845472</c:v>
                </c:pt>
                <c:pt idx="429">
                  <c:v>-226.34681421137023</c:v>
                </c:pt>
                <c:pt idx="430">
                  <c:v>-226.38664736092321</c:v>
                </c:pt>
                <c:pt idx="431">
                  <c:v>-226.42559205905522</c:v>
                </c:pt>
                <c:pt idx="432">
                  <c:v>-226.46366073934229</c:v>
                </c:pt>
                <c:pt idx="433">
                  <c:v>-226.50086563119456</c:v>
                </c:pt>
                <c:pt idx="434">
                  <c:v>-226.53721876395662</c:v>
                </c:pt>
                <c:pt idx="435">
                  <c:v>-226.57273197091095</c:v>
                </c:pt>
                <c:pt idx="436">
                  <c:v>-226.60741689318655</c:v>
                </c:pt>
                <c:pt idx="437">
                  <c:v>-226.64128498357644</c:v>
                </c:pt>
                <c:pt idx="438">
                  <c:v>-226.67434751026511</c:v>
                </c:pt>
                <c:pt idx="439">
                  <c:v>-226.70661556046952</c:v>
                </c:pt>
                <c:pt idx="440">
                  <c:v>-226.73810004399482</c:v>
                </c:pt>
                <c:pt idx="441">
                  <c:v>-226.76881169670821</c:v>
                </c:pt>
                <c:pt idx="442">
                  <c:v>-226.79876108393208</c:v>
                </c:pt>
                <c:pt idx="443">
                  <c:v>-226.82795860375907</c:v>
                </c:pt>
                <c:pt idx="444">
                  <c:v>-226.8564144902912</c:v>
                </c:pt>
                <c:pt idx="445">
                  <c:v>-226.88413881680452</c:v>
                </c:pt>
                <c:pt idx="446">
                  <c:v>-226.9111414988416</c:v>
                </c:pt>
                <c:pt idx="447">
                  <c:v>-226.93743229723412</c:v>
                </c:pt>
                <c:pt idx="448">
                  <c:v>-226.96302082105623</c:v>
                </c:pt>
                <c:pt idx="449">
                  <c:v>-226.98791653051188</c:v>
                </c:pt>
                <c:pt idx="450">
                  <c:v>-227.01212873975643</c:v>
                </c:pt>
                <c:pt idx="451">
                  <c:v>-227.03566661965547</c:v>
                </c:pt>
                <c:pt idx="452">
                  <c:v>-227.05853920048168</c:v>
                </c:pt>
                <c:pt idx="453">
                  <c:v>-227.0807553745513</c:v>
                </c:pt>
                <c:pt idx="454">
                  <c:v>-227.10232389880241</c:v>
                </c:pt>
                <c:pt idx="455">
                  <c:v>-227.12325339731584</c:v>
                </c:pt>
                <c:pt idx="456">
                  <c:v>-227.1435523637802</c:v>
                </c:pt>
                <c:pt idx="457">
                  <c:v>-227.16322916390317</c:v>
                </c:pt>
                <c:pt idx="458">
                  <c:v>-227.18229203776906</c:v>
                </c:pt>
                <c:pt idx="459">
                  <c:v>-227.20074910214558</c:v>
                </c:pt>
                <c:pt idx="460">
                  <c:v>-227.21860835273992</c:v>
                </c:pt>
                <c:pt idx="461">
                  <c:v>-227.2358776664056</c:v>
                </c:pt>
                <c:pt idx="462">
                  <c:v>-227.25256480330202</c:v>
                </c:pt>
                <c:pt idx="463">
                  <c:v>-227.26867740900676</c:v>
                </c:pt>
                <c:pt idx="464">
                  <c:v>-227.28422301658293</c:v>
                </c:pt>
                <c:pt idx="465">
                  <c:v>-227.29920904860188</c:v>
                </c:pt>
                <c:pt idx="466">
                  <c:v>-227.31364281912255</c:v>
                </c:pt>
                <c:pt idx="467">
                  <c:v>-227.32753153562896</c:v>
                </c:pt>
                <c:pt idx="468">
                  <c:v>-227.3408823009259</c:v>
                </c:pt>
                <c:pt idx="469">
                  <c:v>-227.3537021149954</c:v>
                </c:pt>
                <c:pt idx="470">
                  <c:v>-227.36599787681297</c:v>
                </c:pt>
                <c:pt idx="471">
                  <c:v>-227.37777638612633</c:v>
                </c:pt>
                <c:pt idx="472">
                  <c:v>-227.38904434519642</c:v>
                </c:pt>
                <c:pt idx="473">
                  <c:v>-227.39980836050219</c:v>
                </c:pt>
                <c:pt idx="474">
                  <c:v>-227.4100749444097</c:v>
                </c:pt>
                <c:pt idx="475">
                  <c:v>-227.41985051680672</c:v>
                </c:pt>
                <c:pt idx="476">
                  <c:v>-227.42914140670308</c:v>
                </c:pt>
                <c:pt idx="477">
                  <c:v>-227.43795385379852</c:v>
                </c:pt>
                <c:pt idx="478">
                  <c:v>-227.44629401001771</c:v>
                </c:pt>
                <c:pt idx="479">
                  <c:v>-227.45416794101422</c:v>
                </c:pt>
                <c:pt idx="480">
                  <c:v>-227.46158162764323</c:v>
                </c:pt>
                <c:pt idx="481">
                  <c:v>-227.46854096740483</c:v>
                </c:pt>
                <c:pt idx="482">
                  <c:v>-227.4750517758572</c:v>
                </c:pt>
                <c:pt idx="483">
                  <c:v>-227.48111978800196</c:v>
                </c:pt>
                <c:pt idx="484">
                  <c:v>-227.48675065964102</c:v>
                </c:pt>
                <c:pt idx="485">
                  <c:v>-227.49194996870605</c:v>
                </c:pt>
                <c:pt idx="486">
                  <c:v>-227.49672321656178</c:v>
                </c:pt>
                <c:pt idx="487">
                  <c:v>-227.50107582928243</c:v>
                </c:pt>
                <c:pt idx="488">
                  <c:v>-227.50501315890358</c:v>
                </c:pt>
                <c:pt idx="489">
                  <c:v>-227.50854048464839</c:v>
                </c:pt>
                <c:pt idx="490">
                  <c:v>-227.51166301412982</c:v>
                </c:pt>
                <c:pt idx="491">
                  <c:v>-227.51438588452925</c:v>
                </c:pt>
                <c:pt idx="492">
                  <c:v>-227.51671416375137</c:v>
                </c:pt>
                <c:pt idx="493">
                  <c:v>-227.51865285155699</c:v>
                </c:pt>
                <c:pt idx="494">
                  <c:v>-227.52020688067341</c:v>
                </c:pt>
                <c:pt idx="495">
                  <c:v>-227.52138111788281</c:v>
                </c:pt>
                <c:pt idx="496">
                  <c:v>-227.52218036508992</c:v>
                </c:pt>
                <c:pt idx="497">
                  <c:v>-227.52260936036896</c:v>
                </c:pt>
                <c:pt idx="498">
                  <c:v>-227.52267277898974</c:v>
                </c:pt>
                <c:pt idx="499">
                  <c:v>-227.52237523442491</c:v>
                </c:pt>
                <c:pt idx="500">
                  <c:v>-227.52172127933704</c:v>
                </c:pt>
                <c:pt idx="501">
                  <c:v>-227.52071540654714</c:v>
                </c:pt>
                <c:pt idx="502">
                  <c:v>-227.51936204998466</c:v>
                </c:pt>
                <c:pt idx="503">
                  <c:v>-227.51766558561948</c:v>
                </c:pt>
                <c:pt idx="504">
                  <c:v>-227.51563033237593</c:v>
                </c:pt>
                <c:pt idx="505">
                  <c:v>-227.5132605530298</c:v>
                </c:pt>
                <c:pt idx="506">
                  <c:v>-227.51056045508818</c:v>
                </c:pt>
                <c:pt idx="507">
                  <c:v>-227.50753419165304</c:v>
                </c:pt>
                <c:pt idx="508">
                  <c:v>-227.50418586226854</c:v>
                </c:pt>
                <c:pt idx="509">
                  <c:v>-227.50051951375184</c:v>
                </c:pt>
                <c:pt idx="510">
                  <c:v>-227.49653914100972</c:v>
                </c:pt>
                <c:pt idx="511">
                  <c:v>-227.49224868783887</c:v>
                </c:pt>
                <c:pt idx="512">
                  <c:v>-227.48765204771186</c:v>
                </c:pt>
                <c:pt idx="513">
                  <c:v>-227.48275306454852</c:v>
                </c:pt>
                <c:pt idx="514">
                  <c:v>-227.47755553347318</c:v>
                </c:pt>
                <c:pt idx="515">
                  <c:v>-227.47206320155772</c:v>
                </c:pt>
                <c:pt idx="516">
                  <c:v>-227.46627976855152</c:v>
                </c:pt>
                <c:pt idx="517">
                  <c:v>-227.46020888759762</c:v>
                </c:pt>
                <c:pt idx="518">
                  <c:v>-227.45385416593604</c:v>
                </c:pt>
                <c:pt idx="519">
                  <c:v>-227.44721916559442</c:v>
                </c:pt>
                <c:pt idx="520">
                  <c:v>-227.44030740406595</c:v>
                </c:pt>
                <c:pt idx="521">
                  <c:v>-227.43312235497532</c:v>
                </c:pt>
                <c:pt idx="522">
                  <c:v>-227.42566744873261</c:v>
                </c:pt>
                <c:pt idx="523">
                  <c:v>-227.41794607317533</c:v>
                </c:pt>
                <c:pt idx="524">
                  <c:v>-227.40996157419923</c:v>
                </c:pt>
                <c:pt idx="525">
                  <c:v>-227.40171725637751</c:v>
                </c:pt>
                <c:pt idx="526">
                  <c:v>-227.39321638356955</c:v>
                </c:pt>
                <c:pt idx="527">
                  <c:v>-227.38446217951835</c:v>
                </c:pt>
                <c:pt idx="528">
                  <c:v>-227.37545782843767</c:v>
                </c:pt>
                <c:pt idx="529">
                  <c:v>-227.36620647558905</c:v>
                </c:pt>
                <c:pt idx="530">
                  <c:v>-227.35671122784791</c:v>
                </c:pt>
                <c:pt idx="531">
                  <c:v>-227.34697515426095</c:v>
                </c:pt>
                <c:pt idx="532">
                  <c:v>-227.33700128659257</c:v>
                </c:pt>
                <c:pt idx="533">
                  <c:v>-227.32679261986274</c:v>
                </c:pt>
                <c:pt idx="534">
                  <c:v>-227.31635211287502</c:v>
                </c:pt>
                <c:pt idx="535">
                  <c:v>-227.30568268873557</c:v>
                </c:pt>
                <c:pt idx="536">
                  <c:v>-227.29478723536346</c:v>
                </c:pt>
                <c:pt idx="537">
                  <c:v>-227.28366860599155</c:v>
                </c:pt>
                <c:pt idx="538">
                  <c:v>-227.27232961965967</c:v>
                </c:pt>
                <c:pt idx="539">
                  <c:v>-227.26077306169861</c:v>
                </c:pt>
                <c:pt idx="540">
                  <c:v>-227.24900168420629</c:v>
                </c:pt>
                <c:pt idx="541">
                  <c:v>-227.23701820651567</c:v>
                </c:pt>
                <c:pt idx="542">
                  <c:v>-227.22482531565481</c:v>
                </c:pt>
                <c:pt idx="543">
                  <c:v>-227.21242566679905</c:v>
                </c:pt>
                <c:pt idx="544">
                  <c:v>-227.19982188371552</c:v>
                </c:pt>
                <c:pt idx="545">
                  <c:v>-227.18701655920071</c:v>
                </c:pt>
                <c:pt idx="546">
                  <c:v>-227.17401225550984</c:v>
                </c:pt>
                <c:pt idx="547">
                  <c:v>-227.16081150477982</c:v>
                </c:pt>
                <c:pt idx="548">
                  <c:v>-227.14741680944462</c:v>
                </c:pt>
                <c:pt idx="549">
                  <c:v>-227.13383064264431</c:v>
                </c:pt>
                <c:pt idx="550">
                  <c:v>-227.12005544862657</c:v>
                </c:pt>
                <c:pt idx="551">
                  <c:v>-227.10609364314243</c:v>
                </c:pt>
                <c:pt idx="552">
                  <c:v>-227.09194761383483</c:v>
                </c:pt>
                <c:pt idx="553">
                  <c:v>-227.07761972062104</c:v>
                </c:pt>
                <c:pt idx="554">
                  <c:v>-227.06311229606891</c:v>
                </c:pt>
                <c:pt idx="555">
                  <c:v>-227.04842764576685</c:v>
                </c:pt>
                <c:pt idx="556">
                  <c:v>-227.03356804868778</c:v>
                </c:pt>
                <c:pt idx="557">
                  <c:v>-227.01853575754728</c:v>
                </c:pt>
                <c:pt idx="558">
                  <c:v>-227.00333299915582</c:v>
                </c:pt>
                <c:pt idx="559">
                  <c:v>-226.98796197476545</c:v>
                </c:pt>
                <c:pt idx="560">
                  <c:v>-226.97242486041074</c:v>
                </c:pt>
                <c:pt idx="561">
                  <c:v>-226.95672380724434</c:v>
                </c:pt>
                <c:pt idx="562">
                  <c:v>-226.94086094186736</c:v>
                </c:pt>
                <c:pt idx="563">
                  <c:v>-226.92483836665389</c:v>
                </c:pt>
                <c:pt idx="564">
                  <c:v>-226.90865816007118</c:v>
                </c:pt>
                <c:pt idx="565">
                  <c:v>-226.892322376994</c:v>
                </c:pt>
                <c:pt idx="566">
                  <c:v>-226.87583304901455</c:v>
                </c:pt>
                <c:pt idx="567">
                  <c:v>-226.85919218474703</c:v>
                </c:pt>
                <c:pt idx="568">
                  <c:v>-226.84240177012782</c:v>
                </c:pt>
                <c:pt idx="569">
                  <c:v>-226.82546376871099</c:v>
                </c:pt>
                <c:pt idx="570">
                  <c:v>-226.80838012195838</c:v>
                </c:pt>
                <c:pt idx="571">
                  <c:v>-226.79115274952636</c:v>
                </c:pt>
                <c:pt idx="572">
                  <c:v>-226.77378354954723</c:v>
                </c:pt>
                <c:pt idx="573">
                  <c:v>-226.75627439890661</c:v>
                </c:pt>
                <c:pt idx="574">
                  <c:v>-226.73862715351638</c:v>
                </c:pt>
                <c:pt idx="575">
                  <c:v>-226.7208436485837</c:v>
                </c:pt>
                <c:pt idx="576">
                  <c:v>-226.70292569887548</c:v>
                </c:pt>
                <c:pt idx="577">
                  <c:v>-226.68487509897915</c:v>
                </c:pt>
                <c:pt idx="578">
                  <c:v>-226.66669362355924</c:v>
                </c:pt>
                <c:pt idx="579">
                  <c:v>-226.64838302761004</c:v>
                </c:pt>
                <c:pt idx="580">
                  <c:v>-226.62994504670462</c:v>
                </c:pt>
                <c:pt idx="581">
                  <c:v>-226.6113813972398</c:v>
                </c:pt>
                <c:pt idx="582">
                  <c:v>-226.59269377667749</c:v>
                </c:pt>
                <c:pt idx="583">
                  <c:v>-226.5738838637827</c:v>
                </c:pt>
                <c:pt idx="584">
                  <c:v>-226.55495331885732</c:v>
                </c:pt>
                <c:pt idx="585">
                  <c:v>-226.53590378397101</c:v>
                </c:pt>
                <c:pt idx="586">
                  <c:v>-226.51673688318846</c:v>
                </c:pt>
                <c:pt idx="587">
                  <c:v>-226.49745422279278</c:v>
                </c:pt>
                <c:pt idx="588">
                  <c:v>-226.47805739150661</c:v>
                </c:pt>
                <c:pt idx="589">
                  <c:v>-226.45854796070876</c:v>
                </c:pt>
                <c:pt idx="590">
                  <c:v>-226.4389274846483</c:v>
                </c:pt>
                <c:pt idx="591">
                  <c:v>-226.41919750065571</c:v>
                </c:pt>
                <c:pt idx="592">
                  <c:v>-226.39935952935016</c:v>
                </c:pt>
                <c:pt idx="593">
                  <c:v>-226.37941507484447</c:v>
                </c:pt>
                <c:pt idx="594">
                  <c:v>-226.35936562494649</c:v>
                </c:pt>
                <c:pt idx="595">
                  <c:v>-226.33921265135817</c:v>
                </c:pt>
                <c:pt idx="596">
                  <c:v>-226.31895760987112</c:v>
                </c:pt>
                <c:pt idx="597">
                  <c:v>-226.29860194055951</c:v>
                </c:pt>
                <c:pt idx="598">
                  <c:v>-226.27814706797062</c:v>
                </c:pt>
                <c:pt idx="599">
                  <c:v>-226.25759440131182</c:v>
                </c:pt>
                <c:pt idx="600">
                  <c:v>-226.23694533463566</c:v>
                </c:pt>
                <c:pt idx="601">
                  <c:v>-226.21620124702167</c:v>
                </c:pt>
                <c:pt idx="602">
                  <c:v>-226.19536350275595</c:v>
                </c:pt>
                <c:pt idx="603">
                  <c:v>-226.17443345150807</c:v>
                </c:pt>
                <c:pt idx="604">
                  <c:v>-226.15341242850533</c:v>
                </c:pt>
                <c:pt idx="605">
                  <c:v>-226.13230175470471</c:v>
                </c:pt>
                <c:pt idx="606">
                  <c:v>-224.98795804445922</c:v>
                </c:pt>
                <c:pt idx="607">
                  <c:v>-223.74484742116863</c:v>
                </c:pt>
                <c:pt idx="608">
                  <c:v>-222.47996963031517</c:v>
                </c:pt>
                <c:pt idx="609">
                  <c:v>-221.23930906540951</c:v>
                </c:pt>
                <c:pt idx="610">
                  <c:v>-220.04983298803623</c:v>
                </c:pt>
                <c:pt idx="611">
                  <c:v>-218.92658454531198</c:v>
                </c:pt>
                <c:pt idx="612">
                  <c:v>-217.87704712836651</c:v>
                </c:pt>
                <c:pt idx="613">
                  <c:v>-216.90390676428279</c:v>
                </c:pt>
                <c:pt idx="614">
                  <c:v>-216.00683414382462</c:v>
                </c:pt>
                <c:pt idx="615">
                  <c:v>-215.18364775484923</c:v>
                </c:pt>
                <c:pt idx="616">
                  <c:v>-214.43107735518456</c:v>
                </c:pt>
                <c:pt idx="617">
                  <c:v>-213.74526516988999</c:v>
                </c:pt>
                <c:pt idx="618">
                  <c:v>-213.50817580830636</c:v>
                </c:pt>
                <c:pt idx="619">
                  <c:v>-213.28013315811796</c:v>
                </c:pt>
                <c:pt idx="620">
                  <c:v>-213.06091348363458</c:v>
                </c:pt>
                <c:pt idx="621">
                  <c:v>-212.8502914953983</c:v>
                </c:pt>
                <c:pt idx="622">
                  <c:v>-212.64804169278119</c:v>
                </c:pt>
                <c:pt idx="623">
                  <c:v>-212.45393948111501</c:v>
                </c:pt>
                <c:pt idx="624">
                  <c:v>-212.26776209611322</c:v>
                </c:pt>
                <c:pt idx="625">
                  <c:v>-212.08928936363588</c:v>
                </c:pt>
                <c:pt idx="626">
                  <c:v>-211.91830431883963</c:v>
                </c:pt>
                <c:pt idx="627">
                  <c:v>-211.75459370533085</c:v>
                </c:pt>
                <c:pt idx="628">
                  <c:v>-211.59794837201846</c:v>
                </c:pt>
                <c:pt idx="629">
                  <c:v>-211.44816358286045</c:v>
                </c:pt>
                <c:pt idx="630">
                  <c:v>-211.30503925255647</c:v>
                </c:pt>
                <c:pt idx="631">
                  <c:v>-211.16838011940169</c:v>
                </c:pt>
                <c:pt idx="632">
                  <c:v>-211.03799586494046</c:v>
                </c:pt>
                <c:pt idx="633">
                  <c:v>-210.91370118870285</c:v>
                </c:pt>
                <c:pt idx="634">
                  <c:v>-210.79531584514436</c:v>
                </c:pt>
                <c:pt idx="635">
                  <c:v>-210.68266464890434</c:v>
                </c:pt>
                <c:pt idx="636">
                  <c:v>-210.57557745363826</c:v>
                </c:pt>
                <c:pt idx="637">
                  <c:v>-210.47388910893386</c:v>
                </c:pt>
                <c:pt idx="638">
                  <c:v>-210.37743939918201</c:v>
                </c:pt>
                <c:pt idx="639">
                  <c:v>-210.28607296771926</c:v>
                </c:pt>
                <c:pt idx="640">
                  <c:v>-210.19963922908397</c:v>
                </c:pt>
                <c:pt idx="641">
                  <c:v>-210.11799227181567</c:v>
                </c:pt>
                <c:pt idx="642">
                  <c:v>-210.04099075387367</c:v>
                </c:pt>
                <c:pt idx="643">
                  <c:v>-209.96849779244377</c:v>
                </c:pt>
                <c:pt idx="644">
                  <c:v>-209.90038084963857</c:v>
                </c:pt>
                <c:pt idx="645">
                  <c:v>-209.83651161536847</c:v>
                </c:pt>
                <c:pt idx="646">
                  <c:v>-209.77676588846379</c:v>
                </c:pt>
                <c:pt idx="647">
                  <c:v>-209.72102345695941</c:v>
                </c:pt>
                <c:pt idx="648">
                  <c:v>-209.66916797830595</c:v>
                </c:pt>
                <c:pt idx="649">
                  <c:v>-209.62108686014639</c:v>
                </c:pt>
                <c:pt idx="650">
                  <c:v>-209.57667114218933</c:v>
                </c:pt>
                <c:pt idx="651">
                  <c:v>-209.53581537961335</c:v>
                </c:pt>
                <c:pt idx="652">
                  <c:v>-209.49841752836198</c:v>
                </c:pt>
                <c:pt idx="653">
                  <c:v>-209.46437883261476</c:v>
                </c:pt>
                <c:pt idx="654">
                  <c:v>-209.43360371466423</c:v>
                </c:pt>
                <c:pt idx="655">
                  <c:v>-209.40599966737648</c:v>
                </c:pt>
                <c:pt idx="656">
                  <c:v>-209.38147714937122</c:v>
                </c:pt>
                <c:pt idx="657">
                  <c:v>-209.35994948301772</c:v>
                </c:pt>
                <c:pt idx="658">
                  <c:v>-209.34133275531616</c:v>
                </c:pt>
                <c:pt idx="659">
                  <c:v>-209.32554572170253</c:v>
                </c:pt>
                <c:pt idx="660">
                  <c:v>-209.31250971279718</c:v>
                </c:pt>
                <c:pt idx="661">
                  <c:v>-209.30214854409508</c:v>
                </c:pt>
                <c:pt idx="662">
                  <c:v>-209.29438842858241</c:v>
                </c:pt>
                <c:pt idx="663">
                  <c:v>-209.2891578922497</c:v>
                </c:pt>
                <c:pt idx="664">
                  <c:v>-209.28638769246189</c:v>
                </c:pt>
                <c:pt idx="665">
                  <c:v>-209.28601073913632</c:v>
                </c:pt>
                <c:pt idx="666">
                  <c:v>-209.28796201867294</c:v>
                </c:pt>
                <c:pt idx="667">
                  <c:v>-209.29217852057522</c:v>
                </c:pt>
              </c:numCache>
            </c:numRef>
          </c:yVal>
          <c:smooth val="0"/>
          <c:extLst>
            <c:ext xmlns:c16="http://schemas.microsoft.com/office/drawing/2014/chart" uri="{C3380CC4-5D6E-409C-BE32-E72D297353CC}">
              <c16:uniqueId val="{0000000D-D5A9-449A-A5D9-B3CFE1720AFE}"/>
            </c:ext>
          </c:extLst>
        </c:ser>
        <c:ser>
          <c:idx val="1"/>
          <c:order val="8"/>
          <c:tx>
            <c:v>Fc1</c:v>
          </c:tx>
          <c:spPr>
            <a:ln w="25400">
              <a:solidFill>
                <a:schemeClr val="tx1">
                  <a:lumMod val="50000"/>
                  <a:lumOff val="50000"/>
                </a:schemeClr>
              </a:solidFill>
              <a:prstDash val="sysDash"/>
            </a:ln>
          </c:spPr>
          <c:marker>
            <c:symbol val="plus"/>
            <c:size val="10"/>
            <c:spPr>
              <a:noFill/>
              <a:ln w="28575">
                <a:solidFill>
                  <a:schemeClr val="tx1"/>
                </a:solidFill>
              </a:ln>
            </c:spPr>
          </c:marker>
          <c:dPt>
            <c:idx val="2"/>
            <c:marker>
              <c:symbol val="none"/>
            </c:marker>
            <c:bubble3D val="0"/>
            <c:extLst>
              <c:ext xmlns:c16="http://schemas.microsoft.com/office/drawing/2014/chart" uri="{C3380CC4-5D6E-409C-BE32-E72D297353CC}">
                <c16:uniqueId val="{0000000E-D5A9-449A-A5D9-B3CFE1720AFE}"/>
              </c:ext>
            </c:extLst>
          </c:dPt>
          <c:xVal>
            <c:numRef>
              <c:f>'Bode Plots Calculations'!$B$690:$B$691</c:f>
              <c:numCache>
                <c:formatCode>General</c:formatCode>
                <c:ptCount val="2"/>
                <c:pt idx="0">
                  <c:v>55.5</c:v>
                </c:pt>
                <c:pt idx="1">
                  <c:v>55.5</c:v>
                </c:pt>
              </c:numCache>
            </c:numRef>
          </c:xVal>
          <c:yVal>
            <c:numRef>
              <c:f>'Bode Plots Calculations'!$BG$690:$BG$691</c:f>
              <c:numCache>
                <c:formatCode>General</c:formatCode>
                <c:ptCount val="2"/>
                <c:pt idx="0">
                  <c:v>-117.94998439109324</c:v>
                </c:pt>
                <c:pt idx="1">
                  <c:v>-90</c:v>
                </c:pt>
              </c:numCache>
            </c:numRef>
          </c:yVal>
          <c:smooth val="0"/>
          <c:extLst>
            <c:ext xmlns:c16="http://schemas.microsoft.com/office/drawing/2014/chart" uri="{C3380CC4-5D6E-409C-BE32-E72D297353CC}">
              <c16:uniqueId val="{0000000F-D5A9-449A-A5D9-B3CFE1720AFE}"/>
            </c:ext>
          </c:extLst>
        </c:ser>
        <c:ser>
          <c:idx val="0"/>
          <c:order val="9"/>
          <c:tx>
            <c:v>Fc2</c:v>
          </c:tx>
          <c:spPr>
            <a:ln w="25400">
              <a:solidFill>
                <a:schemeClr val="tx1">
                  <a:lumMod val="50000"/>
                  <a:lumOff val="50000"/>
                </a:schemeClr>
              </a:solidFill>
              <a:prstDash val="sysDash"/>
            </a:ln>
          </c:spPr>
          <c:marker>
            <c:symbol val="none"/>
          </c:marker>
          <c:xVal>
            <c:numRef>
              <c:f>'Bode Plots Calculations'!$B$688:$B$689</c:f>
              <c:numCache>
                <c:formatCode>General</c:formatCode>
                <c:ptCount val="2"/>
                <c:pt idx="0">
                  <c:v>55.5</c:v>
                </c:pt>
                <c:pt idx="1">
                  <c:v>1000</c:v>
                </c:pt>
              </c:numCache>
            </c:numRef>
          </c:xVal>
          <c:yVal>
            <c:numRef>
              <c:f>'Bode Plots Calculations'!$BG$688:$BG$689</c:f>
              <c:numCache>
                <c:formatCode>General</c:formatCode>
                <c:ptCount val="2"/>
                <c:pt idx="0">
                  <c:v>-117.94998439109324</c:v>
                </c:pt>
                <c:pt idx="1">
                  <c:v>-117.94998439109324</c:v>
                </c:pt>
              </c:numCache>
            </c:numRef>
          </c:yVal>
          <c:smooth val="0"/>
          <c:extLst>
            <c:ext xmlns:c16="http://schemas.microsoft.com/office/drawing/2014/chart" uri="{C3380CC4-5D6E-409C-BE32-E72D297353CC}">
              <c16:uniqueId val="{00000010-D5A9-449A-A5D9-B3CFE1720AFE}"/>
            </c:ext>
          </c:extLst>
        </c:ser>
        <c:dLbls>
          <c:showLegendKey val="0"/>
          <c:showVal val="0"/>
          <c:showCatName val="0"/>
          <c:showSerName val="0"/>
          <c:showPercent val="0"/>
          <c:showBubbleSize val="0"/>
        </c:dLbls>
        <c:axId val="142867072"/>
        <c:axId val="137445760"/>
      </c:scatterChart>
      <c:valAx>
        <c:axId val="137321088"/>
        <c:scaling>
          <c:logBase val="10"/>
          <c:orientation val="minMax"/>
          <c:max val="1000"/>
          <c:min val="1"/>
        </c:scaling>
        <c:delete val="0"/>
        <c:axPos val="b"/>
        <c:majorGridlines>
          <c:spPr>
            <a:ln w="3175">
              <a:solidFill>
                <a:srgbClr val="969696"/>
              </a:solidFill>
              <a:prstDash val="solid"/>
            </a:ln>
          </c:spPr>
        </c:majorGridlines>
        <c:minorGridlines>
          <c:spPr>
            <a:ln w="3175">
              <a:solidFill>
                <a:srgbClr val="969696"/>
              </a:solidFill>
              <a:prstDash val="solid"/>
            </a:ln>
          </c:spPr>
        </c:minorGridlines>
        <c:title>
          <c:tx>
            <c:rich>
              <a:bodyPr/>
              <a:lstStyle/>
              <a:p>
                <a:pPr>
                  <a:defRPr sz="1200" b="1" i="0" u="none" strike="noStrike" baseline="0">
                    <a:solidFill>
                      <a:srgbClr val="000000"/>
                    </a:solidFill>
                    <a:latin typeface="Arial" pitchFamily="34" charset="0"/>
                    <a:ea typeface="Calibri"/>
                    <a:cs typeface="Arial" pitchFamily="34" charset="0"/>
                  </a:defRPr>
                </a:pPr>
                <a:r>
                  <a:rPr lang="en-US" sz="1200">
                    <a:latin typeface="Arial" pitchFamily="34" charset="0"/>
                    <a:cs typeface="Arial" pitchFamily="34" charset="0"/>
                  </a:rPr>
                  <a:t>Frequency (kHz)</a:t>
                </a:r>
              </a:p>
            </c:rich>
          </c:tx>
          <c:layout>
            <c:manualLayout>
              <c:xMode val="edge"/>
              <c:yMode val="edge"/>
              <c:x val="0.43129335085799175"/>
              <c:y val="0.92232197841820085"/>
            </c:manualLayout>
          </c:layout>
          <c:overlay val="0"/>
          <c:spPr>
            <a:noFill/>
            <a:ln w="25400">
              <a:noFill/>
            </a:ln>
          </c:spPr>
        </c:title>
        <c:numFmt formatCode="General" sourceLinked="0"/>
        <c:majorTickMark val="in"/>
        <c:minorTickMark val="in"/>
        <c:tickLblPos val="nextTo"/>
        <c:spPr>
          <a:ln w="3175">
            <a:solidFill>
              <a:srgbClr val="000000"/>
            </a:solidFill>
            <a:prstDash val="solid"/>
          </a:ln>
        </c:spPr>
        <c:txPr>
          <a:bodyPr rot="0" vert="horz"/>
          <a:lstStyle/>
          <a:p>
            <a:pPr>
              <a:defRPr sz="1100" b="1" i="0" u="none" strike="noStrike" baseline="0">
                <a:solidFill>
                  <a:srgbClr val="000000"/>
                </a:solidFill>
                <a:latin typeface="Arial" pitchFamily="34" charset="0"/>
                <a:ea typeface="Calibri"/>
                <a:cs typeface="Arial" pitchFamily="34" charset="0"/>
              </a:defRPr>
            </a:pPr>
            <a:endParaRPr lang="en-US"/>
          </a:p>
        </c:txPr>
        <c:crossAx val="142865152"/>
        <c:crossesAt val="-80"/>
        <c:crossBetween val="midCat"/>
      </c:valAx>
      <c:valAx>
        <c:axId val="142865152"/>
        <c:scaling>
          <c:orientation val="minMax"/>
          <c:max val="40"/>
          <c:min val="-40"/>
        </c:scaling>
        <c:delete val="0"/>
        <c:axPos val="l"/>
        <c:majorGridlines>
          <c:spPr>
            <a:ln w="3175">
              <a:solidFill>
                <a:srgbClr val="969696"/>
              </a:solidFill>
              <a:prstDash val="solid"/>
            </a:ln>
          </c:spPr>
        </c:majorGridlines>
        <c:title>
          <c:tx>
            <c:rich>
              <a:bodyPr/>
              <a:lstStyle/>
              <a:p>
                <a:pPr>
                  <a:defRPr sz="1200" b="1" i="0" u="none" strike="noStrike" baseline="0">
                    <a:solidFill>
                      <a:srgbClr val="FF0000"/>
                    </a:solidFill>
                    <a:latin typeface="Arial" pitchFamily="34" charset="0"/>
                    <a:ea typeface="Calibri"/>
                    <a:cs typeface="Arial" pitchFamily="34" charset="0"/>
                  </a:defRPr>
                </a:pPr>
                <a:r>
                  <a:rPr lang="en-US" sz="1200" u="none">
                    <a:solidFill>
                      <a:srgbClr val="FF0000"/>
                    </a:solidFill>
                    <a:latin typeface="Arial" pitchFamily="34" charset="0"/>
                    <a:cs typeface="Arial" pitchFamily="34" charset="0"/>
                  </a:rPr>
                  <a:t>Gain (dB)</a:t>
                </a:r>
              </a:p>
            </c:rich>
          </c:tx>
          <c:layout>
            <c:manualLayout>
              <c:xMode val="edge"/>
              <c:yMode val="edge"/>
              <c:x val="2.0807805833455456E-2"/>
              <c:y val="0.3954268675117710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100" b="1" i="0" u="none" strike="noStrike" baseline="0">
                <a:solidFill>
                  <a:srgbClr val="FF0000"/>
                </a:solidFill>
                <a:latin typeface="Arial" pitchFamily="34" charset="0"/>
                <a:ea typeface="Calibri"/>
                <a:cs typeface="Arial" pitchFamily="34" charset="0"/>
              </a:defRPr>
            </a:pPr>
            <a:endParaRPr lang="en-US"/>
          </a:p>
        </c:txPr>
        <c:crossAx val="137321088"/>
        <c:crossesAt val="1"/>
        <c:crossBetween val="midCat"/>
        <c:majorUnit val="10"/>
      </c:valAx>
      <c:valAx>
        <c:axId val="142867072"/>
        <c:scaling>
          <c:logBase val="10"/>
          <c:orientation val="minMax"/>
        </c:scaling>
        <c:delete val="1"/>
        <c:axPos val="b"/>
        <c:numFmt formatCode="General" sourceLinked="1"/>
        <c:majorTickMark val="out"/>
        <c:minorTickMark val="none"/>
        <c:tickLblPos val="none"/>
        <c:crossAx val="137445760"/>
        <c:crosses val="autoZero"/>
        <c:crossBetween val="midCat"/>
      </c:valAx>
      <c:valAx>
        <c:axId val="137445760"/>
        <c:scaling>
          <c:orientation val="minMax"/>
          <c:max val="0"/>
          <c:min val="-180"/>
        </c:scaling>
        <c:delete val="0"/>
        <c:axPos val="r"/>
        <c:title>
          <c:tx>
            <c:rich>
              <a:bodyPr/>
              <a:lstStyle/>
              <a:p>
                <a:pPr>
                  <a:defRPr sz="1200" b="1" i="0" u="none" strike="noStrike" baseline="0">
                    <a:solidFill>
                      <a:srgbClr val="002060"/>
                    </a:solidFill>
                    <a:latin typeface="Arial" pitchFamily="34" charset="0"/>
                    <a:ea typeface="Calibri"/>
                    <a:cs typeface="Arial" pitchFamily="34" charset="0"/>
                  </a:defRPr>
                </a:pPr>
                <a:r>
                  <a:rPr lang="en-US" sz="1200" b="1">
                    <a:solidFill>
                      <a:srgbClr val="002060"/>
                    </a:solidFill>
                    <a:latin typeface="Arial" pitchFamily="34" charset="0"/>
                    <a:cs typeface="Arial" pitchFamily="34" charset="0"/>
                  </a:rPr>
                  <a:t>Phase  (°)</a:t>
                </a:r>
              </a:p>
            </c:rich>
          </c:tx>
          <c:layout>
            <c:manualLayout>
              <c:xMode val="edge"/>
              <c:yMode val="edge"/>
              <c:x val="0.96352677492317973"/>
              <c:y val="0.39364244498015538"/>
            </c:manualLayout>
          </c:layout>
          <c:overlay val="0"/>
          <c:spPr>
            <a:noFill/>
            <a:ln w="25400">
              <a:noFill/>
            </a:ln>
          </c:spPr>
        </c:title>
        <c:numFmt formatCode="General" sourceLinked="1"/>
        <c:majorTickMark val="cross"/>
        <c:minorTickMark val="none"/>
        <c:tickLblPos val="nextTo"/>
        <c:spPr>
          <a:ln w="3175">
            <a:solidFill>
              <a:srgbClr val="000000"/>
            </a:solidFill>
            <a:prstDash val="solid"/>
          </a:ln>
        </c:spPr>
        <c:txPr>
          <a:bodyPr rot="0" vert="horz"/>
          <a:lstStyle/>
          <a:p>
            <a:pPr>
              <a:defRPr sz="1050" b="1" i="0" u="none" strike="noStrike" baseline="0">
                <a:solidFill>
                  <a:srgbClr val="002060"/>
                </a:solidFill>
                <a:latin typeface="Arial" pitchFamily="34" charset="0"/>
                <a:ea typeface="Calibri"/>
                <a:cs typeface="Arial" pitchFamily="34" charset="0"/>
              </a:defRPr>
            </a:pPr>
            <a:endParaRPr lang="en-US"/>
          </a:p>
        </c:txPr>
        <c:crossAx val="142867072"/>
        <c:crosses val="max"/>
        <c:crossBetween val="midCat"/>
        <c:majorUnit val="45"/>
      </c:valAx>
      <c:spPr>
        <a:noFill/>
        <a:ln w="12700">
          <a:solidFill>
            <a:srgbClr val="808080"/>
          </a:solidFill>
          <a:prstDash val="solid"/>
        </a:ln>
      </c:spPr>
    </c:plotArea>
    <c:legend>
      <c:legendPos val="r"/>
      <c:legendEntry>
        <c:idx val="0"/>
        <c:txPr>
          <a:bodyPr/>
          <a:lstStyle/>
          <a:p>
            <a:pPr>
              <a:defRPr sz="1200" b="1" i="0" u="none" strike="noStrike" baseline="0">
                <a:solidFill>
                  <a:srgbClr val="000000"/>
                </a:solidFill>
                <a:latin typeface="Arial" pitchFamily="34" charset="0"/>
                <a:ea typeface="Calibri"/>
                <a:cs typeface="Arial" pitchFamily="34" charset="0"/>
              </a:defRPr>
            </a:pPr>
            <a:endParaRPr lang="en-US"/>
          </a:p>
        </c:txPr>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txPr>
          <a:bodyPr/>
          <a:lstStyle/>
          <a:p>
            <a:pPr>
              <a:defRPr sz="1200" b="1" i="0" u="none" strike="noStrike" baseline="0">
                <a:solidFill>
                  <a:srgbClr val="000000"/>
                </a:solidFill>
                <a:latin typeface="Arial" pitchFamily="34" charset="0"/>
                <a:ea typeface="Calibri"/>
                <a:cs typeface="Arial" pitchFamily="34" charset="0"/>
              </a:defRPr>
            </a:pPr>
            <a:endParaRPr lang="en-US"/>
          </a:p>
        </c:txPr>
      </c:legendEntry>
      <c:legendEntry>
        <c:idx val="8"/>
        <c:delete val="1"/>
      </c:legendEntry>
      <c:legendEntry>
        <c:idx val="9"/>
        <c:delete val="1"/>
      </c:legendEntry>
      <c:layout>
        <c:manualLayout>
          <c:xMode val="edge"/>
          <c:yMode val="edge"/>
          <c:x val="0.295216671637685"/>
          <c:y val="0"/>
          <c:w val="0.59720240253255119"/>
          <c:h val="9.9098873083628289E-2"/>
        </c:manualLayout>
      </c:layout>
      <c:overlay val="0"/>
      <c:spPr>
        <a:noFill/>
        <a:ln w="25400">
          <a:noFill/>
        </a:ln>
      </c:spPr>
      <c:txPr>
        <a:bodyPr/>
        <a:lstStyle/>
        <a:p>
          <a:pPr>
            <a:defRPr sz="1200" b="1" i="0" u="none" strike="noStrike" baseline="0">
              <a:solidFill>
                <a:srgbClr val="000000"/>
              </a:solidFill>
              <a:latin typeface="Arial" pitchFamily="34" charset="0"/>
              <a:ea typeface="Calibri"/>
              <a:cs typeface="Arial" pitchFamily="34" charset="0"/>
            </a:defRPr>
          </a:pPr>
          <a:endParaRPr lang="en-US"/>
        </a:p>
      </c:txPr>
    </c:legend>
    <c:plotVisOnly val="1"/>
    <c:dispBlanksAs val="span"/>
    <c:showDLblsOverMax val="0"/>
  </c:chart>
  <c:spPr>
    <a:noFill/>
    <a:ln w="9525">
      <a:solidFill>
        <a:srgbClr val="808080"/>
      </a:solidFill>
    </a:ln>
  </c:spPr>
  <c:txPr>
    <a:bodyPr/>
    <a:lstStyle/>
    <a:p>
      <a:pPr>
        <a:defRPr sz="1000" b="1" i="0" u="none" strike="noStrike" baseline="0">
          <a:solidFill>
            <a:srgbClr val="000000"/>
          </a:solidFill>
          <a:latin typeface="Arial"/>
          <a:ea typeface="Arial"/>
          <a:cs typeface="Arial"/>
        </a:defRPr>
      </a:pPr>
      <a:endParaRPr lang="en-US"/>
    </a:p>
  </c:txPr>
  <c:printSettings>
    <c:headerFooter alignWithMargins="0"/>
    <c:pageMargins b="1" l="0.75000000000000622" r="0.75000000000000622" t="1" header="0.5" footer="0.5"/>
    <c:pageSetup orientation="landscape"/>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marL="0" marR="0" indent="0" algn="ctr" defTabSz="914400" rtl="0" eaLnBrk="1" fontAlgn="auto" latinLnBrk="0" hangingPunct="1">
              <a:lnSpc>
                <a:spcPct val="100000"/>
              </a:lnSpc>
              <a:spcBef>
                <a:spcPts val="0"/>
              </a:spcBef>
              <a:spcAft>
                <a:spcPts val="0"/>
              </a:spcAft>
              <a:buClrTx/>
              <a:buSzTx/>
              <a:buFontTx/>
              <a:buNone/>
              <a:tabLst/>
              <a:defRPr sz="1800" b="1" i="0" u="none" strike="noStrike" kern="1200" baseline="0">
                <a:solidFill>
                  <a:srgbClr val="000000"/>
                </a:solidFill>
                <a:latin typeface="Arial" pitchFamily="34" charset="0"/>
                <a:ea typeface="Calibri"/>
                <a:cs typeface="Arial" pitchFamily="34" charset="0"/>
              </a:defRPr>
            </a:pPr>
            <a:r>
              <a:rPr lang="en-US" sz="1800" b="1" i="0" baseline="0">
                <a:effectLst/>
                <a:sym typeface="Symbol"/>
              </a:rPr>
              <a:t></a:t>
            </a:r>
            <a:r>
              <a:rPr lang="en-US" sz="1800" b="1" i="0" baseline="0">
                <a:effectLst/>
              </a:rPr>
              <a:t>, V</a:t>
            </a:r>
            <a:r>
              <a:rPr lang="en-US" sz="1800" b="1" i="0" baseline="-25000">
                <a:effectLst/>
              </a:rPr>
              <a:t>IN</a:t>
            </a:r>
            <a:r>
              <a:rPr lang="en-US" sz="1800" b="1" i="0" baseline="0">
                <a:effectLst/>
              </a:rPr>
              <a:t> = V</a:t>
            </a:r>
            <a:r>
              <a:rPr lang="en-US" sz="1800" b="1" i="0" baseline="-25000">
                <a:effectLst/>
              </a:rPr>
              <a:t>IN(nom)</a:t>
            </a:r>
            <a:endParaRPr lang="en-US">
              <a:effectLst/>
            </a:endParaRPr>
          </a:p>
        </c:rich>
      </c:tx>
      <c:layout>
        <c:manualLayout>
          <c:xMode val="edge"/>
          <c:yMode val="edge"/>
          <c:x val="8.2586704916618195E-2"/>
          <c:y val="1.8363289746112718E-2"/>
        </c:manualLayout>
      </c:layout>
      <c:overlay val="0"/>
      <c:spPr>
        <a:noFill/>
        <a:ln w="25400">
          <a:noFill/>
        </a:ln>
      </c:spPr>
    </c:title>
    <c:autoTitleDeleted val="0"/>
    <c:plotArea>
      <c:layout>
        <c:manualLayout>
          <c:layoutTarget val="inner"/>
          <c:xMode val="edge"/>
          <c:yMode val="edge"/>
          <c:x val="7.6761884085804283E-2"/>
          <c:y val="0.12133523343001466"/>
          <c:w val="0.82579990228506128"/>
          <c:h val="0.7558980268938309"/>
        </c:manualLayout>
      </c:layout>
      <c:lineChart>
        <c:grouping val="standard"/>
        <c:varyColors val="0"/>
        <c:ser>
          <c:idx val="0"/>
          <c:order val="0"/>
          <c:tx>
            <c:v>Efficiency</c:v>
          </c:tx>
          <c:spPr>
            <a:ln w="38100">
              <a:solidFill>
                <a:srgbClr val="FF0000"/>
              </a:solidFill>
              <a:prstDash val="solid"/>
            </a:ln>
          </c:spPr>
          <c:marker>
            <c:symbol val="none"/>
          </c:marker>
          <c:cat>
            <c:numRef>
              <c:f>'Power Calculations'!$H$9:$H$209</c:f>
              <c:numCache>
                <c:formatCode>General</c:formatCode>
                <c:ptCount val="201"/>
                <c:pt idx="0">
                  <c:v>0</c:v>
                </c:pt>
                <c:pt idx="1">
                  <c:v>4.4999999999999998E-2</c:v>
                </c:pt>
                <c:pt idx="2">
                  <c:v>0.09</c:v>
                </c:pt>
                <c:pt idx="3">
                  <c:v>0.13500000000000001</c:v>
                </c:pt>
                <c:pt idx="4">
                  <c:v>0.18</c:v>
                </c:pt>
                <c:pt idx="5">
                  <c:v>0.22500000000000001</c:v>
                </c:pt>
                <c:pt idx="6">
                  <c:v>0.27</c:v>
                </c:pt>
                <c:pt idx="7">
                  <c:v>0.31500000000000006</c:v>
                </c:pt>
                <c:pt idx="8">
                  <c:v>0.36</c:v>
                </c:pt>
                <c:pt idx="9">
                  <c:v>0.40499999999999997</c:v>
                </c:pt>
                <c:pt idx="10">
                  <c:v>0.45</c:v>
                </c:pt>
                <c:pt idx="11">
                  <c:v>0.495</c:v>
                </c:pt>
                <c:pt idx="12">
                  <c:v>0.54</c:v>
                </c:pt>
                <c:pt idx="13">
                  <c:v>0.58499999999999996</c:v>
                </c:pt>
                <c:pt idx="14">
                  <c:v>0.63000000000000012</c:v>
                </c:pt>
                <c:pt idx="15">
                  <c:v>0.67499999999999993</c:v>
                </c:pt>
                <c:pt idx="16">
                  <c:v>0.72</c:v>
                </c:pt>
                <c:pt idx="17">
                  <c:v>0.76500000000000001</c:v>
                </c:pt>
                <c:pt idx="18">
                  <c:v>0.80999999999999994</c:v>
                </c:pt>
                <c:pt idx="19">
                  <c:v>0.85499999999999998</c:v>
                </c:pt>
                <c:pt idx="20">
                  <c:v>0.9</c:v>
                </c:pt>
                <c:pt idx="21">
                  <c:v>0.94499999999999995</c:v>
                </c:pt>
                <c:pt idx="22">
                  <c:v>0.99</c:v>
                </c:pt>
                <c:pt idx="23">
                  <c:v>1.0350000000000001</c:v>
                </c:pt>
                <c:pt idx="24">
                  <c:v>1.08</c:v>
                </c:pt>
                <c:pt idx="25">
                  <c:v>1.125</c:v>
                </c:pt>
                <c:pt idx="26">
                  <c:v>1.17</c:v>
                </c:pt>
                <c:pt idx="27">
                  <c:v>1.2150000000000001</c:v>
                </c:pt>
                <c:pt idx="28">
                  <c:v>1.2600000000000002</c:v>
                </c:pt>
                <c:pt idx="29">
                  <c:v>1.3049999999999999</c:v>
                </c:pt>
                <c:pt idx="30">
                  <c:v>1.3499999999999999</c:v>
                </c:pt>
                <c:pt idx="31">
                  <c:v>1.395</c:v>
                </c:pt>
                <c:pt idx="32">
                  <c:v>1.44</c:v>
                </c:pt>
                <c:pt idx="33">
                  <c:v>1.4850000000000001</c:v>
                </c:pt>
                <c:pt idx="34">
                  <c:v>1.53</c:v>
                </c:pt>
                <c:pt idx="35">
                  <c:v>1.575</c:v>
                </c:pt>
                <c:pt idx="36">
                  <c:v>1.6199999999999999</c:v>
                </c:pt>
                <c:pt idx="37">
                  <c:v>1.665</c:v>
                </c:pt>
                <c:pt idx="38">
                  <c:v>1.71</c:v>
                </c:pt>
                <c:pt idx="39">
                  <c:v>1.7550000000000001</c:v>
                </c:pt>
                <c:pt idx="40">
                  <c:v>1.8</c:v>
                </c:pt>
                <c:pt idx="41">
                  <c:v>1.845</c:v>
                </c:pt>
                <c:pt idx="42">
                  <c:v>1.89</c:v>
                </c:pt>
                <c:pt idx="43">
                  <c:v>1.9350000000000001</c:v>
                </c:pt>
                <c:pt idx="44">
                  <c:v>1.98</c:v>
                </c:pt>
                <c:pt idx="45">
                  <c:v>2.0249999999999999</c:v>
                </c:pt>
                <c:pt idx="46">
                  <c:v>2.0700000000000003</c:v>
                </c:pt>
                <c:pt idx="47">
                  <c:v>2.1149999999999998</c:v>
                </c:pt>
                <c:pt idx="48">
                  <c:v>2.16</c:v>
                </c:pt>
                <c:pt idx="49">
                  <c:v>2.2050000000000001</c:v>
                </c:pt>
                <c:pt idx="50">
                  <c:v>2.25</c:v>
                </c:pt>
                <c:pt idx="51">
                  <c:v>2.2949999999999999</c:v>
                </c:pt>
                <c:pt idx="52">
                  <c:v>2.34</c:v>
                </c:pt>
                <c:pt idx="53">
                  <c:v>2.3850000000000002</c:v>
                </c:pt>
                <c:pt idx="54">
                  <c:v>2.4300000000000002</c:v>
                </c:pt>
                <c:pt idx="55">
                  <c:v>2.4750000000000001</c:v>
                </c:pt>
                <c:pt idx="56">
                  <c:v>2.5200000000000005</c:v>
                </c:pt>
                <c:pt idx="57">
                  <c:v>2.5649999999999999</c:v>
                </c:pt>
                <c:pt idx="58">
                  <c:v>2.61</c:v>
                </c:pt>
                <c:pt idx="59">
                  <c:v>2.6549999999999998</c:v>
                </c:pt>
                <c:pt idx="60">
                  <c:v>2.6999999999999997</c:v>
                </c:pt>
                <c:pt idx="61">
                  <c:v>2.7450000000000001</c:v>
                </c:pt>
                <c:pt idx="62">
                  <c:v>2.79</c:v>
                </c:pt>
                <c:pt idx="63">
                  <c:v>2.835</c:v>
                </c:pt>
                <c:pt idx="64">
                  <c:v>2.88</c:v>
                </c:pt>
                <c:pt idx="65">
                  <c:v>2.9250000000000003</c:v>
                </c:pt>
                <c:pt idx="66">
                  <c:v>2.97</c:v>
                </c:pt>
                <c:pt idx="67">
                  <c:v>3.0150000000000001</c:v>
                </c:pt>
                <c:pt idx="68">
                  <c:v>3.06</c:v>
                </c:pt>
                <c:pt idx="69">
                  <c:v>3.1049999999999995</c:v>
                </c:pt>
                <c:pt idx="70">
                  <c:v>3.15</c:v>
                </c:pt>
                <c:pt idx="71">
                  <c:v>3.1949999999999998</c:v>
                </c:pt>
                <c:pt idx="72">
                  <c:v>3.2399999999999998</c:v>
                </c:pt>
                <c:pt idx="73">
                  <c:v>3.2850000000000001</c:v>
                </c:pt>
                <c:pt idx="74">
                  <c:v>3.33</c:v>
                </c:pt>
                <c:pt idx="75">
                  <c:v>3.375</c:v>
                </c:pt>
                <c:pt idx="76">
                  <c:v>3.42</c:v>
                </c:pt>
                <c:pt idx="77">
                  <c:v>3.4649999999999999</c:v>
                </c:pt>
                <c:pt idx="78">
                  <c:v>3.5100000000000002</c:v>
                </c:pt>
                <c:pt idx="79">
                  <c:v>3.5550000000000002</c:v>
                </c:pt>
                <c:pt idx="80">
                  <c:v>3.6</c:v>
                </c:pt>
                <c:pt idx="81">
                  <c:v>3.6450000000000005</c:v>
                </c:pt>
                <c:pt idx="82">
                  <c:v>3.69</c:v>
                </c:pt>
                <c:pt idx="83">
                  <c:v>3.7349999999999999</c:v>
                </c:pt>
                <c:pt idx="84">
                  <c:v>3.78</c:v>
                </c:pt>
                <c:pt idx="85">
                  <c:v>3.8249999999999997</c:v>
                </c:pt>
                <c:pt idx="86">
                  <c:v>3.87</c:v>
                </c:pt>
                <c:pt idx="87">
                  <c:v>3.915</c:v>
                </c:pt>
                <c:pt idx="88">
                  <c:v>3.96</c:v>
                </c:pt>
                <c:pt idx="89">
                  <c:v>4.0049999999999999</c:v>
                </c:pt>
                <c:pt idx="90">
                  <c:v>4.05</c:v>
                </c:pt>
                <c:pt idx="91">
                  <c:v>4.0949999999999998</c:v>
                </c:pt>
                <c:pt idx="92">
                  <c:v>4.1400000000000006</c:v>
                </c:pt>
                <c:pt idx="93">
                  <c:v>4.1850000000000005</c:v>
                </c:pt>
                <c:pt idx="94">
                  <c:v>4.2299999999999995</c:v>
                </c:pt>
                <c:pt idx="95">
                  <c:v>4.2749999999999995</c:v>
                </c:pt>
                <c:pt idx="96">
                  <c:v>4.32</c:v>
                </c:pt>
                <c:pt idx="97">
                  <c:v>4.3650000000000002</c:v>
                </c:pt>
                <c:pt idx="98">
                  <c:v>4.41</c:v>
                </c:pt>
                <c:pt idx="99">
                  <c:v>4.4550000000000001</c:v>
                </c:pt>
                <c:pt idx="100">
                  <c:v>4.5</c:v>
                </c:pt>
                <c:pt idx="101">
                  <c:v>4.5449999999999999</c:v>
                </c:pt>
                <c:pt idx="102">
                  <c:v>4.59</c:v>
                </c:pt>
                <c:pt idx="103">
                  <c:v>4.6349999999999998</c:v>
                </c:pt>
                <c:pt idx="104">
                  <c:v>4.68</c:v>
                </c:pt>
                <c:pt idx="105">
                  <c:v>4.7250000000000005</c:v>
                </c:pt>
                <c:pt idx="106">
                  <c:v>4.7700000000000005</c:v>
                </c:pt>
                <c:pt idx="107">
                  <c:v>4.8150000000000004</c:v>
                </c:pt>
                <c:pt idx="108">
                  <c:v>4.8600000000000003</c:v>
                </c:pt>
                <c:pt idx="109">
                  <c:v>4.9050000000000002</c:v>
                </c:pt>
                <c:pt idx="110">
                  <c:v>4.95</c:v>
                </c:pt>
                <c:pt idx="111">
                  <c:v>4.9950000000000001</c:v>
                </c:pt>
                <c:pt idx="112">
                  <c:v>5.0400000000000009</c:v>
                </c:pt>
                <c:pt idx="113">
                  <c:v>5.0849999999999991</c:v>
                </c:pt>
                <c:pt idx="114">
                  <c:v>5.13</c:v>
                </c:pt>
                <c:pt idx="115">
                  <c:v>5.1749999999999998</c:v>
                </c:pt>
                <c:pt idx="116">
                  <c:v>5.22</c:v>
                </c:pt>
                <c:pt idx="117">
                  <c:v>5.2649999999999997</c:v>
                </c:pt>
                <c:pt idx="118">
                  <c:v>5.31</c:v>
                </c:pt>
                <c:pt idx="119">
                  <c:v>5.3549999999999995</c:v>
                </c:pt>
                <c:pt idx="120">
                  <c:v>5.3999999999999995</c:v>
                </c:pt>
                <c:pt idx="121">
                  <c:v>5.4450000000000003</c:v>
                </c:pt>
                <c:pt idx="122">
                  <c:v>5.49</c:v>
                </c:pt>
                <c:pt idx="123">
                  <c:v>5.5350000000000001</c:v>
                </c:pt>
                <c:pt idx="124">
                  <c:v>5.58</c:v>
                </c:pt>
                <c:pt idx="125">
                  <c:v>5.625</c:v>
                </c:pt>
                <c:pt idx="126">
                  <c:v>5.67</c:v>
                </c:pt>
                <c:pt idx="127">
                  <c:v>5.7149999999999999</c:v>
                </c:pt>
                <c:pt idx="128">
                  <c:v>5.76</c:v>
                </c:pt>
                <c:pt idx="129">
                  <c:v>5.8049999999999997</c:v>
                </c:pt>
                <c:pt idx="130">
                  <c:v>5.8500000000000005</c:v>
                </c:pt>
                <c:pt idx="131">
                  <c:v>5.8950000000000005</c:v>
                </c:pt>
                <c:pt idx="132">
                  <c:v>5.94</c:v>
                </c:pt>
                <c:pt idx="133">
                  <c:v>5.9850000000000003</c:v>
                </c:pt>
                <c:pt idx="134">
                  <c:v>6.03</c:v>
                </c:pt>
                <c:pt idx="135">
                  <c:v>6.0750000000000002</c:v>
                </c:pt>
                <c:pt idx="136">
                  <c:v>6.12</c:v>
                </c:pt>
                <c:pt idx="137">
                  <c:v>6.1650000000000009</c:v>
                </c:pt>
                <c:pt idx="138">
                  <c:v>6.2099999999999991</c:v>
                </c:pt>
                <c:pt idx="139">
                  <c:v>6.2549999999999999</c:v>
                </c:pt>
                <c:pt idx="140">
                  <c:v>6.3</c:v>
                </c:pt>
                <c:pt idx="141">
                  <c:v>6.3449999999999998</c:v>
                </c:pt>
                <c:pt idx="142">
                  <c:v>6.39</c:v>
                </c:pt>
                <c:pt idx="143">
                  <c:v>6.4349999999999996</c:v>
                </c:pt>
                <c:pt idx="144">
                  <c:v>6.4799999999999995</c:v>
                </c:pt>
                <c:pt idx="145">
                  <c:v>6.5249999999999995</c:v>
                </c:pt>
                <c:pt idx="146">
                  <c:v>6.57</c:v>
                </c:pt>
                <c:pt idx="147">
                  <c:v>6.6150000000000002</c:v>
                </c:pt>
                <c:pt idx="148">
                  <c:v>6.66</c:v>
                </c:pt>
                <c:pt idx="149">
                  <c:v>6.7050000000000001</c:v>
                </c:pt>
                <c:pt idx="150">
                  <c:v>6.75</c:v>
                </c:pt>
                <c:pt idx="151">
                  <c:v>6.7949999999999999</c:v>
                </c:pt>
                <c:pt idx="152">
                  <c:v>6.84</c:v>
                </c:pt>
                <c:pt idx="153">
                  <c:v>6.8849999999999998</c:v>
                </c:pt>
                <c:pt idx="154">
                  <c:v>6.93</c:v>
                </c:pt>
                <c:pt idx="155">
                  <c:v>6.9750000000000005</c:v>
                </c:pt>
                <c:pt idx="156">
                  <c:v>7.0200000000000005</c:v>
                </c:pt>
                <c:pt idx="157">
                  <c:v>7.0650000000000004</c:v>
                </c:pt>
                <c:pt idx="158">
                  <c:v>7.11</c:v>
                </c:pt>
                <c:pt idx="159">
                  <c:v>7.1550000000000002</c:v>
                </c:pt>
                <c:pt idx="160">
                  <c:v>7.2</c:v>
                </c:pt>
                <c:pt idx="161">
                  <c:v>7.2450000000000001</c:v>
                </c:pt>
                <c:pt idx="162">
                  <c:v>7.2900000000000009</c:v>
                </c:pt>
                <c:pt idx="163">
                  <c:v>7.3349999999999991</c:v>
                </c:pt>
                <c:pt idx="164">
                  <c:v>7.38</c:v>
                </c:pt>
                <c:pt idx="165">
                  <c:v>7.4249999999999998</c:v>
                </c:pt>
                <c:pt idx="166">
                  <c:v>7.47</c:v>
                </c:pt>
                <c:pt idx="167">
                  <c:v>7.5149999999999997</c:v>
                </c:pt>
                <c:pt idx="168">
                  <c:v>7.56</c:v>
                </c:pt>
                <c:pt idx="169">
                  <c:v>7.6049999999999995</c:v>
                </c:pt>
                <c:pt idx="170">
                  <c:v>7.6499999999999995</c:v>
                </c:pt>
                <c:pt idx="171">
                  <c:v>7.6950000000000003</c:v>
                </c:pt>
                <c:pt idx="172">
                  <c:v>7.74</c:v>
                </c:pt>
                <c:pt idx="173">
                  <c:v>7.7850000000000001</c:v>
                </c:pt>
                <c:pt idx="174">
                  <c:v>7.83</c:v>
                </c:pt>
                <c:pt idx="175">
                  <c:v>7.875</c:v>
                </c:pt>
                <c:pt idx="176">
                  <c:v>7.92</c:v>
                </c:pt>
                <c:pt idx="177">
                  <c:v>7.9649999999999999</c:v>
                </c:pt>
                <c:pt idx="178">
                  <c:v>8.01</c:v>
                </c:pt>
                <c:pt idx="179">
                  <c:v>8.0549999999999997</c:v>
                </c:pt>
                <c:pt idx="180">
                  <c:v>8.1</c:v>
                </c:pt>
                <c:pt idx="181">
                  <c:v>8.1449999999999996</c:v>
                </c:pt>
                <c:pt idx="182">
                  <c:v>8.19</c:v>
                </c:pt>
                <c:pt idx="183">
                  <c:v>8.2349999999999994</c:v>
                </c:pt>
                <c:pt idx="184">
                  <c:v>8.2800000000000011</c:v>
                </c:pt>
                <c:pt idx="185">
                  <c:v>8.3250000000000011</c:v>
                </c:pt>
                <c:pt idx="186">
                  <c:v>8.370000000000001</c:v>
                </c:pt>
                <c:pt idx="187">
                  <c:v>8.4150000000000009</c:v>
                </c:pt>
                <c:pt idx="188">
                  <c:v>8.4599999999999991</c:v>
                </c:pt>
                <c:pt idx="189">
                  <c:v>8.504999999999999</c:v>
                </c:pt>
                <c:pt idx="190">
                  <c:v>8.5499999999999989</c:v>
                </c:pt>
                <c:pt idx="191">
                  <c:v>8.5949999999999989</c:v>
                </c:pt>
                <c:pt idx="192">
                  <c:v>8.64</c:v>
                </c:pt>
                <c:pt idx="193">
                  <c:v>8.6850000000000005</c:v>
                </c:pt>
                <c:pt idx="194">
                  <c:v>8.73</c:v>
                </c:pt>
                <c:pt idx="195">
                  <c:v>8.7750000000000004</c:v>
                </c:pt>
                <c:pt idx="196">
                  <c:v>8.82</c:v>
                </c:pt>
                <c:pt idx="197">
                  <c:v>8.8650000000000002</c:v>
                </c:pt>
                <c:pt idx="198">
                  <c:v>8.91</c:v>
                </c:pt>
                <c:pt idx="199">
                  <c:v>8.9550000000000001</c:v>
                </c:pt>
                <c:pt idx="200">
                  <c:v>9</c:v>
                </c:pt>
              </c:numCache>
            </c:numRef>
          </c:cat>
          <c:val>
            <c:numRef>
              <c:f>'Power Calculations'!$AU$9:$AU$209</c:f>
              <c:numCache>
                <c:formatCode>General</c:formatCode>
                <c:ptCount val="201"/>
                <c:pt idx="0">
                  <c:v>0</c:v>
                </c:pt>
                <c:pt idx="1">
                  <c:v>30.591661463907656</c:v>
                </c:pt>
                <c:pt idx="2">
                  <c:v>46.67245834969043</c:v>
                </c:pt>
                <c:pt idx="3">
                  <c:v>56.587738813866871</c:v>
                </c:pt>
                <c:pt idx="4">
                  <c:v>63.31294768604856</c:v>
                </c:pt>
                <c:pt idx="5">
                  <c:v>68.174258416172023</c:v>
                </c:pt>
                <c:pt idx="6">
                  <c:v>71.852220761601785</c:v>
                </c:pt>
                <c:pt idx="7">
                  <c:v>74.732019384044719</c:v>
                </c:pt>
                <c:pt idx="8">
                  <c:v>77.048028436964188</c:v>
                </c:pt>
                <c:pt idx="9">
                  <c:v>78.95103932798699</c:v>
                </c:pt>
                <c:pt idx="10">
                  <c:v>80.5424699952042</c:v>
                </c:pt>
                <c:pt idx="11">
                  <c:v>81.893043791399947</c:v>
                </c:pt>
                <c:pt idx="12">
                  <c:v>83.053584979026766</c:v>
                </c:pt>
                <c:pt idx="13">
                  <c:v>84.061557434545804</c:v>
                </c:pt>
                <c:pt idx="14">
                  <c:v>84.945184057507191</c:v>
                </c:pt>
                <c:pt idx="15">
                  <c:v>85.726130544166139</c:v>
                </c:pt>
                <c:pt idx="16">
                  <c:v>86.421305196432414</c:v>
                </c:pt>
                <c:pt idx="17">
                  <c:v>87.044096770126203</c:v>
                </c:pt>
                <c:pt idx="18">
                  <c:v>87.605244943552123</c:v>
                </c:pt>
                <c:pt idx="19">
                  <c:v>88.113464617315401</c:v>
                </c:pt>
                <c:pt idx="20">
                  <c:v>88.575901608909589</c:v>
                </c:pt>
                <c:pt idx="21">
                  <c:v>88.998470578437221</c:v>
                </c:pt>
                <c:pt idx="22">
                  <c:v>89.386109227787841</c:v>
                </c:pt>
                <c:pt idx="23">
                  <c:v>89.742972015533127</c:v>
                </c:pt>
                <c:pt idx="24">
                  <c:v>90.072579537361591</c:v>
                </c:pt>
                <c:pt idx="25">
                  <c:v>90.387482389347738</c:v>
                </c:pt>
                <c:pt idx="26">
                  <c:v>90.692022775648709</c:v>
                </c:pt>
                <c:pt idx="27">
                  <c:v>90.975163671111844</c:v>
                </c:pt>
                <c:pt idx="28">
                  <c:v>91.23901096771516</c:v>
                </c:pt>
                <c:pt idx="29">
                  <c:v>91.485402918289864</c:v>
                </c:pt>
                <c:pt idx="30">
                  <c:v>91.715951341975781</c:v>
                </c:pt>
                <c:pt idx="31">
                  <c:v>91.932075444332284</c:v>
                </c:pt>
                <c:pt idx="32">
                  <c:v>92.135029751618447</c:v>
                </c:pt>
                <c:pt idx="33">
                  <c:v>92.32592732060877</c:v>
                </c:pt>
                <c:pt idx="34">
                  <c:v>92.505759130598904</c:v>
                </c:pt>
                <c:pt idx="35">
                  <c:v>92.675410370713479</c:v>
                </c:pt>
                <c:pt idx="36">
                  <c:v>92.835674187355963</c:v>
                </c:pt>
                <c:pt idx="37">
                  <c:v>92.987263342174714</c:v>
                </c:pt>
                <c:pt idx="38">
                  <c:v>93.130820141902859</c:v>
                </c:pt>
                <c:pt idx="39">
                  <c:v>93.266924931731353</c:v>
                </c:pt>
                <c:pt idx="40">
                  <c:v>93.396103388942194</c:v>
                </c:pt>
                <c:pt idx="41">
                  <c:v>93.518832809969837</c:v>
                </c:pt>
                <c:pt idx="42">
                  <c:v>93.635547549312349</c:v>
                </c:pt>
                <c:pt idx="43">
                  <c:v>93.746643740845954</c:v>
                </c:pt>
                <c:pt idx="44">
                  <c:v>93.852483409623204</c:v>
                </c:pt>
                <c:pt idx="45">
                  <c:v>93.953398064023801</c:v>
                </c:pt>
                <c:pt idx="46">
                  <c:v>94.049691843295321</c:v>
                </c:pt>
                <c:pt idx="47">
                  <c:v>94.14164428338853</c:v>
                </c:pt>
                <c:pt idx="48">
                  <c:v>94.229512754021755</c:v>
                </c:pt>
                <c:pt idx="49">
                  <c:v>94.313534611682584</c:v>
                </c:pt>
                <c:pt idx="50">
                  <c:v>94.393929106458756</c:v>
                </c:pt>
                <c:pt idx="51">
                  <c:v>94.470899074922329</c:v>
                </c:pt>
                <c:pt idx="52">
                  <c:v>94.544632446558126</c:v>
                </c:pt>
                <c:pt idx="53">
                  <c:v>94.61530358726371</c:v>
                </c:pt>
                <c:pt idx="54">
                  <c:v>94.683074500115254</c:v>
                </c:pt>
                <c:pt idx="55">
                  <c:v>94.748095900782843</c:v>
                </c:pt>
                <c:pt idx="56">
                  <c:v>94.810508182600216</c:v>
                </c:pt>
                <c:pt idx="57">
                  <c:v>94.870442284276521</c:v>
                </c:pt>
                <c:pt idx="58">
                  <c:v>94.928020471518664</c:v>
                </c:pt>
                <c:pt idx="59">
                  <c:v>94.983357042366862</c:v>
                </c:pt>
                <c:pt idx="60">
                  <c:v>95.03655896479107</c:v>
                </c:pt>
                <c:pt idx="61">
                  <c:v>95.087726454017997</c:v>
                </c:pt>
                <c:pt idx="62">
                  <c:v>95.136953496132293</c:v>
                </c:pt>
                <c:pt idx="63">
                  <c:v>95.184328323695496</c:v>
                </c:pt>
                <c:pt idx="64">
                  <c:v>95.229933848435351</c:v>
                </c:pt>
                <c:pt idx="65">
                  <c:v>95.273848055459126</c:v>
                </c:pt>
                <c:pt idx="66">
                  <c:v>95.316144362923907</c:v>
                </c:pt>
                <c:pt idx="67">
                  <c:v>95.35689195064441</c:v>
                </c:pt>
                <c:pt idx="68">
                  <c:v>95.396156060723612</c:v>
                </c:pt>
                <c:pt idx="69">
                  <c:v>95.433998272945814</c:v>
                </c:pt>
                <c:pt idx="70">
                  <c:v>95.470476757369923</c:v>
                </c:pt>
                <c:pt idx="71">
                  <c:v>95.505646506295136</c:v>
                </c:pt>
                <c:pt idx="72">
                  <c:v>95.539559547537337</c:v>
                </c:pt>
                <c:pt idx="73">
                  <c:v>95.572265140750162</c:v>
                </c:pt>
                <c:pt idx="74">
                  <c:v>95.60380995834204</c:v>
                </c:pt>
                <c:pt idx="75">
                  <c:v>95.634238252381593</c:v>
                </c:pt>
                <c:pt idx="76">
                  <c:v>95.663592008740466</c:v>
                </c:pt>
                <c:pt idx="77">
                  <c:v>95.691911089598463</c:v>
                </c:pt>
                <c:pt idx="78">
                  <c:v>95.719233365322481</c:v>
                </c:pt>
                <c:pt idx="79">
                  <c:v>95.745594836632932</c:v>
                </c:pt>
                <c:pt idx="80">
                  <c:v>95.771029747881158</c:v>
                </c:pt>
                <c:pt idx="81">
                  <c:v>95.795570692184043</c:v>
                </c:pt>
                <c:pt idx="82">
                  <c:v>95.81924870908982</c:v>
                </c:pt>
                <c:pt idx="83">
                  <c:v>95.842093375387364</c:v>
                </c:pt>
                <c:pt idx="84">
                  <c:v>95.864132889613288</c:v>
                </c:pt>
                <c:pt idx="85">
                  <c:v>95.885394150761854</c:v>
                </c:pt>
                <c:pt idx="86">
                  <c:v>95.905902831655808</c:v>
                </c:pt>
                <c:pt idx="87">
                  <c:v>95.92568344739594</c:v>
                </c:pt>
                <c:pt idx="88">
                  <c:v>95.944759419270369</c:v>
                </c:pt>
                <c:pt idx="89">
                  <c:v>95.963153134470573</c:v>
                </c:pt>
                <c:pt idx="90">
                  <c:v>95.980886001931964</c:v>
                </c:pt>
                <c:pt idx="91">
                  <c:v>95.997978504588701</c:v>
                </c:pt>
                <c:pt idx="92">
                  <c:v>96.014450248308975</c:v>
                </c:pt>
                <c:pt idx="93">
                  <c:v>96.030320007753801</c:v>
                </c:pt>
                <c:pt idx="94">
                  <c:v>96.045605769382377</c:v>
                </c:pt>
                <c:pt idx="95">
                  <c:v>96.060324771809391</c:v>
                </c:pt>
                <c:pt idx="96">
                  <c:v>96.074493543702005</c:v>
                </c:pt>
                <c:pt idx="97">
                  <c:v>96.088127939389807</c:v>
                </c:pt>
                <c:pt idx="98">
                  <c:v>96.101243172347324</c:v>
                </c:pt>
                <c:pt idx="99">
                  <c:v>96.113853846695235</c:v>
                </c:pt>
                <c:pt idx="100">
                  <c:v>96.125973986856138</c:v>
                </c:pt>
                <c:pt idx="101">
                  <c:v>96.137617065489593</c:v>
                </c:pt>
                <c:pt idx="102">
                  <c:v>96.148796029821369</c:v>
                </c:pt>
                <c:pt idx="103">
                  <c:v>96.159523326473945</c:v>
                </c:pt>
                <c:pt idx="104">
                  <c:v>96.169810924896396</c:v>
                </c:pt>
                <c:pt idx="105">
                  <c:v>96.179670339485114</c:v>
                </c:pt>
                <c:pt idx="106">
                  <c:v>96.189112650479601</c:v>
                </c:pt>
                <c:pt idx="107">
                  <c:v>96.198148523711865</c:v>
                </c:pt>
                <c:pt idx="108">
                  <c:v>96.206788229281955</c:v>
                </c:pt>
                <c:pt idx="109">
                  <c:v>96.215041659226841</c:v>
                </c:pt>
                <c:pt idx="110">
                  <c:v>96.22291834424577</c:v>
                </c:pt>
                <c:pt idx="111">
                  <c:v>96.230427469539606</c:v>
                </c:pt>
                <c:pt idx="112">
                  <c:v>96.237577889818994</c:v>
                </c:pt>
                <c:pt idx="113">
                  <c:v>96.244378143531208</c:v>
                </c:pt>
                <c:pt idx="114">
                  <c:v>96.250836466352837</c:v>
                </c:pt>
                <c:pt idx="115">
                  <c:v>96.256960803992072</c:v>
                </c:pt>
                <c:pt idx="116">
                  <c:v>96.262758824341205</c:v>
                </c:pt>
                <c:pt idx="117">
                  <c:v>96.268237929017531</c:v>
                </c:pt>
                <c:pt idx="118">
                  <c:v>96.273405264328105</c:v>
                </c:pt>
                <c:pt idx="119">
                  <c:v>96.278267731691557</c:v>
                </c:pt>
                <c:pt idx="120">
                  <c:v>96.282831997547945</c:v>
                </c:pt>
                <c:pt idx="121">
                  <c:v>96.287104502785695</c:v>
                </c:pt>
                <c:pt idx="122">
                  <c:v>96.291091471712647</c:v>
                </c:pt>
                <c:pt idx="123">
                  <c:v>96.294798920596818</c:v>
                </c:pt>
                <c:pt idx="124">
                  <c:v>96.298232665800583</c:v>
                </c:pt>
                <c:pt idx="125">
                  <c:v>96.301398331530294</c:v>
                </c:pt>
                <c:pt idx="126">
                  <c:v>96.304301357222883</c:v>
                </c:pt>
                <c:pt idx="127">
                  <c:v>96.306947004588466</c:v>
                </c:pt>
                <c:pt idx="128">
                  <c:v>96.30934036432771</c:v>
                </c:pt>
                <c:pt idx="129">
                  <c:v>96.311486362541018</c:v>
                </c:pt>
                <c:pt idx="130">
                  <c:v>96.313389766846143</c:v>
                </c:pt>
                <c:pt idx="131">
                  <c:v>96.31505519221912</c:v>
                </c:pt>
                <c:pt idx="132">
                  <c:v>96.316487106573106</c:v>
                </c:pt>
                <c:pt idx="133">
                  <c:v>96.317689836088533</c:v>
                </c:pt>
                <c:pt idx="134">
                  <c:v>96.318667570307568</c:v>
                </c:pt>
                <c:pt idx="135">
                  <c:v>96.319424367004373</c:v>
                </c:pt>
                <c:pt idx="136">
                  <c:v>96.319964156842914</c:v>
                </c:pt>
                <c:pt idx="137">
                  <c:v>96.320290747832843</c:v>
                </c:pt>
                <c:pt idx="138">
                  <c:v>96.320407829593208</c:v>
                </c:pt>
                <c:pt idx="139">
                  <c:v>96.32031897743407</c:v>
                </c:pt>
                <c:pt idx="140">
                  <c:v>96.320027656264102</c:v>
                </c:pt>
                <c:pt idx="141">
                  <c:v>96.319537224333544</c:v>
                </c:pt>
                <c:pt idx="142">
                  <c:v>96.318850936819757</c:v>
                </c:pt>
                <c:pt idx="143">
                  <c:v>96.317971949263281</c:v>
                </c:pt>
                <c:pt idx="144">
                  <c:v>96.3169033208614</c:v>
                </c:pt>
                <c:pt idx="145">
                  <c:v>96.315648017626003</c:v>
                </c:pt>
                <c:pt idx="146">
                  <c:v>96.314208915411982</c:v>
                </c:pt>
                <c:pt idx="147">
                  <c:v>96.312588802822347</c:v>
                </c:pt>
                <c:pt idx="148">
                  <c:v>96.310790383995737</c:v>
                </c:pt>
                <c:pt idx="149">
                  <c:v>96.308816281281608</c:v>
                </c:pt>
                <c:pt idx="150">
                  <c:v>96.306669037808362</c:v>
                </c:pt>
                <c:pt idx="151">
                  <c:v>96.304351119949189</c:v>
                </c:pt>
                <c:pt idx="152">
                  <c:v>96.301864919690345</c:v>
                </c:pt>
                <c:pt idx="153">
                  <c:v>96.299212756905874</c:v>
                </c:pt>
                <c:pt idx="154">
                  <c:v>96.296396881543487</c:v>
                </c:pt>
                <c:pt idx="155">
                  <c:v>96.293419475725031</c:v>
                </c:pt>
                <c:pt idx="156">
                  <c:v>96.290282655765409</c:v>
                </c:pt>
                <c:pt idx="157">
                  <c:v>96.286988474113727</c:v>
                </c:pt>
                <c:pt idx="158">
                  <c:v>96.283538921219673</c:v>
                </c:pt>
                <c:pt idx="159">
                  <c:v>96.279935927328552</c:v>
                </c:pt>
                <c:pt idx="160">
                  <c:v>96.276181364207972</c:v>
                </c:pt>
                <c:pt idx="161">
                  <c:v>96.272277046809009</c:v>
                </c:pt>
                <c:pt idx="162">
                  <c:v>96.268224734864731</c:v>
                </c:pt>
                <c:pt idx="163">
                  <c:v>96.26402613442859</c:v>
                </c:pt>
                <c:pt idx="164">
                  <c:v>96.259682899354985</c:v>
                </c:pt>
                <c:pt idx="165">
                  <c:v>96.255196632724946</c:v>
                </c:pt>
                <c:pt idx="166">
                  <c:v>96.250568888218439</c:v>
                </c:pt>
                <c:pt idx="167">
                  <c:v>96.245801171436057</c:v>
                </c:pt>
                <c:pt idx="168">
                  <c:v>96.240894941171774</c:v>
                </c:pt>
                <c:pt idx="169">
                  <c:v>96.235851610638917</c:v>
                </c:pt>
                <c:pt idx="170">
                  <c:v>96.230672548651057</c:v>
                </c:pt>
                <c:pt idx="171">
                  <c:v>96.225359080759631</c:v>
                </c:pt>
                <c:pt idx="172">
                  <c:v>96.219912490350239</c:v>
                </c:pt>
                <c:pt idx="173">
                  <c:v>96.21433401969864</c:v>
                </c:pt>
                <c:pt idx="174">
                  <c:v>96.208624870988714</c:v>
                </c:pt>
                <c:pt idx="175">
                  <c:v>96.202786207293173</c:v>
                </c:pt>
                <c:pt idx="176">
                  <c:v>96.196819153518987</c:v>
                </c:pt>
                <c:pt idx="177">
                  <c:v>96.19072479731841</c:v>
                </c:pt>
                <c:pt idx="178">
                  <c:v>96.1845041899672</c:v>
                </c:pt>
                <c:pt idx="179">
                  <c:v>96.178158347211138</c:v>
                </c:pt>
                <c:pt idx="180">
                  <c:v>96.171688250081829</c:v>
                </c:pt>
                <c:pt idx="181">
                  <c:v>96.165094845683285</c:v>
                </c:pt>
                <c:pt idx="182">
                  <c:v>96.158379047950021</c:v>
                </c:pt>
                <c:pt idx="183">
                  <c:v>96.151541738377745</c:v>
                </c:pt>
                <c:pt idx="184">
                  <c:v>96.144583766727791</c:v>
                </c:pt>
                <c:pt idx="185">
                  <c:v>96.137505951705961</c:v>
                </c:pt>
                <c:pt idx="186">
                  <c:v>96.130309081616844</c:v>
                </c:pt>
                <c:pt idx="187">
                  <c:v>96.12299391499441</c:v>
                </c:pt>
                <c:pt idx="188">
                  <c:v>96.115561181209614</c:v>
                </c:pt>
                <c:pt idx="189">
                  <c:v>96.10801158105599</c:v>
                </c:pt>
                <c:pt idx="190">
                  <c:v>96.100345787313699</c:v>
                </c:pt>
                <c:pt idx="191">
                  <c:v>96.092564445292894</c:v>
                </c:pt>
                <c:pt idx="192">
                  <c:v>96.084668173357187</c:v>
                </c:pt>
                <c:pt idx="193">
                  <c:v>96.076657563427631</c:v>
                </c:pt>
                <c:pt idx="194">
                  <c:v>96.068533181467913</c:v>
                </c:pt>
                <c:pt idx="195">
                  <c:v>96.06029556795157</c:v>
                </c:pt>
                <c:pt idx="196">
                  <c:v>96.051945238311419</c:v>
                </c:pt>
                <c:pt idx="197">
                  <c:v>96.043482683372019</c:v>
                </c:pt>
                <c:pt idx="198">
                  <c:v>96.034908369765688</c:v>
                </c:pt>
                <c:pt idx="199">
                  <c:v>96.026222740332329</c:v>
                </c:pt>
                <c:pt idx="200">
                  <c:v>96.017426214503814</c:v>
                </c:pt>
              </c:numCache>
            </c:numRef>
          </c:val>
          <c:smooth val="0"/>
          <c:extLst>
            <c:ext xmlns:c16="http://schemas.microsoft.com/office/drawing/2014/chart" uri="{C3380CC4-5D6E-409C-BE32-E72D297353CC}">
              <c16:uniqueId val="{00000000-0753-4E64-999C-F6099B0F0E47}"/>
            </c:ext>
          </c:extLst>
        </c:ser>
        <c:dLbls>
          <c:showLegendKey val="0"/>
          <c:showVal val="0"/>
          <c:showCatName val="0"/>
          <c:showSerName val="0"/>
          <c:showPercent val="0"/>
          <c:showBubbleSize val="0"/>
        </c:dLbls>
        <c:marker val="1"/>
        <c:smooth val="0"/>
        <c:axId val="142894208"/>
        <c:axId val="142896128"/>
      </c:lineChart>
      <c:lineChart>
        <c:grouping val="standard"/>
        <c:varyColors val="0"/>
        <c:ser>
          <c:idx val="3"/>
          <c:order val="1"/>
          <c:tx>
            <c:v> Inductor Copper &amp; Core Loss</c:v>
          </c:tx>
          <c:spPr>
            <a:ln w="38100">
              <a:solidFill>
                <a:srgbClr val="800080"/>
              </a:solidFill>
              <a:prstDash val="dash"/>
            </a:ln>
          </c:spPr>
          <c:marker>
            <c:symbol val="none"/>
          </c:marker>
          <c:cat>
            <c:numRef>
              <c:f>'Power Calculations'!$H$9:$H$209</c:f>
              <c:numCache>
                <c:formatCode>General</c:formatCode>
                <c:ptCount val="201"/>
                <c:pt idx="0">
                  <c:v>0</c:v>
                </c:pt>
                <c:pt idx="1">
                  <c:v>4.4999999999999998E-2</c:v>
                </c:pt>
                <c:pt idx="2">
                  <c:v>0.09</c:v>
                </c:pt>
                <c:pt idx="3">
                  <c:v>0.13500000000000001</c:v>
                </c:pt>
                <c:pt idx="4">
                  <c:v>0.18</c:v>
                </c:pt>
                <c:pt idx="5">
                  <c:v>0.22500000000000001</c:v>
                </c:pt>
                <c:pt idx="6">
                  <c:v>0.27</c:v>
                </c:pt>
                <c:pt idx="7">
                  <c:v>0.31500000000000006</c:v>
                </c:pt>
                <c:pt idx="8">
                  <c:v>0.36</c:v>
                </c:pt>
                <c:pt idx="9">
                  <c:v>0.40499999999999997</c:v>
                </c:pt>
                <c:pt idx="10">
                  <c:v>0.45</c:v>
                </c:pt>
                <c:pt idx="11">
                  <c:v>0.495</c:v>
                </c:pt>
                <c:pt idx="12">
                  <c:v>0.54</c:v>
                </c:pt>
                <c:pt idx="13">
                  <c:v>0.58499999999999996</c:v>
                </c:pt>
                <c:pt idx="14">
                  <c:v>0.63000000000000012</c:v>
                </c:pt>
                <c:pt idx="15">
                  <c:v>0.67499999999999993</c:v>
                </c:pt>
                <c:pt idx="16">
                  <c:v>0.72</c:v>
                </c:pt>
                <c:pt idx="17">
                  <c:v>0.76500000000000001</c:v>
                </c:pt>
                <c:pt idx="18">
                  <c:v>0.80999999999999994</c:v>
                </c:pt>
                <c:pt idx="19">
                  <c:v>0.85499999999999998</c:v>
                </c:pt>
                <c:pt idx="20">
                  <c:v>0.9</c:v>
                </c:pt>
                <c:pt idx="21">
                  <c:v>0.94499999999999995</c:v>
                </c:pt>
                <c:pt idx="22">
                  <c:v>0.99</c:v>
                </c:pt>
                <c:pt idx="23">
                  <c:v>1.0350000000000001</c:v>
                </c:pt>
                <c:pt idx="24">
                  <c:v>1.08</c:v>
                </c:pt>
                <c:pt idx="25">
                  <c:v>1.125</c:v>
                </c:pt>
                <c:pt idx="26">
                  <c:v>1.17</c:v>
                </c:pt>
                <c:pt idx="27">
                  <c:v>1.2150000000000001</c:v>
                </c:pt>
                <c:pt idx="28">
                  <c:v>1.2600000000000002</c:v>
                </c:pt>
                <c:pt idx="29">
                  <c:v>1.3049999999999999</c:v>
                </c:pt>
                <c:pt idx="30">
                  <c:v>1.3499999999999999</c:v>
                </c:pt>
                <c:pt idx="31">
                  <c:v>1.395</c:v>
                </c:pt>
                <c:pt idx="32">
                  <c:v>1.44</c:v>
                </c:pt>
                <c:pt idx="33">
                  <c:v>1.4850000000000001</c:v>
                </c:pt>
                <c:pt idx="34">
                  <c:v>1.53</c:v>
                </c:pt>
                <c:pt idx="35">
                  <c:v>1.575</c:v>
                </c:pt>
                <c:pt idx="36">
                  <c:v>1.6199999999999999</c:v>
                </c:pt>
                <c:pt idx="37">
                  <c:v>1.665</c:v>
                </c:pt>
                <c:pt idx="38">
                  <c:v>1.71</c:v>
                </c:pt>
                <c:pt idx="39">
                  <c:v>1.7550000000000001</c:v>
                </c:pt>
                <c:pt idx="40">
                  <c:v>1.8</c:v>
                </c:pt>
                <c:pt idx="41">
                  <c:v>1.845</c:v>
                </c:pt>
                <c:pt idx="42">
                  <c:v>1.89</c:v>
                </c:pt>
                <c:pt idx="43">
                  <c:v>1.9350000000000001</c:v>
                </c:pt>
                <c:pt idx="44">
                  <c:v>1.98</c:v>
                </c:pt>
                <c:pt idx="45">
                  <c:v>2.0249999999999999</c:v>
                </c:pt>
                <c:pt idx="46">
                  <c:v>2.0700000000000003</c:v>
                </c:pt>
                <c:pt idx="47">
                  <c:v>2.1149999999999998</c:v>
                </c:pt>
                <c:pt idx="48">
                  <c:v>2.16</c:v>
                </c:pt>
                <c:pt idx="49">
                  <c:v>2.2050000000000001</c:v>
                </c:pt>
                <c:pt idx="50">
                  <c:v>2.25</c:v>
                </c:pt>
                <c:pt idx="51">
                  <c:v>2.2949999999999999</c:v>
                </c:pt>
                <c:pt idx="52">
                  <c:v>2.34</c:v>
                </c:pt>
                <c:pt idx="53">
                  <c:v>2.3850000000000002</c:v>
                </c:pt>
                <c:pt idx="54">
                  <c:v>2.4300000000000002</c:v>
                </c:pt>
                <c:pt idx="55">
                  <c:v>2.4750000000000001</c:v>
                </c:pt>
                <c:pt idx="56">
                  <c:v>2.5200000000000005</c:v>
                </c:pt>
                <c:pt idx="57">
                  <c:v>2.5649999999999999</c:v>
                </c:pt>
                <c:pt idx="58">
                  <c:v>2.61</c:v>
                </c:pt>
                <c:pt idx="59">
                  <c:v>2.6549999999999998</c:v>
                </c:pt>
                <c:pt idx="60">
                  <c:v>2.6999999999999997</c:v>
                </c:pt>
                <c:pt idx="61">
                  <c:v>2.7450000000000001</c:v>
                </c:pt>
                <c:pt idx="62">
                  <c:v>2.79</c:v>
                </c:pt>
                <c:pt idx="63">
                  <c:v>2.835</c:v>
                </c:pt>
                <c:pt idx="64">
                  <c:v>2.88</c:v>
                </c:pt>
                <c:pt idx="65">
                  <c:v>2.9250000000000003</c:v>
                </c:pt>
                <c:pt idx="66">
                  <c:v>2.97</c:v>
                </c:pt>
                <c:pt idx="67">
                  <c:v>3.0150000000000001</c:v>
                </c:pt>
                <c:pt idx="68">
                  <c:v>3.06</c:v>
                </c:pt>
                <c:pt idx="69">
                  <c:v>3.1049999999999995</c:v>
                </c:pt>
                <c:pt idx="70">
                  <c:v>3.15</c:v>
                </c:pt>
                <c:pt idx="71">
                  <c:v>3.1949999999999998</c:v>
                </c:pt>
                <c:pt idx="72">
                  <c:v>3.2399999999999998</c:v>
                </c:pt>
                <c:pt idx="73">
                  <c:v>3.2850000000000001</c:v>
                </c:pt>
                <c:pt idx="74">
                  <c:v>3.33</c:v>
                </c:pt>
                <c:pt idx="75">
                  <c:v>3.375</c:v>
                </c:pt>
                <c:pt idx="76">
                  <c:v>3.42</c:v>
                </c:pt>
                <c:pt idx="77">
                  <c:v>3.4649999999999999</c:v>
                </c:pt>
                <c:pt idx="78">
                  <c:v>3.5100000000000002</c:v>
                </c:pt>
                <c:pt idx="79">
                  <c:v>3.5550000000000002</c:v>
                </c:pt>
                <c:pt idx="80">
                  <c:v>3.6</c:v>
                </c:pt>
                <c:pt idx="81">
                  <c:v>3.6450000000000005</c:v>
                </c:pt>
                <c:pt idx="82">
                  <c:v>3.69</c:v>
                </c:pt>
                <c:pt idx="83">
                  <c:v>3.7349999999999999</c:v>
                </c:pt>
                <c:pt idx="84">
                  <c:v>3.78</c:v>
                </c:pt>
                <c:pt idx="85">
                  <c:v>3.8249999999999997</c:v>
                </c:pt>
                <c:pt idx="86">
                  <c:v>3.87</c:v>
                </c:pt>
                <c:pt idx="87">
                  <c:v>3.915</c:v>
                </c:pt>
                <c:pt idx="88">
                  <c:v>3.96</c:v>
                </c:pt>
                <c:pt idx="89">
                  <c:v>4.0049999999999999</c:v>
                </c:pt>
                <c:pt idx="90">
                  <c:v>4.05</c:v>
                </c:pt>
                <c:pt idx="91">
                  <c:v>4.0949999999999998</c:v>
                </c:pt>
                <c:pt idx="92">
                  <c:v>4.1400000000000006</c:v>
                </c:pt>
                <c:pt idx="93">
                  <c:v>4.1850000000000005</c:v>
                </c:pt>
                <c:pt idx="94">
                  <c:v>4.2299999999999995</c:v>
                </c:pt>
                <c:pt idx="95">
                  <c:v>4.2749999999999995</c:v>
                </c:pt>
                <c:pt idx="96">
                  <c:v>4.32</c:v>
                </c:pt>
                <c:pt idx="97">
                  <c:v>4.3650000000000002</c:v>
                </c:pt>
                <c:pt idx="98">
                  <c:v>4.41</c:v>
                </c:pt>
                <c:pt idx="99">
                  <c:v>4.4550000000000001</c:v>
                </c:pt>
                <c:pt idx="100">
                  <c:v>4.5</c:v>
                </c:pt>
                <c:pt idx="101">
                  <c:v>4.5449999999999999</c:v>
                </c:pt>
                <c:pt idx="102">
                  <c:v>4.59</c:v>
                </c:pt>
                <c:pt idx="103">
                  <c:v>4.6349999999999998</c:v>
                </c:pt>
                <c:pt idx="104">
                  <c:v>4.68</c:v>
                </c:pt>
                <c:pt idx="105">
                  <c:v>4.7250000000000005</c:v>
                </c:pt>
                <c:pt idx="106">
                  <c:v>4.7700000000000005</c:v>
                </c:pt>
                <c:pt idx="107">
                  <c:v>4.8150000000000004</c:v>
                </c:pt>
                <c:pt idx="108">
                  <c:v>4.8600000000000003</c:v>
                </c:pt>
                <c:pt idx="109">
                  <c:v>4.9050000000000002</c:v>
                </c:pt>
                <c:pt idx="110">
                  <c:v>4.95</c:v>
                </c:pt>
                <c:pt idx="111">
                  <c:v>4.9950000000000001</c:v>
                </c:pt>
                <c:pt idx="112">
                  <c:v>5.0400000000000009</c:v>
                </c:pt>
                <c:pt idx="113">
                  <c:v>5.0849999999999991</c:v>
                </c:pt>
                <c:pt idx="114">
                  <c:v>5.13</c:v>
                </c:pt>
                <c:pt idx="115">
                  <c:v>5.1749999999999998</c:v>
                </c:pt>
                <c:pt idx="116">
                  <c:v>5.22</c:v>
                </c:pt>
                <c:pt idx="117">
                  <c:v>5.2649999999999997</c:v>
                </c:pt>
                <c:pt idx="118">
                  <c:v>5.31</c:v>
                </c:pt>
                <c:pt idx="119">
                  <c:v>5.3549999999999995</c:v>
                </c:pt>
                <c:pt idx="120">
                  <c:v>5.3999999999999995</c:v>
                </c:pt>
                <c:pt idx="121">
                  <c:v>5.4450000000000003</c:v>
                </c:pt>
                <c:pt idx="122">
                  <c:v>5.49</c:v>
                </c:pt>
                <c:pt idx="123">
                  <c:v>5.5350000000000001</c:v>
                </c:pt>
                <c:pt idx="124">
                  <c:v>5.58</c:v>
                </c:pt>
                <c:pt idx="125">
                  <c:v>5.625</c:v>
                </c:pt>
                <c:pt idx="126">
                  <c:v>5.67</c:v>
                </c:pt>
                <c:pt idx="127">
                  <c:v>5.7149999999999999</c:v>
                </c:pt>
                <c:pt idx="128">
                  <c:v>5.76</c:v>
                </c:pt>
                <c:pt idx="129">
                  <c:v>5.8049999999999997</c:v>
                </c:pt>
                <c:pt idx="130">
                  <c:v>5.8500000000000005</c:v>
                </c:pt>
                <c:pt idx="131">
                  <c:v>5.8950000000000005</c:v>
                </c:pt>
                <c:pt idx="132">
                  <c:v>5.94</c:v>
                </c:pt>
                <c:pt idx="133">
                  <c:v>5.9850000000000003</c:v>
                </c:pt>
                <c:pt idx="134">
                  <c:v>6.03</c:v>
                </c:pt>
                <c:pt idx="135">
                  <c:v>6.0750000000000002</c:v>
                </c:pt>
                <c:pt idx="136">
                  <c:v>6.12</c:v>
                </c:pt>
                <c:pt idx="137">
                  <c:v>6.1650000000000009</c:v>
                </c:pt>
                <c:pt idx="138">
                  <c:v>6.2099999999999991</c:v>
                </c:pt>
                <c:pt idx="139">
                  <c:v>6.2549999999999999</c:v>
                </c:pt>
                <c:pt idx="140">
                  <c:v>6.3</c:v>
                </c:pt>
                <c:pt idx="141">
                  <c:v>6.3449999999999998</c:v>
                </c:pt>
                <c:pt idx="142">
                  <c:v>6.39</c:v>
                </c:pt>
                <c:pt idx="143">
                  <c:v>6.4349999999999996</c:v>
                </c:pt>
                <c:pt idx="144">
                  <c:v>6.4799999999999995</c:v>
                </c:pt>
                <c:pt idx="145">
                  <c:v>6.5249999999999995</c:v>
                </c:pt>
                <c:pt idx="146">
                  <c:v>6.57</c:v>
                </c:pt>
                <c:pt idx="147">
                  <c:v>6.6150000000000002</c:v>
                </c:pt>
                <c:pt idx="148">
                  <c:v>6.66</c:v>
                </c:pt>
                <c:pt idx="149">
                  <c:v>6.7050000000000001</c:v>
                </c:pt>
                <c:pt idx="150">
                  <c:v>6.75</c:v>
                </c:pt>
                <c:pt idx="151">
                  <c:v>6.7949999999999999</c:v>
                </c:pt>
                <c:pt idx="152">
                  <c:v>6.84</c:v>
                </c:pt>
                <c:pt idx="153">
                  <c:v>6.8849999999999998</c:v>
                </c:pt>
                <c:pt idx="154">
                  <c:v>6.93</c:v>
                </c:pt>
                <c:pt idx="155">
                  <c:v>6.9750000000000005</c:v>
                </c:pt>
                <c:pt idx="156">
                  <c:v>7.0200000000000005</c:v>
                </c:pt>
                <c:pt idx="157">
                  <c:v>7.0650000000000004</c:v>
                </c:pt>
                <c:pt idx="158">
                  <c:v>7.11</c:v>
                </c:pt>
                <c:pt idx="159">
                  <c:v>7.1550000000000002</c:v>
                </c:pt>
                <c:pt idx="160">
                  <c:v>7.2</c:v>
                </c:pt>
                <c:pt idx="161">
                  <c:v>7.2450000000000001</c:v>
                </c:pt>
                <c:pt idx="162">
                  <c:v>7.2900000000000009</c:v>
                </c:pt>
                <c:pt idx="163">
                  <c:v>7.3349999999999991</c:v>
                </c:pt>
                <c:pt idx="164">
                  <c:v>7.38</c:v>
                </c:pt>
                <c:pt idx="165">
                  <c:v>7.4249999999999998</c:v>
                </c:pt>
                <c:pt idx="166">
                  <c:v>7.47</c:v>
                </c:pt>
                <c:pt idx="167">
                  <c:v>7.5149999999999997</c:v>
                </c:pt>
                <c:pt idx="168">
                  <c:v>7.56</c:v>
                </c:pt>
                <c:pt idx="169">
                  <c:v>7.6049999999999995</c:v>
                </c:pt>
                <c:pt idx="170">
                  <c:v>7.6499999999999995</c:v>
                </c:pt>
                <c:pt idx="171">
                  <c:v>7.6950000000000003</c:v>
                </c:pt>
                <c:pt idx="172">
                  <c:v>7.74</c:v>
                </c:pt>
                <c:pt idx="173">
                  <c:v>7.7850000000000001</c:v>
                </c:pt>
                <c:pt idx="174">
                  <c:v>7.83</c:v>
                </c:pt>
                <c:pt idx="175">
                  <c:v>7.875</c:v>
                </c:pt>
                <c:pt idx="176">
                  <c:v>7.92</c:v>
                </c:pt>
                <c:pt idx="177">
                  <c:v>7.9649999999999999</c:v>
                </c:pt>
                <c:pt idx="178">
                  <c:v>8.01</c:v>
                </c:pt>
                <c:pt idx="179">
                  <c:v>8.0549999999999997</c:v>
                </c:pt>
                <c:pt idx="180">
                  <c:v>8.1</c:v>
                </c:pt>
                <c:pt idx="181">
                  <c:v>8.1449999999999996</c:v>
                </c:pt>
                <c:pt idx="182">
                  <c:v>8.19</c:v>
                </c:pt>
                <c:pt idx="183">
                  <c:v>8.2349999999999994</c:v>
                </c:pt>
                <c:pt idx="184">
                  <c:v>8.2800000000000011</c:v>
                </c:pt>
                <c:pt idx="185">
                  <c:v>8.3250000000000011</c:v>
                </c:pt>
                <c:pt idx="186">
                  <c:v>8.370000000000001</c:v>
                </c:pt>
                <c:pt idx="187">
                  <c:v>8.4150000000000009</c:v>
                </c:pt>
                <c:pt idx="188">
                  <c:v>8.4599999999999991</c:v>
                </c:pt>
                <c:pt idx="189">
                  <c:v>8.504999999999999</c:v>
                </c:pt>
                <c:pt idx="190">
                  <c:v>8.5499999999999989</c:v>
                </c:pt>
                <c:pt idx="191">
                  <c:v>8.5949999999999989</c:v>
                </c:pt>
                <c:pt idx="192">
                  <c:v>8.64</c:v>
                </c:pt>
                <c:pt idx="193">
                  <c:v>8.6850000000000005</c:v>
                </c:pt>
                <c:pt idx="194">
                  <c:v>8.73</c:v>
                </c:pt>
                <c:pt idx="195">
                  <c:v>8.7750000000000004</c:v>
                </c:pt>
                <c:pt idx="196">
                  <c:v>8.82</c:v>
                </c:pt>
                <c:pt idx="197">
                  <c:v>8.8650000000000002</c:v>
                </c:pt>
                <c:pt idx="198">
                  <c:v>8.91</c:v>
                </c:pt>
                <c:pt idx="199">
                  <c:v>8.9550000000000001</c:v>
                </c:pt>
                <c:pt idx="200">
                  <c:v>9</c:v>
                </c:pt>
              </c:numCache>
            </c:numRef>
          </c:cat>
          <c:val>
            <c:numRef>
              <c:f>'Power Calculations'!$Q$9:$Q$209</c:f>
              <c:numCache>
                <c:formatCode>0.0000</c:formatCode>
                <c:ptCount val="201"/>
                <c:pt idx="0">
                  <c:v>0.40486781186448012</c:v>
                </c:pt>
                <c:pt idx="1">
                  <c:v>0.40489315356085215</c:v>
                </c:pt>
                <c:pt idx="2">
                  <c:v>0.40496713395627759</c:v>
                </c:pt>
                <c:pt idx="3">
                  <c:v>0.40508975477730047</c:v>
                </c:pt>
                <c:pt idx="4">
                  <c:v>0.40526101888568411</c:v>
                </c:pt>
                <c:pt idx="5">
                  <c:v>0.40548093027857807</c:v>
                </c:pt>
                <c:pt idx="6">
                  <c:v>0.40574949408875133</c:v>
                </c:pt>
                <c:pt idx="7">
                  <c:v>0.40606671658489207</c:v>
                </c:pt>
                <c:pt idx="8">
                  <c:v>0.40643260517197316</c:v>
                </c:pt>
                <c:pt idx="9">
                  <c:v>0.40684716839168455</c:v>
                </c:pt>
                <c:pt idx="10">
                  <c:v>0.40731041592293188</c:v>
                </c:pt>
                <c:pt idx="11">
                  <c:v>0.4078223585824014</c:v>
                </c:pt>
                <c:pt idx="12">
                  <c:v>0.40838300832519164</c:v>
                </c:pt>
                <c:pt idx="13">
                  <c:v>0.40899237824551155</c:v>
                </c:pt>
                <c:pt idx="14">
                  <c:v>0.40965048257744524</c:v>
                </c:pt>
                <c:pt idx="15">
                  <c:v>0.41035733669578373</c:v>
                </c:pt>
                <c:pt idx="16">
                  <c:v>0.41111295711692308</c:v>
                </c:pt>
                <c:pt idx="17">
                  <c:v>0.4119173614998301</c:v>
                </c:pt>
                <c:pt idx="18">
                  <c:v>0.4127705686470744</c:v>
                </c:pt>
                <c:pt idx="19">
                  <c:v>0.41367259850592808</c:v>
                </c:pt>
                <c:pt idx="20">
                  <c:v>0.41462347216953249</c:v>
                </c:pt>
                <c:pt idx="21">
                  <c:v>0.41562321187813256</c:v>
                </c:pt>
                <c:pt idx="22">
                  <c:v>0.41667184102037846</c:v>
                </c:pt>
                <c:pt idx="23">
                  <c:v>0.417769384134695</c:v>
                </c:pt>
                <c:pt idx="24">
                  <c:v>0.41891586691071886</c:v>
                </c:pt>
                <c:pt idx="25">
                  <c:v>0.42011131619080411</c:v>
                </c:pt>
                <c:pt idx="26">
                  <c:v>0.42135575997159525</c:v>
                </c:pt>
                <c:pt idx="27">
                  <c:v>0.42264922740566913</c:v>
                </c:pt>
                <c:pt idx="28">
                  <c:v>0.42399174880324519</c:v>
                </c:pt>
                <c:pt idx="29">
                  <c:v>0.42538335563396418</c:v>
                </c:pt>
                <c:pt idx="30">
                  <c:v>0.42682408052873627</c:v>
                </c:pt>
                <c:pt idx="31">
                  <c:v>0.42831395728165772</c:v>
                </c:pt>
                <c:pt idx="32">
                  <c:v>0.42985302085199711</c:v>
                </c:pt>
                <c:pt idx="33">
                  <c:v>0.43144130736625114</c:v>
                </c:pt>
                <c:pt idx="34">
                  <c:v>0.43307885412026981</c:v>
                </c:pt>
                <c:pt idx="35">
                  <c:v>0.43476569958145239</c:v>
                </c:pt>
                <c:pt idx="36">
                  <c:v>0.43650188339101259</c:v>
                </c:pt>
                <c:pt idx="37">
                  <c:v>0.43828744636631473</c:v>
                </c:pt>
                <c:pt idx="38">
                  <c:v>0.44012243050328093</c:v>
                </c:pt>
                <c:pt idx="39">
                  <c:v>0.44200687897886859</c:v>
                </c:pt>
                <c:pt idx="40">
                  <c:v>0.44394083615361968</c:v>
                </c:pt>
                <c:pt idx="41">
                  <c:v>0.4459243475742814</c:v>
                </c:pt>
                <c:pt idx="42">
                  <c:v>0.44795745997649872</c:v>
                </c:pt>
                <c:pt idx="43">
                  <c:v>0.45004022128757892</c:v>
                </c:pt>
                <c:pt idx="44">
                  <c:v>0.45217268062932869</c:v>
                </c:pt>
                <c:pt idx="45">
                  <c:v>0.45435488832096405</c:v>
                </c:pt>
                <c:pt idx="46">
                  <c:v>0.45658689588209328</c:v>
                </c:pt>
                <c:pt idx="47">
                  <c:v>0.4588687560357731</c:v>
                </c:pt>
                <c:pt idx="48">
                  <c:v>0.46120052271163914</c:v>
                </c:pt>
                <c:pt idx="49">
                  <c:v>0.46358225104910966</c:v>
                </c:pt>
                <c:pt idx="50">
                  <c:v>0.46601399740066457</c:v>
                </c:pt>
                <c:pt idx="51">
                  <c:v>0.46849581933519885</c:v>
                </c:pt>
                <c:pt idx="52">
                  <c:v>0.47102777564145115</c:v>
                </c:pt>
                <c:pt idx="53">
                  <c:v>0.47360992633150806</c:v>
                </c:pt>
                <c:pt idx="54">
                  <c:v>0.47624233264438448</c:v>
                </c:pt>
                <c:pt idx="55">
                  <c:v>0.47892505704968019</c:v>
                </c:pt>
                <c:pt idx="56">
                  <c:v>0.48165816325131333</c:v>
                </c:pt>
                <c:pt idx="57">
                  <c:v>0.48444171619133086</c:v>
                </c:pt>
                <c:pt idx="58">
                  <c:v>0.48727578205379696</c:v>
                </c:pt>
                <c:pt idx="59">
                  <c:v>0.4901604282687595</c:v>
                </c:pt>
                <c:pt idx="60">
                  <c:v>0.4930957235162946</c:v>
                </c:pt>
                <c:pt idx="61">
                  <c:v>0.49608173773063069</c:v>
                </c:pt>
                <c:pt idx="62">
                  <c:v>0.4991185421043518</c:v>
                </c:pt>
                <c:pt idx="63">
                  <c:v>0.50220620909268054</c:v>
                </c:pt>
                <c:pt idx="64">
                  <c:v>0.50534481241784213</c:v>
                </c:pt>
                <c:pt idx="65">
                  <c:v>0.5085344270735086</c:v>
                </c:pt>
                <c:pt idx="66">
                  <c:v>0.51177512932932467</c:v>
                </c:pt>
                <c:pt idx="67">
                  <c:v>0.51506699673551593</c:v>
                </c:pt>
                <c:pt idx="68">
                  <c:v>0.51841010812757871</c:v>
                </c:pt>
                <c:pt idx="69">
                  <c:v>0.52180454363105389</c:v>
                </c:pt>
                <c:pt idx="70">
                  <c:v>0.52525038466638296</c:v>
                </c:pt>
                <c:pt idx="71">
                  <c:v>0.52874771395384979</c:v>
                </c:pt>
                <c:pt idx="72">
                  <c:v>0.5322966155186053</c:v>
                </c:pt>
                <c:pt idx="73">
                  <c:v>0.53589717469577902</c:v>
                </c:pt>
                <c:pt idx="74">
                  <c:v>0.53954947813567489</c:v>
                </c:pt>
                <c:pt idx="75">
                  <c:v>0.54325361380905479</c:v>
                </c:pt>
                <c:pt idx="76">
                  <c:v>0.54700967101250852</c:v>
                </c:pt>
                <c:pt idx="77">
                  <c:v>0.55081774037391118</c:v>
                </c:pt>
                <c:pt idx="78">
                  <c:v>0.55467791385796938</c:v>
                </c:pt>
                <c:pt idx="79">
                  <c:v>0.55859028477185535</c:v>
                </c:pt>
                <c:pt idx="80">
                  <c:v>0.56255494777093262</c:v>
                </c:pt>
                <c:pt idx="81">
                  <c:v>0.56657199886456955</c:v>
                </c:pt>
                <c:pt idx="82">
                  <c:v>0.57064153542204499</c:v>
                </c:pt>
                <c:pt idx="83">
                  <c:v>0.5747636561785463</c:v>
                </c:pt>
                <c:pt idx="84">
                  <c:v>0.57893846124125758</c:v>
                </c:pt>
                <c:pt idx="85">
                  <c:v>0.58316605209554295</c:v>
                </c:pt>
                <c:pt idx="86">
                  <c:v>0.5874465316112224</c:v>
                </c:pt>
                <c:pt idx="87">
                  <c:v>0.59178000404894238</c:v>
                </c:pt>
                <c:pt idx="88">
                  <c:v>0.59616657506664195</c:v>
                </c:pt>
                <c:pt idx="89">
                  <c:v>0.60060635172611432</c:v>
                </c:pt>
                <c:pt idx="90">
                  <c:v>0.60509944249966563</c:v>
                </c:pt>
                <c:pt idx="91">
                  <c:v>0.6096459572768711</c:v>
                </c:pt>
                <c:pt idx="92">
                  <c:v>0.61424600737142954</c:v>
                </c:pt>
                <c:pt idx="93">
                  <c:v>0.61889970552811668</c:v>
                </c:pt>
                <c:pt idx="94">
                  <c:v>0.62360716592983911</c:v>
                </c:pt>
                <c:pt idx="95">
                  <c:v>0.62836850420478896</c:v>
                </c:pt>
                <c:pt idx="96">
                  <c:v>0.63318383743369977</c:v>
                </c:pt>
                <c:pt idx="97">
                  <c:v>0.63805328415720453</c:v>
                </c:pt>
                <c:pt idx="98">
                  <c:v>0.64297696438329888</c:v>
                </c:pt>
                <c:pt idx="99">
                  <c:v>0.64795499959490699</c:v>
                </c:pt>
                <c:pt idx="100">
                  <c:v>0.65298751275755307</c:v>
                </c:pt>
                <c:pt idx="101">
                  <c:v>0.65807462832713981</c:v>
                </c:pt>
                <c:pt idx="102">
                  <c:v>0.66321647225783209</c:v>
                </c:pt>
                <c:pt idx="103">
                  <c:v>0.66841317201005146</c:v>
                </c:pt>
                <c:pt idx="104">
                  <c:v>0.67366485655857644</c:v>
                </c:pt>
                <c:pt idx="105">
                  <c:v>0.67897165640075641</c:v>
                </c:pt>
                <c:pt idx="106">
                  <c:v>0.68433370356483247</c:v>
                </c:pt>
                <c:pt idx="107">
                  <c:v>0.6897511316183742</c:v>
                </c:pt>
                <c:pt idx="108">
                  <c:v>0.69522407567682665</c:v>
                </c:pt>
                <c:pt idx="109">
                  <c:v>0.70075267241217276</c:v>
                </c:pt>
                <c:pt idx="110">
                  <c:v>0.70633706006171071</c:v>
                </c:pt>
                <c:pt idx="111">
                  <c:v>0.71197737843694764</c:v>
                </c:pt>
                <c:pt idx="112">
                  <c:v>0.71767376893261015</c:v>
                </c:pt>
                <c:pt idx="113">
                  <c:v>0.72342637453577296</c:v>
                </c:pt>
                <c:pt idx="114">
                  <c:v>0.72923533983510991</c:v>
                </c:pt>
                <c:pt idx="115">
                  <c:v>0.73510081103026104</c:v>
                </c:pt>
                <c:pt idx="116">
                  <c:v>0.74102293594132607</c:v>
                </c:pt>
                <c:pt idx="117">
                  <c:v>0.74700186401847746</c:v>
                </c:pt>
                <c:pt idx="118">
                  <c:v>0.7530377463517004</c:v>
                </c:pt>
                <c:pt idx="119">
                  <c:v>0.75913073568065692</c:v>
                </c:pt>
                <c:pt idx="120">
                  <c:v>0.76528098640467612</c:v>
                </c:pt>
                <c:pt idx="121">
                  <c:v>0.77148865459287475</c:v>
                </c:pt>
                <c:pt idx="122">
                  <c:v>0.77775389799440386</c:v>
                </c:pt>
                <c:pt idx="123">
                  <c:v>0.78407687604882936</c:v>
                </c:pt>
                <c:pt idx="124">
                  <c:v>0.79045774989664175</c:v>
                </c:pt>
                <c:pt idx="125">
                  <c:v>0.79689668238990041</c:v>
                </c:pt>
                <c:pt idx="126">
                  <c:v>0.80339383810301213</c:v>
                </c:pt>
                <c:pt idx="127">
                  <c:v>0.80994938334364663</c:v>
                </c:pt>
                <c:pt idx="128">
                  <c:v>0.81656348616378616</c:v>
                </c:pt>
                <c:pt idx="129">
                  <c:v>0.82323631637091843</c:v>
                </c:pt>
                <c:pt idx="130">
                  <c:v>0.82996804553936698</c:v>
                </c:pt>
                <c:pt idx="131">
                  <c:v>0.8367588470217624</c:v>
                </c:pt>
                <c:pt idx="132">
                  <c:v>0.84360889596065891</c:v>
                </c:pt>
                <c:pt idx="133">
                  <c:v>0.85051836930029556</c:v>
                </c:pt>
                <c:pt idx="134">
                  <c:v>0.85748744579850156</c:v>
                </c:pt>
                <c:pt idx="135">
                  <c:v>0.86451630603875018</c:v>
                </c:pt>
                <c:pt idx="136">
                  <c:v>0.87160513244236348</c:v>
                </c:pt>
                <c:pt idx="137">
                  <c:v>0.87875410928086639</c:v>
                </c:pt>
                <c:pt idx="138">
                  <c:v>0.88596342268849249</c:v>
                </c:pt>
                <c:pt idx="139">
                  <c:v>0.89323326067484721</c:v>
                </c:pt>
                <c:pt idx="140">
                  <c:v>0.90056381313772316</c:v>
                </c:pt>
                <c:pt idx="141">
                  <c:v>0.90795527187607528</c:v>
                </c:pt>
                <c:pt idx="142">
                  <c:v>0.91540783060315467</c:v>
                </c:pt>
                <c:pt idx="143">
                  <c:v>0.92292168495980309</c:v>
                </c:pt>
                <c:pt idx="144">
                  <c:v>0.93049703252791094</c:v>
                </c:pt>
                <c:pt idx="145">
                  <c:v>0.93813407284403927</c:v>
                </c:pt>
                <c:pt idx="146">
                  <c:v>0.94583300741320753</c:v>
                </c:pt>
                <c:pt idx="147">
                  <c:v>0.95359403972285195</c:v>
                </c:pt>
                <c:pt idx="148">
                  <c:v>0.96141737525695103</c:v>
                </c:pt>
                <c:pt idx="149">
                  <c:v>0.96930322151032577</c:v>
                </c:pt>
                <c:pt idx="150">
                  <c:v>0.97725178800311174</c:v>
                </c:pt>
                <c:pt idx="151">
                  <c:v>0.9852632862954086</c:v>
                </c:pt>
                <c:pt idx="152">
                  <c:v>0.99333793000210635</c:v>
                </c:pt>
                <c:pt idx="153">
                  <c:v>1.0014759348078943</c:v>
                </c:pt>
                <c:pt idx="154">
                  <c:v>1.009677518482446</c:v>
                </c:pt>
                <c:pt idx="155">
                  <c:v>1.0179429008957979</c:v>
                </c:pt>
                <c:pt idx="156">
                  <c:v>1.026272304033903</c:v>
                </c:pt>
                <c:pt idx="157">
                  <c:v>1.0346659520143826</c:v>
                </c:pt>
                <c:pt idx="158">
                  <c:v>1.0431240711024641</c:v>
                </c:pt>
                <c:pt idx="159">
                  <c:v>1.0516468897271096</c:v>
                </c:pt>
                <c:pt idx="160">
                  <c:v>1.060234638497346</c:v>
                </c:pt>
                <c:pt idx="161">
                  <c:v>1.0688875502187853</c:v>
                </c:pt>
                <c:pt idx="162">
                  <c:v>1.0776058599103506</c:v>
                </c:pt>
                <c:pt idx="163">
                  <c:v>1.0863898048211973</c:v>
                </c:pt>
                <c:pt idx="164">
                  <c:v>1.0952396244478493</c:v>
                </c:pt>
                <c:pt idx="165">
                  <c:v>1.1041555605515287</c:v>
                </c:pt>
                <c:pt idx="166">
                  <c:v>1.1131378571757071</c:v>
                </c:pt>
                <c:pt idx="167">
                  <c:v>1.122186760663858</c:v>
                </c:pt>
                <c:pt idx="168">
                  <c:v>1.1313025196774347</c:v>
                </c:pt>
                <c:pt idx="169">
                  <c:v>1.140485385214054</c:v>
                </c:pt>
                <c:pt idx="170">
                  <c:v>1.1497356106259082</c:v>
                </c:pt>
                <c:pt idx="171">
                  <c:v>1.1590534516383943</c:v>
                </c:pt>
                <c:pt idx="172">
                  <c:v>1.1684391663689693</c:v>
                </c:pt>
                <c:pt idx="173">
                  <c:v>1.1778930153462335</c:v>
                </c:pt>
                <c:pt idx="174">
                  <c:v>1.187415261529245</c:v>
                </c:pt>
                <c:pt idx="175">
                  <c:v>1.197006170327066</c:v>
                </c:pt>
                <c:pt idx="176">
                  <c:v>1.2066660096185444</c:v>
                </c:pt>
                <c:pt idx="177">
                  <c:v>1.2163950497723386</c:v>
                </c:pt>
                <c:pt idx="178">
                  <c:v>1.2261935636671777</c:v>
                </c:pt>
                <c:pt idx="179">
                  <c:v>1.2360618267123733</c:v>
                </c:pt>
                <c:pt idx="180">
                  <c:v>1.2460001168685761</c:v>
                </c:pt>
                <c:pt idx="181">
                  <c:v>1.2560087146687811</c:v>
                </c:pt>
                <c:pt idx="182">
                  <c:v>1.2660879032395922</c:v>
                </c:pt>
                <c:pt idx="183">
                  <c:v>1.2762379683227416</c:v>
                </c:pt>
                <c:pt idx="184">
                  <c:v>1.2864591982968698</c:v>
                </c:pt>
                <c:pt idx="185">
                  <c:v>1.2967518841995669</c:v>
                </c:pt>
                <c:pt idx="186">
                  <c:v>1.3071163197496891</c:v>
                </c:pt>
                <c:pt idx="187">
                  <c:v>1.3175528013699385</c:v>
                </c:pt>
                <c:pt idx="188">
                  <c:v>1.3280616282097153</c:v>
                </c:pt>
                <c:pt idx="189">
                  <c:v>1.338643102168259</c:v>
                </c:pt>
                <c:pt idx="190">
                  <c:v>1.3492975279180577</c:v>
                </c:pt>
                <c:pt idx="191">
                  <c:v>1.3600252129285497</c:v>
                </c:pt>
                <c:pt idx="192">
                  <c:v>1.3708264674901107</c:v>
                </c:pt>
                <c:pt idx="193">
                  <c:v>1.381701604738335</c:v>
                </c:pt>
                <c:pt idx="194">
                  <c:v>1.3926509406786112</c:v>
                </c:pt>
                <c:pt idx="195">
                  <c:v>1.4036747942109984</c:v>
                </c:pt>
                <c:pt idx="196">
                  <c:v>1.4147734871554039</c:v>
                </c:pt>
                <c:pt idx="197">
                  <c:v>1.4259473442770725</c:v>
                </c:pt>
                <c:pt idx="198">
                  <c:v>1.4371966933123841</c:v>
                </c:pt>
                <c:pt idx="199">
                  <c:v>1.4485218649949667</c:v>
                </c:pt>
                <c:pt idx="200">
                  <c:v>1.4599231930821341</c:v>
                </c:pt>
              </c:numCache>
            </c:numRef>
          </c:val>
          <c:smooth val="0"/>
          <c:extLst>
            <c:ext xmlns:c16="http://schemas.microsoft.com/office/drawing/2014/chart" uri="{C3380CC4-5D6E-409C-BE32-E72D297353CC}">
              <c16:uniqueId val="{00000001-0753-4E64-999C-F6099B0F0E47}"/>
            </c:ext>
          </c:extLst>
        </c:ser>
        <c:ser>
          <c:idx val="2"/>
          <c:order val="2"/>
          <c:tx>
            <c:v> High-Side MOSFET Loss</c:v>
          </c:tx>
          <c:spPr>
            <a:ln w="38100">
              <a:solidFill>
                <a:srgbClr val="808000"/>
              </a:solidFill>
              <a:prstDash val="sysDash"/>
            </a:ln>
          </c:spPr>
          <c:marker>
            <c:symbol val="none"/>
          </c:marker>
          <c:cat>
            <c:numRef>
              <c:f>'Power Calculations'!$H$9:$H$209</c:f>
              <c:numCache>
                <c:formatCode>General</c:formatCode>
                <c:ptCount val="201"/>
                <c:pt idx="0">
                  <c:v>0</c:v>
                </c:pt>
                <c:pt idx="1">
                  <c:v>4.4999999999999998E-2</c:v>
                </c:pt>
                <c:pt idx="2">
                  <c:v>0.09</c:v>
                </c:pt>
                <c:pt idx="3">
                  <c:v>0.13500000000000001</c:v>
                </c:pt>
                <c:pt idx="4">
                  <c:v>0.18</c:v>
                </c:pt>
                <c:pt idx="5">
                  <c:v>0.22500000000000001</c:v>
                </c:pt>
                <c:pt idx="6">
                  <c:v>0.27</c:v>
                </c:pt>
                <c:pt idx="7">
                  <c:v>0.31500000000000006</c:v>
                </c:pt>
                <c:pt idx="8">
                  <c:v>0.36</c:v>
                </c:pt>
                <c:pt idx="9">
                  <c:v>0.40499999999999997</c:v>
                </c:pt>
                <c:pt idx="10">
                  <c:v>0.45</c:v>
                </c:pt>
                <c:pt idx="11">
                  <c:v>0.495</c:v>
                </c:pt>
                <c:pt idx="12">
                  <c:v>0.54</c:v>
                </c:pt>
                <c:pt idx="13">
                  <c:v>0.58499999999999996</c:v>
                </c:pt>
                <c:pt idx="14">
                  <c:v>0.63000000000000012</c:v>
                </c:pt>
                <c:pt idx="15">
                  <c:v>0.67499999999999993</c:v>
                </c:pt>
                <c:pt idx="16">
                  <c:v>0.72</c:v>
                </c:pt>
                <c:pt idx="17">
                  <c:v>0.76500000000000001</c:v>
                </c:pt>
                <c:pt idx="18">
                  <c:v>0.80999999999999994</c:v>
                </c:pt>
                <c:pt idx="19">
                  <c:v>0.85499999999999998</c:v>
                </c:pt>
                <c:pt idx="20">
                  <c:v>0.9</c:v>
                </c:pt>
                <c:pt idx="21">
                  <c:v>0.94499999999999995</c:v>
                </c:pt>
                <c:pt idx="22">
                  <c:v>0.99</c:v>
                </c:pt>
                <c:pt idx="23">
                  <c:v>1.0350000000000001</c:v>
                </c:pt>
                <c:pt idx="24">
                  <c:v>1.08</c:v>
                </c:pt>
                <c:pt idx="25">
                  <c:v>1.125</c:v>
                </c:pt>
                <c:pt idx="26">
                  <c:v>1.17</c:v>
                </c:pt>
                <c:pt idx="27">
                  <c:v>1.2150000000000001</c:v>
                </c:pt>
                <c:pt idx="28">
                  <c:v>1.2600000000000002</c:v>
                </c:pt>
                <c:pt idx="29">
                  <c:v>1.3049999999999999</c:v>
                </c:pt>
                <c:pt idx="30">
                  <c:v>1.3499999999999999</c:v>
                </c:pt>
                <c:pt idx="31">
                  <c:v>1.395</c:v>
                </c:pt>
                <c:pt idx="32">
                  <c:v>1.44</c:v>
                </c:pt>
                <c:pt idx="33">
                  <c:v>1.4850000000000001</c:v>
                </c:pt>
                <c:pt idx="34">
                  <c:v>1.53</c:v>
                </c:pt>
                <c:pt idx="35">
                  <c:v>1.575</c:v>
                </c:pt>
                <c:pt idx="36">
                  <c:v>1.6199999999999999</c:v>
                </c:pt>
                <c:pt idx="37">
                  <c:v>1.665</c:v>
                </c:pt>
                <c:pt idx="38">
                  <c:v>1.71</c:v>
                </c:pt>
                <c:pt idx="39">
                  <c:v>1.7550000000000001</c:v>
                </c:pt>
                <c:pt idx="40">
                  <c:v>1.8</c:v>
                </c:pt>
                <c:pt idx="41">
                  <c:v>1.845</c:v>
                </c:pt>
                <c:pt idx="42">
                  <c:v>1.89</c:v>
                </c:pt>
                <c:pt idx="43">
                  <c:v>1.9350000000000001</c:v>
                </c:pt>
                <c:pt idx="44">
                  <c:v>1.98</c:v>
                </c:pt>
                <c:pt idx="45">
                  <c:v>2.0249999999999999</c:v>
                </c:pt>
                <c:pt idx="46">
                  <c:v>2.0700000000000003</c:v>
                </c:pt>
                <c:pt idx="47">
                  <c:v>2.1149999999999998</c:v>
                </c:pt>
                <c:pt idx="48">
                  <c:v>2.16</c:v>
                </c:pt>
                <c:pt idx="49">
                  <c:v>2.2050000000000001</c:v>
                </c:pt>
                <c:pt idx="50">
                  <c:v>2.25</c:v>
                </c:pt>
                <c:pt idx="51">
                  <c:v>2.2949999999999999</c:v>
                </c:pt>
                <c:pt idx="52">
                  <c:v>2.34</c:v>
                </c:pt>
                <c:pt idx="53">
                  <c:v>2.3850000000000002</c:v>
                </c:pt>
                <c:pt idx="54">
                  <c:v>2.4300000000000002</c:v>
                </c:pt>
                <c:pt idx="55">
                  <c:v>2.4750000000000001</c:v>
                </c:pt>
                <c:pt idx="56">
                  <c:v>2.5200000000000005</c:v>
                </c:pt>
                <c:pt idx="57">
                  <c:v>2.5649999999999999</c:v>
                </c:pt>
                <c:pt idx="58">
                  <c:v>2.61</c:v>
                </c:pt>
                <c:pt idx="59">
                  <c:v>2.6549999999999998</c:v>
                </c:pt>
                <c:pt idx="60">
                  <c:v>2.6999999999999997</c:v>
                </c:pt>
                <c:pt idx="61">
                  <c:v>2.7450000000000001</c:v>
                </c:pt>
                <c:pt idx="62">
                  <c:v>2.79</c:v>
                </c:pt>
                <c:pt idx="63">
                  <c:v>2.835</c:v>
                </c:pt>
                <c:pt idx="64">
                  <c:v>2.88</c:v>
                </c:pt>
                <c:pt idx="65">
                  <c:v>2.9250000000000003</c:v>
                </c:pt>
                <c:pt idx="66">
                  <c:v>2.97</c:v>
                </c:pt>
                <c:pt idx="67">
                  <c:v>3.0150000000000001</c:v>
                </c:pt>
                <c:pt idx="68">
                  <c:v>3.06</c:v>
                </c:pt>
                <c:pt idx="69">
                  <c:v>3.1049999999999995</c:v>
                </c:pt>
                <c:pt idx="70">
                  <c:v>3.15</c:v>
                </c:pt>
                <c:pt idx="71">
                  <c:v>3.1949999999999998</c:v>
                </c:pt>
                <c:pt idx="72">
                  <c:v>3.2399999999999998</c:v>
                </c:pt>
                <c:pt idx="73">
                  <c:v>3.2850000000000001</c:v>
                </c:pt>
                <c:pt idx="74">
                  <c:v>3.33</c:v>
                </c:pt>
                <c:pt idx="75">
                  <c:v>3.375</c:v>
                </c:pt>
                <c:pt idx="76">
                  <c:v>3.42</c:v>
                </c:pt>
                <c:pt idx="77">
                  <c:v>3.4649999999999999</c:v>
                </c:pt>
                <c:pt idx="78">
                  <c:v>3.5100000000000002</c:v>
                </c:pt>
                <c:pt idx="79">
                  <c:v>3.5550000000000002</c:v>
                </c:pt>
                <c:pt idx="80">
                  <c:v>3.6</c:v>
                </c:pt>
                <c:pt idx="81">
                  <c:v>3.6450000000000005</c:v>
                </c:pt>
                <c:pt idx="82">
                  <c:v>3.69</c:v>
                </c:pt>
                <c:pt idx="83">
                  <c:v>3.7349999999999999</c:v>
                </c:pt>
                <c:pt idx="84">
                  <c:v>3.78</c:v>
                </c:pt>
                <c:pt idx="85">
                  <c:v>3.8249999999999997</c:v>
                </c:pt>
                <c:pt idx="86">
                  <c:v>3.87</c:v>
                </c:pt>
                <c:pt idx="87">
                  <c:v>3.915</c:v>
                </c:pt>
                <c:pt idx="88">
                  <c:v>3.96</c:v>
                </c:pt>
                <c:pt idx="89">
                  <c:v>4.0049999999999999</c:v>
                </c:pt>
                <c:pt idx="90">
                  <c:v>4.05</c:v>
                </c:pt>
                <c:pt idx="91">
                  <c:v>4.0949999999999998</c:v>
                </c:pt>
                <c:pt idx="92">
                  <c:v>4.1400000000000006</c:v>
                </c:pt>
                <c:pt idx="93">
                  <c:v>4.1850000000000005</c:v>
                </c:pt>
                <c:pt idx="94">
                  <c:v>4.2299999999999995</c:v>
                </c:pt>
                <c:pt idx="95">
                  <c:v>4.2749999999999995</c:v>
                </c:pt>
                <c:pt idx="96">
                  <c:v>4.32</c:v>
                </c:pt>
                <c:pt idx="97">
                  <c:v>4.3650000000000002</c:v>
                </c:pt>
                <c:pt idx="98">
                  <c:v>4.41</c:v>
                </c:pt>
                <c:pt idx="99">
                  <c:v>4.4550000000000001</c:v>
                </c:pt>
                <c:pt idx="100">
                  <c:v>4.5</c:v>
                </c:pt>
                <c:pt idx="101">
                  <c:v>4.5449999999999999</c:v>
                </c:pt>
                <c:pt idx="102">
                  <c:v>4.59</c:v>
                </c:pt>
                <c:pt idx="103">
                  <c:v>4.6349999999999998</c:v>
                </c:pt>
                <c:pt idx="104">
                  <c:v>4.68</c:v>
                </c:pt>
                <c:pt idx="105">
                  <c:v>4.7250000000000005</c:v>
                </c:pt>
                <c:pt idx="106">
                  <c:v>4.7700000000000005</c:v>
                </c:pt>
                <c:pt idx="107">
                  <c:v>4.8150000000000004</c:v>
                </c:pt>
                <c:pt idx="108">
                  <c:v>4.8600000000000003</c:v>
                </c:pt>
                <c:pt idx="109">
                  <c:v>4.9050000000000002</c:v>
                </c:pt>
                <c:pt idx="110">
                  <c:v>4.95</c:v>
                </c:pt>
                <c:pt idx="111">
                  <c:v>4.9950000000000001</c:v>
                </c:pt>
                <c:pt idx="112">
                  <c:v>5.0400000000000009</c:v>
                </c:pt>
                <c:pt idx="113">
                  <c:v>5.0849999999999991</c:v>
                </c:pt>
                <c:pt idx="114">
                  <c:v>5.13</c:v>
                </c:pt>
                <c:pt idx="115">
                  <c:v>5.1749999999999998</c:v>
                </c:pt>
                <c:pt idx="116">
                  <c:v>5.22</c:v>
                </c:pt>
                <c:pt idx="117">
                  <c:v>5.2649999999999997</c:v>
                </c:pt>
                <c:pt idx="118">
                  <c:v>5.31</c:v>
                </c:pt>
                <c:pt idx="119">
                  <c:v>5.3549999999999995</c:v>
                </c:pt>
                <c:pt idx="120">
                  <c:v>5.3999999999999995</c:v>
                </c:pt>
                <c:pt idx="121">
                  <c:v>5.4450000000000003</c:v>
                </c:pt>
                <c:pt idx="122">
                  <c:v>5.49</c:v>
                </c:pt>
                <c:pt idx="123">
                  <c:v>5.5350000000000001</c:v>
                </c:pt>
                <c:pt idx="124">
                  <c:v>5.58</c:v>
                </c:pt>
                <c:pt idx="125">
                  <c:v>5.625</c:v>
                </c:pt>
                <c:pt idx="126">
                  <c:v>5.67</c:v>
                </c:pt>
                <c:pt idx="127">
                  <c:v>5.7149999999999999</c:v>
                </c:pt>
                <c:pt idx="128">
                  <c:v>5.76</c:v>
                </c:pt>
                <c:pt idx="129">
                  <c:v>5.8049999999999997</c:v>
                </c:pt>
                <c:pt idx="130">
                  <c:v>5.8500000000000005</c:v>
                </c:pt>
                <c:pt idx="131">
                  <c:v>5.8950000000000005</c:v>
                </c:pt>
                <c:pt idx="132">
                  <c:v>5.94</c:v>
                </c:pt>
                <c:pt idx="133">
                  <c:v>5.9850000000000003</c:v>
                </c:pt>
                <c:pt idx="134">
                  <c:v>6.03</c:v>
                </c:pt>
                <c:pt idx="135">
                  <c:v>6.0750000000000002</c:v>
                </c:pt>
                <c:pt idx="136">
                  <c:v>6.12</c:v>
                </c:pt>
                <c:pt idx="137">
                  <c:v>6.1650000000000009</c:v>
                </c:pt>
                <c:pt idx="138">
                  <c:v>6.2099999999999991</c:v>
                </c:pt>
                <c:pt idx="139">
                  <c:v>6.2549999999999999</c:v>
                </c:pt>
                <c:pt idx="140">
                  <c:v>6.3</c:v>
                </c:pt>
                <c:pt idx="141">
                  <c:v>6.3449999999999998</c:v>
                </c:pt>
                <c:pt idx="142">
                  <c:v>6.39</c:v>
                </c:pt>
                <c:pt idx="143">
                  <c:v>6.4349999999999996</c:v>
                </c:pt>
                <c:pt idx="144">
                  <c:v>6.4799999999999995</c:v>
                </c:pt>
                <c:pt idx="145">
                  <c:v>6.5249999999999995</c:v>
                </c:pt>
                <c:pt idx="146">
                  <c:v>6.57</c:v>
                </c:pt>
                <c:pt idx="147">
                  <c:v>6.6150000000000002</c:v>
                </c:pt>
                <c:pt idx="148">
                  <c:v>6.66</c:v>
                </c:pt>
                <c:pt idx="149">
                  <c:v>6.7050000000000001</c:v>
                </c:pt>
                <c:pt idx="150">
                  <c:v>6.75</c:v>
                </c:pt>
                <c:pt idx="151">
                  <c:v>6.7949999999999999</c:v>
                </c:pt>
                <c:pt idx="152">
                  <c:v>6.84</c:v>
                </c:pt>
                <c:pt idx="153">
                  <c:v>6.8849999999999998</c:v>
                </c:pt>
                <c:pt idx="154">
                  <c:v>6.93</c:v>
                </c:pt>
                <c:pt idx="155">
                  <c:v>6.9750000000000005</c:v>
                </c:pt>
                <c:pt idx="156">
                  <c:v>7.0200000000000005</c:v>
                </c:pt>
                <c:pt idx="157">
                  <c:v>7.0650000000000004</c:v>
                </c:pt>
                <c:pt idx="158">
                  <c:v>7.11</c:v>
                </c:pt>
                <c:pt idx="159">
                  <c:v>7.1550000000000002</c:v>
                </c:pt>
                <c:pt idx="160">
                  <c:v>7.2</c:v>
                </c:pt>
                <c:pt idx="161">
                  <c:v>7.2450000000000001</c:v>
                </c:pt>
                <c:pt idx="162">
                  <c:v>7.2900000000000009</c:v>
                </c:pt>
                <c:pt idx="163">
                  <c:v>7.3349999999999991</c:v>
                </c:pt>
                <c:pt idx="164">
                  <c:v>7.38</c:v>
                </c:pt>
                <c:pt idx="165">
                  <c:v>7.4249999999999998</c:v>
                </c:pt>
                <c:pt idx="166">
                  <c:v>7.47</c:v>
                </c:pt>
                <c:pt idx="167">
                  <c:v>7.5149999999999997</c:v>
                </c:pt>
                <c:pt idx="168">
                  <c:v>7.56</c:v>
                </c:pt>
                <c:pt idx="169">
                  <c:v>7.6049999999999995</c:v>
                </c:pt>
                <c:pt idx="170">
                  <c:v>7.6499999999999995</c:v>
                </c:pt>
                <c:pt idx="171">
                  <c:v>7.6950000000000003</c:v>
                </c:pt>
                <c:pt idx="172">
                  <c:v>7.74</c:v>
                </c:pt>
                <c:pt idx="173">
                  <c:v>7.7850000000000001</c:v>
                </c:pt>
                <c:pt idx="174">
                  <c:v>7.83</c:v>
                </c:pt>
                <c:pt idx="175">
                  <c:v>7.875</c:v>
                </c:pt>
                <c:pt idx="176">
                  <c:v>7.92</c:v>
                </c:pt>
                <c:pt idx="177">
                  <c:v>7.9649999999999999</c:v>
                </c:pt>
                <c:pt idx="178">
                  <c:v>8.01</c:v>
                </c:pt>
                <c:pt idx="179">
                  <c:v>8.0549999999999997</c:v>
                </c:pt>
                <c:pt idx="180">
                  <c:v>8.1</c:v>
                </c:pt>
                <c:pt idx="181">
                  <c:v>8.1449999999999996</c:v>
                </c:pt>
                <c:pt idx="182">
                  <c:v>8.19</c:v>
                </c:pt>
                <c:pt idx="183">
                  <c:v>8.2349999999999994</c:v>
                </c:pt>
                <c:pt idx="184">
                  <c:v>8.2800000000000011</c:v>
                </c:pt>
                <c:pt idx="185">
                  <c:v>8.3250000000000011</c:v>
                </c:pt>
                <c:pt idx="186">
                  <c:v>8.370000000000001</c:v>
                </c:pt>
                <c:pt idx="187">
                  <c:v>8.4150000000000009</c:v>
                </c:pt>
                <c:pt idx="188">
                  <c:v>8.4599999999999991</c:v>
                </c:pt>
                <c:pt idx="189">
                  <c:v>8.504999999999999</c:v>
                </c:pt>
                <c:pt idx="190">
                  <c:v>8.5499999999999989</c:v>
                </c:pt>
                <c:pt idx="191">
                  <c:v>8.5949999999999989</c:v>
                </c:pt>
                <c:pt idx="192">
                  <c:v>8.64</c:v>
                </c:pt>
                <c:pt idx="193">
                  <c:v>8.6850000000000005</c:v>
                </c:pt>
                <c:pt idx="194">
                  <c:v>8.73</c:v>
                </c:pt>
                <c:pt idx="195">
                  <c:v>8.7750000000000004</c:v>
                </c:pt>
                <c:pt idx="196">
                  <c:v>8.82</c:v>
                </c:pt>
                <c:pt idx="197">
                  <c:v>8.8650000000000002</c:v>
                </c:pt>
                <c:pt idx="198">
                  <c:v>8.91</c:v>
                </c:pt>
                <c:pt idx="199">
                  <c:v>8.9550000000000001</c:v>
                </c:pt>
                <c:pt idx="200">
                  <c:v>9</c:v>
                </c:pt>
              </c:numCache>
            </c:numRef>
          </c:cat>
          <c:val>
            <c:numRef>
              <c:f>'Power Calculations'!$AC$9:$AC$209</c:f>
              <c:numCache>
                <c:formatCode>0.0000</c:formatCode>
                <c:ptCount val="201"/>
                <c:pt idx="0">
                  <c:v>2.749893304751411E-2</c:v>
                </c:pt>
                <c:pt idx="1">
                  <c:v>2.7662616738596622E-2</c:v>
                </c:pt>
                <c:pt idx="2">
                  <c:v>3.589880757969946E-2</c:v>
                </c:pt>
                <c:pt idx="3">
                  <c:v>4.4064850595160014E-2</c:v>
                </c:pt>
                <c:pt idx="4">
                  <c:v>5.216093962349648E-2</c:v>
                </c:pt>
                <c:pt idx="5">
                  <c:v>6.0187265451852816E-2</c:v>
                </c:pt>
                <c:pt idx="6">
                  <c:v>6.8144015828263113E-2</c:v>
                </c:pt>
                <c:pt idx="7">
                  <c:v>7.6031375473583962E-2</c:v>
                </c:pt>
                <c:pt idx="8">
                  <c:v>8.3849526093097815E-2</c:v>
                </c:pt>
                <c:pt idx="9">
                  <c:v>9.1598646387788432E-2</c:v>
                </c:pt>
                <c:pt idx="10">
                  <c:v>9.9278912065289313E-2</c:v>
                </c:pt>
                <c:pt idx="11">
                  <c:v>0.10689049585050746</c:v>
                </c:pt>
                <c:pt idx="12">
                  <c:v>0.11443356749592297</c:v>
                </c:pt>
                <c:pt idx="13">
                  <c:v>0.1219082937915659</c:v>
                </c:pt>
                <c:pt idx="14">
                  <c:v>0.1293148385746718</c:v>
                </c:pt>
                <c:pt idx="15">
                  <c:v>0.13665336273901632</c:v>
                </c:pt>
                <c:pt idx="16">
                  <c:v>0.14392402424393136</c:v>
                </c:pt>
                <c:pt idx="17">
                  <c:v>0.15112697812300141</c:v>
                </c:pt>
                <c:pt idx="18">
                  <c:v>0.15826237649244329</c:v>
                </c:pt>
                <c:pt idx="19">
                  <c:v>0.16533036855916927</c:v>
                </c:pt>
                <c:pt idx="20">
                  <c:v>0.17233110062853288</c:v>
                </c:pt>
                <c:pt idx="21">
                  <c:v>0.17926471611176101</c:v>
                </c:pt>
                <c:pt idx="22">
                  <c:v>0.1861313555330705</c:v>
                </c:pt>
                <c:pt idx="23">
                  <c:v>0.1929311565364705</c:v>
                </c:pt>
                <c:pt idx="24">
                  <c:v>0.19966425389225195</c:v>
                </c:pt>
                <c:pt idx="25">
                  <c:v>0.20454576481179448</c:v>
                </c:pt>
                <c:pt idx="26">
                  <c:v>0.20704602367746164</c:v>
                </c:pt>
                <c:pt idx="27">
                  <c:v>0.20959390502177533</c:v>
                </c:pt>
                <c:pt idx="28">
                  <c:v>0.2121895099527816</c:v>
                </c:pt>
                <c:pt idx="29">
                  <c:v>0.21483294185659649</c:v>
                </c:pt>
                <c:pt idx="30">
                  <c:v>0.21752430640874712</c:v>
                </c:pt>
                <c:pt idx="31">
                  <c:v>0.22026371158579292</c:v>
                </c:pt>
                <c:pt idx="32">
                  <c:v>0.22305126767722916</c:v>
                </c:pt>
                <c:pt idx="33">
                  <c:v>0.22588708729767557</c:v>
                </c:pt>
                <c:pt idx="34">
                  <c:v>0.22877128539935246</c:v>
                </c:pt>
                <c:pt idx="35">
                  <c:v>0.23170397928484687</c:v>
                </c:pt>
                <c:pt idx="36">
                  <c:v>0.23468528862017199</c:v>
                </c:pt>
                <c:pt idx="37">
                  <c:v>0.23771533544812187</c:v>
                </c:pt>
                <c:pt idx="38">
                  <c:v>0.24079424420192544</c:v>
                </c:pt>
                <c:pt idx="39">
                  <c:v>0.24392214171920121</c:v>
                </c:pt>
                <c:pt idx="40">
                  <c:v>0.24709915725621767</c:v>
                </c:pt>
                <c:pt idx="41">
                  <c:v>0.25032542250246009</c:v>
                </c:pt>
                <c:pt idx="42">
                  <c:v>0.25360107159550921</c:v>
                </c:pt>
                <c:pt idx="43">
                  <c:v>0.25692624113623375</c:v>
                </c:pt>
                <c:pt idx="44">
                  <c:v>0.26030107020429971</c:v>
                </c:pt>
                <c:pt idx="45">
                  <c:v>0.26372570037400167</c:v>
                </c:pt>
                <c:pt idx="46">
                  <c:v>0.26720027573041732</c:v>
                </c:pt>
                <c:pt idx="47">
                  <c:v>0.27072494288589005</c:v>
                </c:pt>
                <c:pt idx="48">
                  <c:v>0.2742998509968439</c:v>
                </c:pt>
                <c:pt idx="49">
                  <c:v>0.27792515178093236</c:v>
                </c:pt>
                <c:pt idx="50">
                  <c:v>0.28160099953452711</c:v>
                </c:pt>
                <c:pt idx="51">
                  <c:v>0.2853275511505497</c:v>
                </c:pt>
                <c:pt idx="52">
                  <c:v>0.28910496613664965</c:v>
                </c:pt>
                <c:pt idx="53">
                  <c:v>0.29293340663373385</c:v>
                </c:pt>
                <c:pt idx="54">
                  <c:v>0.29681303743485082</c:v>
                </c:pt>
                <c:pt idx="55">
                  <c:v>0.30074402600443495</c:v>
                </c:pt>
                <c:pt idx="56">
                  <c:v>0.30472654249791409</c:v>
                </c:pt>
                <c:pt idx="57">
                  <c:v>0.3087607597816846</c:v>
                </c:pt>
                <c:pt idx="58">
                  <c:v>0.3128468534534613</c:v>
                </c:pt>
                <c:pt idx="59">
                  <c:v>0.31698500186300177</c:v>
                </c:pt>
                <c:pt idx="60">
                  <c:v>0.32117538613321578</c:v>
                </c:pt>
                <c:pt idx="61">
                  <c:v>0.32541819018165918</c:v>
                </c:pt>
                <c:pt idx="62">
                  <c:v>0.32971360074242129</c:v>
                </c:pt>
                <c:pt idx="63">
                  <c:v>0.33406180738840863</c:v>
                </c:pt>
                <c:pt idx="64">
                  <c:v>0.33846300255403106</c:v>
                </c:pt>
                <c:pt idx="65">
                  <c:v>0.34291738155829438</c:v>
                </c:pt>
                <c:pt idx="66">
                  <c:v>0.34742514262830737</c:v>
                </c:pt>
                <c:pt idx="67">
                  <c:v>0.35198648692320522</c:v>
                </c:pt>
                <c:pt idx="68">
                  <c:v>0.35660161855849848</c:v>
                </c:pt>
                <c:pt idx="69">
                  <c:v>0.36127074463085013</c:v>
                </c:pt>
                <c:pt idx="70">
                  <c:v>0.36599407524328947</c:v>
                </c:pt>
                <c:pt idx="71">
                  <c:v>0.3707718235308663</c:v>
                </c:pt>
                <c:pt idx="72">
                  <c:v>0.37560420568675312</c:v>
                </c:pt>
                <c:pt idx="73">
                  <c:v>0.38049144098880155</c:v>
                </c:pt>
                <c:pt idx="74">
                  <c:v>0.38543375182655781</c:v>
                </c:pt>
                <c:pt idx="75">
                  <c:v>0.39043136372874537</c:v>
                </c:pt>
                <c:pt idx="76">
                  <c:v>0.39548450539122093</c:v>
                </c:pt>
                <c:pt idx="77">
                  <c:v>0.40059340870541021</c:v>
                </c:pt>
                <c:pt idx="78">
                  <c:v>0.40575830878723068</c:v>
                </c:pt>
                <c:pt idx="79">
                  <c:v>0.4109794440065076</c:v>
                </c:pt>
                <c:pt idx="80">
                  <c:v>0.41625705601689245</c:v>
                </c:pt>
                <c:pt idx="81">
                  <c:v>0.42159138978628807</c:v>
                </c:pt>
                <c:pt idx="82">
                  <c:v>0.42698269362779162</c:v>
                </c:pt>
                <c:pt idx="83">
                  <c:v>0.43243121923115996</c:v>
                </c:pt>
                <c:pt idx="84">
                  <c:v>0.4379372216948062</c:v>
                </c:pt>
                <c:pt idx="85">
                  <c:v>0.44350095955833618</c:v>
                </c:pt>
                <c:pt idx="86">
                  <c:v>0.44912269483563283</c:v>
                </c:pt>
                <c:pt idx="87">
                  <c:v>0.4548026930484948</c:v>
                </c:pt>
                <c:pt idx="88">
                  <c:v>0.46054122326084146</c:v>
                </c:pt>
                <c:pt idx="89">
                  <c:v>0.46633855811348823</c:v>
                </c:pt>
                <c:pt idx="90">
                  <c:v>0.47219497385950626</c:v>
                </c:pt>
                <c:pt idx="91">
                  <c:v>0.47811075040017081</c:v>
                </c:pt>
                <c:pt idx="92">
                  <c:v>0.48408617132151094</c:v>
                </c:pt>
                <c:pt idx="93">
                  <c:v>0.49012152393146613</c:v>
                </c:pt>
                <c:pt idx="94">
                  <c:v>0.49621709929766628</c:v>
                </c:pt>
                <c:pt idx="95">
                  <c:v>0.5023731922858351</c:v>
                </c:pt>
                <c:pt idx="96">
                  <c:v>0.508590101598836</c:v>
                </c:pt>
                <c:pt idx="97">
                  <c:v>0.5148681298163641</c:v>
                </c:pt>
                <c:pt idx="98">
                  <c:v>0.52120758343529994</c:v>
                </c:pt>
                <c:pt idx="99">
                  <c:v>0.52760877291073072</c:v>
                </c:pt>
                <c:pt idx="100">
                  <c:v>0.53407201269765425</c:v>
                </c:pt>
                <c:pt idx="101">
                  <c:v>0.5405976212933723</c:v>
                </c:pt>
                <c:pt idx="102">
                  <c:v>0.54718592128058896</c:v>
                </c:pt>
                <c:pt idx="103">
                  <c:v>0.55383723937122253</c:v>
                </c:pt>
                <c:pt idx="104">
                  <c:v>0.56055190645094377</c:v>
                </c:pt>
                <c:pt idx="105">
                  <c:v>0.56733025762445255</c:v>
                </c:pt>
                <c:pt idx="106">
                  <c:v>0.57417263226150528</c:v>
                </c:pt>
                <c:pt idx="107">
                  <c:v>0.58107937404370424</c:v>
                </c:pt>
                <c:pt idx="108">
                  <c:v>0.58805083101206457</c:v>
                </c:pt>
                <c:pt idx="109">
                  <c:v>0.5950873556153693</c:v>
                </c:pt>
                <c:pt idx="110">
                  <c:v>0.60218930475932486</c:v>
                </c:pt>
                <c:pt idx="111">
                  <c:v>0.60935703985653644</c:v>
                </c:pt>
                <c:pt idx="112">
                  <c:v>0.61659092687730832</c:v>
                </c:pt>
                <c:pt idx="113">
                  <c:v>0.6238913364012908</c:v>
                </c:pt>
                <c:pt idx="114">
                  <c:v>0.63125864366998752</c:v>
                </c:pt>
                <c:pt idx="115">
                  <c:v>0.63869322864012945</c:v>
                </c:pt>
                <c:pt idx="116">
                  <c:v>0.64619547603794436</c:v>
                </c:pt>
                <c:pt idx="117">
                  <c:v>0.6537657754143249</c:v>
                </c:pt>
                <c:pt idx="118">
                  <c:v>0.66140452120091886</c:v>
                </c:pt>
                <c:pt idx="119">
                  <c:v>0.66911211276715343</c:v>
                </c:pt>
                <c:pt idx="120">
                  <c:v>0.67688895447821273</c:v>
                </c:pt>
                <c:pt idx="121">
                  <c:v>0.6847354557539822</c:v>
                </c:pt>
                <c:pt idx="122">
                  <c:v>0.69265203112898144</c:v>
                </c:pt>
                <c:pt idx="123">
                  <c:v>0.70063910031329757</c:v>
                </c:pt>
                <c:pt idx="124">
                  <c:v>0.70869708825454214</c:v>
                </c:pt>
                <c:pt idx="125">
                  <c:v>0.71682642520084705</c:v>
                </c:pt>
                <c:pt idx="126">
                  <c:v>0.72502754676491676</c:v>
                </c:pt>
                <c:pt idx="127">
                  <c:v>0.73330089398916221</c:v>
                </c:pt>
                <c:pt idx="128">
                  <c:v>0.74164691341192501</c:v>
                </c:pt>
                <c:pt idx="129">
                  <c:v>0.75006605713482499</c:v>
                </c:pt>
                <c:pt idx="130">
                  <c:v>0.75855878289124146</c:v>
                </c:pt>
                <c:pt idx="131">
                  <c:v>0.76712555411595107</c:v>
                </c:pt>
                <c:pt idx="132">
                  <c:v>0.7757668400159472</c:v>
                </c:pt>
                <c:pt idx="133">
                  <c:v>0.78448311564246009</c:v>
                </c:pt>
                <c:pt idx="134">
                  <c:v>0.79327486196419805</c:v>
                </c:pt>
                <c:pt idx="135">
                  <c:v>0.80214256594183542</c:v>
                </c:pt>
                <c:pt idx="136">
                  <c:v>0.81108672060376952</c:v>
                </c:pt>
                <c:pt idx="137">
                  <c:v>0.82010782512317015</c:v>
                </c:pt>
                <c:pt idx="138">
                  <c:v>0.82920638489634424</c:v>
                </c:pt>
                <c:pt idx="139">
                  <c:v>0.83838291162244516</c:v>
                </c:pt>
                <c:pt idx="140">
                  <c:v>0.84763792338454558</c:v>
                </c:pt>
                <c:pt idx="141">
                  <c:v>0.85697194473210392</c:v>
                </c:pt>
                <c:pt idx="142">
                  <c:v>0.86638550676485215</c:v>
                </c:pt>
                <c:pt idx="143">
                  <c:v>0.87587914721812488</c:v>
                </c:pt>
                <c:pt idx="144">
                  <c:v>0.88545341054966831</c:v>
                </c:pt>
                <c:pt idx="145">
                  <c:v>0.89510884802794555</c:v>
                </c:pt>
                <c:pt idx="146">
                  <c:v>0.90484601782197593</c:v>
                </c:pt>
                <c:pt idx="147">
                  <c:v>0.9146654850927356</c:v>
                </c:pt>
                <c:pt idx="148">
                  <c:v>0.92456782208614585</c:v>
                </c:pt>
                <c:pt idx="149">
                  <c:v>0.93455360822768707</c:v>
                </c:pt>
                <c:pt idx="150">
                  <c:v>0.94462343021866013</c:v>
                </c:pt>
                <c:pt idx="151">
                  <c:v>0.95477788213414028</c:v>
                </c:pt>
                <c:pt idx="152">
                  <c:v>0.96501756552264617</c:v>
                </c:pt>
                <c:pt idx="153">
                  <c:v>0.97534308950756021</c:v>
                </c:pt>
                <c:pt idx="154">
                  <c:v>0.98575507089033976</c:v>
                </c:pt>
                <c:pt idx="155">
                  <c:v>0.99625413425554754</c:v>
                </c:pt>
                <c:pt idx="156">
                  <c:v>1.0068409120777435</c:v>
                </c:pt>
                <c:pt idx="157">
                  <c:v>1.0175160448302718</c:v>
                </c:pt>
                <c:pt idx="158">
                  <c:v>1.0282801810959821</c:v>
                </c:pt>
                <c:pt idx="159">
                  <c:v>1.0391339776799229</c:v>
                </c:pt>
                <c:pt idx="160">
                  <c:v>1.0500780997240478</c:v>
                </c:pt>
                <c:pt idx="161">
                  <c:v>1.0611132208239762</c:v>
                </c:pt>
                <c:pt idx="162">
                  <c:v>1.0722400231478486</c:v>
                </c:pt>
                <c:pt idx="163">
                  <c:v>1.0834591975573158</c:v>
                </c:pt>
                <c:pt idx="164">
                  <c:v>1.0947714437307197</c:v>
                </c:pt>
                <c:pt idx="165">
                  <c:v>1.1061774702884846</c:v>
                </c:pt>
                <c:pt idx="166">
                  <c:v>1.1176779949207949</c:v>
                </c:pt>
                <c:pt idx="167">
                  <c:v>1.1292737445175836</c:v>
                </c:pt>
                <c:pt idx="168">
                  <c:v>1.140965455300887</c:v>
                </c:pt>
                <c:pt idx="169">
                  <c:v>1.1527538729596207</c:v>
                </c:pt>
                <c:pt idx="170">
                  <c:v>1.1646397527868149</c:v>
                </c:pt>
                <c:pt idx="171">
                  <c:v>1.1766238598193719</c:v>
                </c:pt>
                <c:pt idx="172">
                  <c:v>1.1887069689803913</c:v>
                </c:pt>
                <c:pt idx="173">
                  <c:v>1.2008898652241202</c:v>
                </c:pt>
                <c:pt idx="174">
                  <c:v>1.2131733436835863</c:v>
                </c:pt>
                <c:pt idx="175">
                  <c:v>1.2255582098209592</c:v>
                </c:pt>
                <c:pt idx="176">
                  <c:v>1.2380452795807169</c:v>
                </c:pt>
                <c:pt idx="177">
                  <c:v>1.250635379545656</c:v>
                </c:pt>
                <c:pt idx="178">
                  <c:v>1.2633293470958264</c:v>
                </c:pt>
                <c:pt idx="179">
                  <c:v>1.2761280305704352</c:v>
                </c:pt>
                <c:pt idx="180">
                  <c:v>1.2890322894327999</c:v>
                </c:pt>
                <c:pt idx="181">
                  <c:v>1.3020429944383998</c:v>
                </c:pt>
                <c:pt idx="182">
                  <c:v>1.3151610278061132</c:v>
                </c:pt>
                <c:pt idx="183">
                  <c:v>1.328387283392688</c:v>
                </c:pt>
                <c:pt idx="184">
                  <c:v>1.3417226668705335</c:v>
                </c:pt>
                <c:pt idx="185">
                  <c:v>1.3551680959088941</c:v>
                </c:pt>
                <c:pt idx="186">
                  <c:v>1.3687245003584885</c:v>
                </c:pt>
                <c:pt idx="187">
                  <c:v>1.3823928224396835</c:v>
                </c:pt>
                <c:pt idx="188">
                  <c:v>1.3961740169342824</c:v>
                </c:pt>
                <c:pt idx="189">
                  <c:v>1.410069051381013</c:v>
                </c:pt>
                <c:pt idx="190">
                  <c:v>1.4240789062747896</c:v>
                </c:pt>
                <c:pt idx="191">
                  <c:v>1.4382045752698394</c:v>
                </c:pt>
                <c:pt idx="192">
                  <c:v>1.4524470653867736</c:v>
                </c:pt>
                <c:pt idx="193">
                  <c:v>1.4668073972237046</c:v>
                </c:pt>
                <c:pt idx="194">
                  <c:v>1.4812866051714766</c:v>
                </c:pt>
                <c:pt idx="195">
                  <c:v>1.4958857376331369</c:v>
                </c:pt>
                <c:pt idx="196">
                  <c:v>1.5106058572477075</c:v>
                </c:pt>
                <c:pt idx="197">
                  <c:v>1.5254480411183826</c:v>
                </c:pt>
                <c:pt idx="198">
                  <c:v>1.5404133810452398</c:v>
                </c:pt>
                <c:pt idx="199">
                  <c:v>1.5555029837625656</c:v>
                </c:pt>
                <c:pt idx="200">
                  <c:v>1.5707179711809229</c:v>
                </c:pt>
              </c:numCache>
            </c:numRef>
          </c:val>
          <c:smooth val="0"/>
          <c:extLst>
            <c:ext xmlns:c16="http://schemas.microsoft.com/office/drawing/2014/chart" uri="{C3380CC4-5D6E-409C-BE32-E72D297353CC}">
              <c16:uniqueId val="{00000002-0753-4E64-999C-F6099B0F0E47}"/>
            </c:ext>
          </c:extLst>
        </c:ser>
        <c:ser>
          <c:idx val="1"/>
          <c:order val="3"/>
          <c:tx>
            <c:v> Low-Side MOSFET Loss</c:v>
          </c:tx>
          <c:spPr>
            <a:ln w="38100">
              <a:solidFill>
                <a:srgbClr val="002060"/>
              </a:solidFill>
              <a:prstDash val="sysDot"/>
            </a:ln>
          </c:spPr>
          <c:marker>
            <c:symbol val="none"/>
          </c:marker>
          <c:cat>
            <c:numRef>
              <c:f>'Power Calculations'!$H$9:$H$209</c:f>
              <c:numCache>
                <c:formatCode>General</c:formatCode>
                <c:ptCount val="201"/>
                <c:pt idx="0">
                  <c:v>0</c:v>
                </c:pt>
                <c:pt idx="1">
                  <c:v>4.4999999999999998E-2</c:v>
                </c:pt>
                <c:pt idx="2">
                  <c:v>0.09</c:v>
                </c:pt>
                <c:pt idx="3">
                  <c:v>0.13500000000000001</c:v>
                </c:pt>
                <c:pt idx="4">
                  <c:v>0.18</c:v>
                </c:pt>
                <c:pt idx="5">
                  <c:v>0.22500000000000001</c:v>
                </c:pt>
                <c:pt idx="6">
                  <c:v>0.27</c:v>
                </c:pt>
                <c:pt idx="7">
                  <c:v>0.31500000000000006</c:v>
                </c:pt>
                <c:pt idx="8">
                  <c:v>0.36</c:v>
                </c:pt>
                <c:pt idx="9">
                  <c:v>0.40499999999999997</c:v>
                </c:pt>
                <c:pt idx="10">
                  <c:v>0.45</c:v>
                </c:pt>
                <c:pt idx="11">
                  <c:v>0.495</c:v>
                </c:pt>
                <c:pt idx="12">
                  <c:v>0.54</c:v>
                </c:pt>
                <c:pt idx="13">
                  <c:v>0.58499999999999996</c:v>
                </c:pt>
                <c:pt idx="14">
                  <c:v>0.63000000000000012</c:v>
                </c:pt>
                <c:pt idx="15">
                  <c:v>0.67499999999999993</c:v>
                </c:pt>
                <c:pt idx="16">
                  <c:v>0.72</c:v>
                </c:pt>
                <c:pt idx="17">
                  <c:v>0.76500000000000001</c:v>
                </c:pt>
                <c:pt idx="18">
                  <c:v>0.80999999999999994</c:v>
                </c:pt>
                <c:pt idx="19">
                  <c:v>0.85499999999999998</c:v>
                </c:pt>
                <c:pt idx="20">
                  <c:v>0.9</c:v>
                </c:pt>
                <c:pt idx="21">
                  <c:v>0.94499999999999995</c:v>
                </c:pt>
                <c:pt idx="22">
                  <c:v>0.99</c:v>
                </c:pt>
                <c:pt idx="23">
                  <c:v>1.0350000000000001</c:v>
                </c:pt>
                <c:pt idx="24">
                  <c:v>1.08</c:v>
                </c:pt>
                <c:pt idx="25">
                  <c:v>1.125</c:v>
                </c:pt>
                <c:pt idx="26">
                  <c:v>1.17</c:v>
                </c:pt>
                <c:pt idx="27">
                  <c:v>1.2150000000000001</c:v>
                </c:pt>
                <c:pt idx="28">
                  <c:v>1.2600000000000002</c:v>
                </c:pt>
                <c:pt idx="29">
                  <c:v>1.3049999999999999</c:v>
                </c:pt>
                <c:pt idx="30">
                  <c:v>1.3499999999999999</c:v>
                </c:pt>
                <c:pt idx="31">
                  <c:v>1.395</c:v>
                </c:pt>
                <c:pt idx="32">
                  <c:v>1.44</c:v>
                </c:pt>
                <c:pt idx="33">
                  <c:v>1.4850000000000001</c:v>
                </c:pt>
                <c:pt idx="34">
                  <c:v>1.53</c:v>
                </c:pt>
                <c:pt idx="35">
                  <c:v>1.575</c:v>
                </c:pt>
                <c:pt idx="36">
                  <c:v>1.6199999999999999</c:v>
                </c:pt>
                <c:pt idx="37">
                  <c:v>1.665</c:v>
                </c:pt>
                <c:pt idx="38">
                  <c:v>1.71</c:v>
                </c:pt>
                <c:pt idx="39">
                  <c:v>1.7550000000000001</c:v>
                </c:pt>
                <c:pt idx="40">
                  <c:v>1.8</c:v>
                </c:pt>
                <c:pt idx="41">
                  <c:v>1.845</c:v>
                </c:pt>
                <c:pt idx="42">
                  <c:v>1.89</c:v>
                </c:pt>
                <c:pt idx="43">
                  <c:v>1.9350000000000001</c:v>
                </c:pt>
                <c:pt idx="44">
                  <c:v>1.98</c:v>
                </c:pt>
                <c:pt idx="45">
                  <c:v>2.0249999999999999</c:v>
                </c:pt>
                <c:pt idx="46">
                  <c:v>2.0700000000000003</c:v>
                </c:pt>
                <c:pt idx="47">
                  <c:v>2.1149999999999998</c:v>
                </c:pt>
                <c:pt idx="48">
                  <c:v>2.16</c:v>
                </c:pt>
                <c:pt idx="49">
                  <c:v>2.2050000000000001</c:v>
                </c:pt>
                <c:pt idx="50">
                  <c:v>2.25</c:v>
                </c:pt>
                <c:pt idx="51">
                  <c:v>2.2949999999999999</c:v>
                </c:pt>
                <c:pt idx="52">
                  <c:v>2.34</c:v>
                </c:pt>
                <c:pt idx="53">
                  <c:v>2.3850000000000002</c:v>
                </c:pt>
                <c:pt idx="54">
                  <c:v>2.4300000000000002</c:v>
                </c:pt>
                <c:pt idx="55">
                  <c:v>2.4750000000000001</c:v>
                </c:pt>
                <c:pt idx="56">
                  <c:v>2.5200000000000005</c:v>
                </c:pt>
                <c:pt idx="57">
                  <c:v>2.5649999999999999</c:v>
                </c:pt>
                <c:pt idx="58">
                  <c:v>2.61</c:v>
                </c:pt>
                <c:pt idx="59">
                  <c:v>2.6549999999999998</c:v>
                </c:pt>
                <c:pt idx="60">
                  <c:v>2.6999999999999997</c:v>
                </c:pt>
                <c:pt idx="61">
                  <c:v>2.7450000000000001</c:v>
                </c:pt>
                <c:pt idx="62">
                  <c:v>2.79</c:v>
                </c:pt>
                <c:pt idx="63">
                  <c:v>2.835</c:v>
                </c:pt>
                <c:pt idx="64">
                  <c:v>2.88</c:v>
                </c:pt>
                <c:pt idx="65">
                  <c:v>2.9250000000000003</c:v>
                </c:pt>
                <c:pt idx="66">
                  <c:v>2.97</c:v>
                </c:pt>
                <c:pt idx="67">
                  <c:v>3.0150000000000001</c:v>
                </c:pt>
                <c:pt idx="68">
                  <c:v>3.06</c:v>
                </c:pt>
                <c:pt idx="69">
                  <c:v>3.1049999999999995</c:v>
                </c:pt>
                <c:pt idx="70">
                  <c:v>3.15</c:v>
                </c:pt>
                <c:pt idx="71">
                  <c:v>3.1949999999999998</c:v>
                </c:pt>
                <c:pt idx="72">
                  <c:v>3.2399999999999998</c:v>
                </c:pt>
                <c:pt idx="73">
                  <c:v>3.2850000000000001</c:v>
                </c:pt>
                <c:pt idx="74">
                  <c:v>3.33</c:v>
                </c:pt>
                <c:pt idx="75">
                  <c:v>3.375</c:v>
                </c:pt>
                <c:pt idx="76">
                  <c:v>3.42</c:v>
                </c:pt>
                <c:pt idx="77">
                  <c:v>3.4649999999999999</c:v>
                </c:pt>
                <c:pt idx="78">
                  <c:v>3.5100000000000002</c:v>
                </c:pt>
                <c:pt idx="79">
                  <c:v>3.5550000000000002</c:v>
                </c:pt>
                <c:pt idx="80">
                  <c:v>3.6</c:v>
                </c:pt>
                <c:pt idx="81">
                  <c:v>3.6450000000000005</c:v>
                </c:pt>
                <c:pt idx="82">
                  <c:v>3.69</c:v>
                </c:pt>
                <c:pt idx="83">
                  <c:v>3.7349999999999999</c:v>
                </c:pt>
                <c:pt idx="84">
                  <c:v>3.78</c:v>
                </c:pt>
                <c:pt idx="85">
                  <c:v>3.8249999999999997</c:v>
                </c:pt>
                <c:pt idx="86">
                  <c:v>3.87</c:v>
                </c:pt>
                <c:pt idx="87">
                  <c:v>3.915</c:v>
                </c:pt>
                <c:pt idx="88">
                  <c:v>3.96</c:v>
                </c:pt>
                <c:pt idx="89">
                  <c:v>4.0049999999999999</c:v>
                </c:pt>
                <c:pt idx="90">
                  <c:v>4.05</c:v>
                </c:pt>
                <c:pt idx="91">
                  <c:v>4.0949999999999998</c:v>
                </c:pt>
                <c:pt idx="92">
                  <c:v>4.1400000000000006</c:v>
                </c:pt>
                <c:pt idx="93">
                  <c:v>4.1850000000000005</c:v>
                </c:pt>
                <c:pt idx="94">
                  <c:v>4.2299999999999995</c:v>
                </c:pt>
                <c:pt idx="95">
                  <c:v>4.2749999999999995</c:v>
                </c:pt>
                <c:pt idx="96">
                  <c:v>4.32</c:v>
                </c:pt>
                <c:pt idx="97">
                  <c:v>4.3650000000000002</c:v>
                </c:pt>
                <c:pt idx="98">
                  <c:v>4.41</c:v>
                </c:pt>
                <c:pt idx="99">
                  <c:v>4.4550000000000001</c:v>
                </c:pt>
                <c:pt idx="100">
                  <c:v>4.5</c:v>
                </c:pt>
                <c:pt idx="101">
                  <c:v>4.5449999999999999</c:v>
                </c:pt>
                <c:pt idx="102">
                  <c:v>4.59</c:v>
                </c:pt>
                <c:pt idx="103">
                  <c:v>4.6349999999999998</c:v>
                </c:pt>
                <c:pt idx="104">
                  <c:v>4.68</c:v>
                </c:pt>
                <c:pt idx="105">
                  <c:v>4.7250000000000005</c:v>
                </c:pt>
                <c:pt idx="106">
                  <c:v>4.7700000000000005</c:v>
                </c:pt>
                <c:pt idx="107">
                  <c:v>4.8150000000000004</c:v>
                </c:pt>
                <c:pt idx="108">
                  <c:v>4.8600000000000003</c:v>
                </c:pt>
                <c:pt idx="109">
                  <c:v>4.9050000000000002</c:v>
                </c:pt>
                <c:pt idx="110">
                  <c:v>4.95</c:v>
                </c:pt>
                <c:pt idx="111">
                  <c:v>4.9950000000000001</c:v>
                </c:pt>
                <c:pt idx="112">
                  <c:v>5.0400000000000009</c:v>
                </c:pt>
                <c:pt idx="113">
                  <c:v>5.0849999999999991</c:v>
                </c:pt>
                <c:pt idx="114">
                  <c:v>5.13</c:v>
                </c:pt>
                <c:pt idx="115">
                  <c:v>5.1749999999999998</c:v>
                </c:pt>
                <c:pt idx="116">
                  <c:v>5.22</c:v>
                </c:pt>
                <c:pt idx="117">
                  <c:v>5.2649999999999997</c:v>
                </c:pt>
                <c:pt idx="118">
                  <c:v>5.31</c:v>
                </c:pt>
                <c:pt idx="119">
                  <c:v>5.3549999999999995</c:v>
                </c:pt>
                <c:pt idx="120">
                  <c:v>5.3999999999999995</c:v>
                </c:pt>
                <c:pt idx="121">
                  <c:v>5.4450000000000003</c:v>
                </c:pt>
                <c:pt idx="122">
                  <c:v>5.49</c:v>
                </c:pt>
                <c:pt idx="123">
                  <c:v>5.5350000000000001</c:v>
                </c:pt>
                <c:pt idx="124">
                  <c:v>5.58</c:v>
                </c:pt>
                <c:pt idx="125">
                  <c:v>5.625</c:v>
                </c:pt>
                <c:pt idx="126">
                  <c:v>5.67</c:v>
                </c:pt>
                <c:pt idx="127">
                  <c:v>5.7149999999999999</c:v>
                </c:pt>
                <c:pt idx="128">
                  <c:v>5.76</c:v>
                </c:pt>
                <c:pt idx="129">
                  <c:v>5.8049999999999997</c:v>
                </c:pt>
                <c:pt idx="130">
                  <c:v>5.8500000000000005</c:v>
                </c:pt>
                <c:pt idx="131">
                  <c:v>5.8950000000000005</c:v>
                </c:pt>
                <c:pt idx="132">
                  <c:v>5.94</c:v>
                </c:pt>
                <c:pt idx="133">
                  <c:v>5.9850000000000003</c:v>
                </c:pt>
                <c:pt idx="134">
                  <c:v>6.03</c:v>
                </c:pt>
                <c:pt idx="135">
                  <c:v>6.0750000000000002</c:v>
                </c:pt>
                <c:pt idx="136">
                  <c:v>6.12</c:v>
                </c:pt>
                <c:pt idx="137">
                  <c:v>6.1650000000000009</c:v>
                </c:pt>
                <c:pt idx="138">
                  <c:v>6.2099999999999991</c:v>
                </c:pt>
                <c:pt idx="139">
                  <c:v>6.2549999999999999</c:v>
                </c:pt>
                <c:pt idx="140">
                  <c:v>6.3</c:v>
                </c:pt>
                <c:pt idx="141">
                  <c:v>6.3449999999999998</c:v>
                </c:pt>
                <c:pt idx="142">
                  <c:v>6.39</c:v>
                </c:pt>
                <c:pt idx="143">
                  <c:v>6.4349999999999996</c:v>
                </c:pt>
                <c:pt idx="144">
                  <c:v>6.4799999999999995</c:v>
                </c:pt>
                <c:pt idx="145">
                  <c:v>6.5249999999999995</c:v>
                </c:pt>
                <c:pt idx="146">
                  <c:v>6.57</c:v>
                </c:pt>
                <c:pt idx="147">
                  <c:v>6.6150000000000002</c:v>
                </c:pt>
                <c:pt idx="148">
                  <c:v>6.66</c:v>
                </c:pt>
                <c:pt idx="149">
                  <c:v>6.7050000000000001</c:v>
                </c:pt>
                <c:pt idx="150">
                  <c:v>6.75</c:v>
                </c:pt>
                <c:pt idx="151">
                  <c:v>6.7949999999999999</c:v>
                </c:pt>
                <c:pt idx="152">
                  <c:v>6.84</c:v>
                </c:pt>
                <c:pt idx="153">
                  <c:v>6.8849999999999998</c:v>
                </c:pt>
                <c:pt idx="154">
                  <c:v>6.93</c:v>
                </c:pt>
                <c:pt idx="155">
                  <c:v>6.9750000000000005</c:v>
                </c:pt>
                <c:pt idx="156">
                  <c:v>7.0200000000000005</c:v>
                </c:pt>
                <c:pt idx="157">
                  <c:v>7.0650000000000004</c:v>
                </c:pt>
                <c:pt idx="158">
                  <c:v>7.11</c:v>
                </c:pt>
                <c:pt idx="159">
                  <c:v>7.1550000000000002</c:v>
                </c:pt>
                <c:pt idx="160">
                  <c:v>7.2</c:v>
                </c:pt>
                <c:pt idx="161">
                  <c:v>7.2450000000000001</c:v>
                </c:pt>
                <c:pt idx="162">
                  <c:v>7.2900000000000009</c:v>
                </c:pt>
                <c:pt idx="163">
                  <c:v>7.3349999999999991</c:v>
                </c:pt>
                <c:pt idx="164">
                  <c:v>7.38</c:v>
                </c:pt>
                <c:pt idx="165">
                  <c:v>7.4249999999999998</c:v>
                </c:pt>
                <c:pt idx="166">
                  <c:v>7.47</c:v>
                </c:pt>
                <c:pt idx="167">
                  <c:v>7.5149999999999997</c:v>
                </c:pt>
                <c:pt idx="168">
                  <c:v>7.56</c:v>
                </c:pt>
                <c:pt idx="169">
                  <c:v>7.6049999999999995</c:v>
                </c:pt>
                <c:pt idx="170">
                  <c:v>7.6499999999999995</c:v>
                </c:pt>
                <c:pt idx="171">
                  <c:v>7.6950000000000003</c:v>
                </c:pt>
                <c:pt idx="172">
                  <c:v>7.74</c:v>
                </c:pt>
                <c:pt idx="173">
                  <c:v>7.7850000000000001</c:v>
                </c:pt>
                <c:pt idx="174">
                  <c:v>7.83</c:v>
                </c:pt>
                <c:pt idx="175">
                  <c:v>7.875</c:v>
                </c:pt>
                <c:pt idx="176">
                  <c:v>7.92</c:v>
                </c:pt>
                <c:pt idx="177">
                  <c:v>7.9649999999999999</c:v>
                </c:pt>
                <c:pt idx="178">
                  <c:v>8.01</c:v>
                </c:pt>
                <c:pt idx="179">
                  <c:v>8.0549999999999997</c:v>
                </c:pt>
                <c:pt idx="180">
                  <c:v>8.1</c:v>
                </c:pt>
                <c:pt idx="181">
                  <c:v>8.1449999999999996</c:v>
                </c:pt>
                <c:pt idx="182">
                  <c:v>8.19</c:v>
                </c:pt>
                <c:pt idx="183">
                  <c:v>8.2349999999999994</c:v>
                </c:pt>
                <c:pt idx="184">
                  <c:v>8.2800000000000011</c:v>
                </c:pt>
                <c:pt idx="185">
                  <c:v>8.3250000000000011</c:v>
                </c:pt>
                <c:pt idx="186">
                  <c:v>8.370000000000001</c:v>
                </c:pt>
                <c:pt idx="187">
                  <c:v>8.4150000000000009</c:v>
                </c:pt>
                <c:pt idx="188">
                  <c:v>8.4599999999999991</c:v>
                </c:pt>
                <c:pt idx="189">
                  <c:v>8.504999999999999</c:v>
                </c:pt>
                <c:pt idx="190">
                  <c:v>8.5499999999999989</c:v>
                </c:pt>
                <c:pt idx="191">
                  <c:v>8.5949999999999989</c:v>
                </c:pt>
                <c:pt idx="192">
                  <c:v>8.64</c:v>
                </c:pt>
                <c:pt idx="193">
                  <c:v>8.6850000000000005</c:v>
                </c:pt>
                <c:pt idx="194">
                  <c:v>8.73</c:v>
                </c:pt>
                <c:pt idx="195">
                  <c:v>8.7750000000000004</c:v>
                </c:pt>
                <c:pt idx="196">
                  <c:v>8.82</c:v>
                </c:pt>
                <c:pt idx="197">
                  <c:v>8.8650000000000002</c:v>
                </c:pt>
                <c:pt idx="198">
                  <c:v>8.91</c:v>
                </c:pt>
                <c:pt idx="199">
                  <c:v>8.9550000000000001</c:v>
                </c:pt>
                <c:pt idx="200">
                  <c:v>9</c:v>
                </c:pt>
              </c:numCache>
            </c:numRef>
          </c:cat>
          <c:val>
            <c:numRef>
              <c:f>'Power Calculations'!$AG$9:$AG$209</c:f>
              <c:numCache>
                <c:formatCode>0.0000</c:formatCode>
                <c:ptCount val="201"/>
                <c:pt idx="0">
                  <c:v>1.3943753380205514E-2</c:v>
                </c:pt>
                <c:pt idx="1">
                  <c:v>1.444152630624922E-2</c:v>
                </c:pt>
                <c:pt idx="2">
                  <c:v>1.4959599627106411E-2</c:v>
                </c:pt>
                <c:pt idx="3">
                  <c:v>1.5497972279028818E-2</c:v>
                </c:pt>
                <c:pt idx="4">
                  <c:v>1.6056643590015011E-2</c:v>
                </c:pt>
                <c:pt idx="5">
                  <c:v>1.6635613279596975E-2</c:v>
                </c:pt>
                <c:pt idx="6">
                  <c:v>1.7234881458645632E-2</c:v>
                </c:pt>
                <c:pt idx="7">
                  <c:v>1.7854448629195375E-2</c:v>
                </c:pt>
                <c:pt idx="8">
                  <c:v>1.8494315684287499E-2</c:v>
                </c:pt>
                <c:pt idx="9">
                  <c:v>1.9154483907832549E-2</c:v>
                </c:pt>
                <c:pt idx="10">
                  <c:v>1.9834954974491597E-2</c:v>
                </c:pt>
                <c:pt idx="11">
                  <c:v>2.0535730949576378E-2</c:v>
                </c:pt>
                <c:pt idx="12">
                  <c:v>2.1256814288968234E-2</c:v>
                </c:pt>
                <c:pt idx="13">
                  <c:v>2.1998207839056007E-2</c:v>
                </c:pt>
                <c:pt idx="14">
                  <c:v>2.2759914836692655E-2</c:v>
                </c:pt>
                <c:pt idx="15">
                  <c:v>2.3541938909170737E-2</c:v>
                </c:pt>
                <c:pt idx="16">
                  <c:v>2.4344284074216755E-2</c:v>
                </c:pt>
                <c:pt idx="17">
                  <c:v>2.5166954740004119E-2</c:v>
                </c:pt>
                <c:pt idx="18">
                  <c:v>2.6009955705185155E-2</c:v>
                </c:pt>
                <c:pt idx="19">
                  <c:v>2.6873292158941679E-2</c:v>
                </c:pt>
                <c:pt idx="20">
                  <c:v>2.775696968105448E-2</c:v>
                </c:pt>
                <c:pt idx="21">
                  <c:v>2.866099424199154E-2</c:v>
                </c:pt>
                <c:pt idx="22">
                  <c:v>2.9585372203015031E-2</c:v>
                </c:pt>
                <c:pt idx="23">
                  <c:v>3.0530110316307115E-2</c:v>
                </c:pt>
                <c:pt idx="24">
                  <c:v>3.1495215725114496E-2</c:v>
                </c:pt>
                <c:pt idx="25">
                  <c:v>3.2687921941591522E-2</c:v>
                </c:pt>
                <c:pt idx="26">
                  <c:v>3.4179237908035898E-2</c:v>
                </c:pt>
                <c:pt idx="27">
                  <c:v>3.5691028729952855E-2</c:v>
                </c:pt>
                <c:pt idx="28">
                  <c:v>3.7223307824667297E-2</c:v>
                </c:pt>
                <c:pt idx="29">
                  <c:v>3.8776089002935193E-2</c:v>
                </c:pt>
                <c:pt idx="30">
                  <c:v>4.0349386469352079E-2</c:v>
                </c:pt>
                <c:pt idx="31">
                  <c:v>4.1943214822780329E-2</c:v>
                </c:pt>
                <c:pt idx="32">
                  <c:v>4.355758905679543E-2</c:v>
                </c:pt>
                <c:pt idx="33">
                  <c:v>4.5192524560151312E-2</c:v>
                </c:pt>
                <c:pt idx="34">
                  <c:v>4.6848037117264471E-2</c:v>
                </c:pt>
                <c:pt idx="35">
                  <c:v>4.8524142908717413E-2</c:v>
                </c:pt>
                <c:pt idx="36">
                  <c:v>5.0220858511780847E-2</c:v>
                </c:pt>
                <c:pt idx="37">
                  <c:v>5.1938200900955231E-2</c:v>
                </c:pt>
                <c:pt idx="38">
                  <c:v>5.3676187448531247E-2</c:v>
                </c:pt>
                <c:pt idx="39">
                  <c:v>5.5434835925169727E-2</c:v>
                </c:pt>
                <c:pt idx="40">
                  <c:v>5.7214164500500438E-2</c:v>
                </c:pt>
                <c:pt idx="41">
                  <c:v>5.9014191743740466E-2</c:v>
                </c:pt>
                <c:pt idx="42">
                  <c:v>6.0834936624331655E-2</c:v>
                </c:pt>
                <c:pt idx="43">
                  <c:v>6.2676418512597601E-2</c:v>
                </c:pt>
                <c:pt idx="44">
                  <c:v>6.4538657180419762E-2</c:v>
                </c:pt>
                <c:pt idx="45">
                  <c:v>6.6421672801933382E-2</c:v>
                </c:pt>
                <c:pt idx="46">
                  <c:v>6.8325485954242621E-2</c:v>
                </c:pt>
                <c:pt idx="47">
                  <c:v>7.0250117618155208E-2</c:v>
                </c:pt>
                <c:pt idx="48">
                  <c:v>7.2195589178937161E-2</c:v>
                </c:pt>
                <c:pt idx="49">
                  <c:v>7.4161922427086371E-2</c:v>
                </c:pt>
                <c:pt idx="50">
                  <c:v>7.6149139559126833E-2</c:v>
                </c:pt>
                <c:pt idx="51">
                  <c:v>7.815726317842174E-2</c:v>
                </c:pt>
                <c:pt idx="52">
                  <c:v>8.0186316296007212E-2</c:v>
                </c:pt>
                <c:pt idx="53">
                  <c:v>8.2236322331445372E-2</c:v>
                </c:pt>
                <c:pt idx="54">
                  <c:v>8.430730511369762E-2</c:v>
                </c:pt>
                <c:pt idx="55">
                  <c:v>8.6399288882018019E-2</c:v>
                </c:pt>
                <c:pt idx="56">
                  <c:v>8.8512298286866575E-2</c:v>
                </c:pt>
                <c:pt idx="57">
                  <c:v>9.0646358390842813E-2</c:v>
                </c:pt>
                <c:pt idx="58">
                  <c:v>9.2801494669639745E-2</c:v>
                </c:pt>
                <c:pt idx="59">
                  <c:v>9.4977733013017734E-2</c:v>
                </c:pt>
                <c:pt idx="60">
                  <c:v>9.7175099725799324E-2</c:v>
                </c:pt>
                <c:pt idx="61">
                  <c:v>9.9393621528884077E-2</c:v>
                </c:pt>
                <c:pt idx="62">
                  <c:v>0.10163332556028409</c:v>
                </c:pt>
                <c:pt idx="63">
                  <c:v>0.1038942393761805</c:v>
                </c:pt>
                <c:pt idx="64">
                  <c:v>0.10617639095200006</c:v>
                </c:pt>
                <c:pt idx="65">
                  <c:v>0.1084798086835132</c:v>
                </c:pt>
                <c:pt idx="66">
                  <c:v>0.11080452138795246</c:v>
                </c:pt>
                <c:pt idx="67">
                  <c:v>0.11315055830515222</c:v>
                </c:pt>
                <c:pt idx="68">
                  <c:v>0.11551794909870947</c:v>
                </c:pt>
                <c:pt idx="69">
                  <c:v>0.11790672385716561</c:v>
                </c:pt>
                <c:pt idx="70">
                  <c:v>0.12031691309520964</c:v>
                </c:pt>
                <c:pt idx="71">
                  <c:v>0.1227485477549026</c:v>
                </c:pt>
                <c:pt idx="72">
                  <c:v>0.1252016592069238</c:v>
                </c:pt>
                <c:pt idx="73">
                  <c:v>0.1276762792518383</c:v>
                </c:pt>
                <c:pt idx="74">
                  <c:v>0.13017244012138579</c:v>
                </c:pt>
                <c:pt idx="75">
                  <c:v>0.13269017447979223</c:v>
                </c:pt>
                <c:pt idx="76">
                  <c:v>0.13522951542510217</c:v>
                </c:pt>
                <c:pt idx="77">
                  <c:v>0.13779049649053415</c:v>
                </c:pt>
                <c:pt idx="78">
                  <c:v>0.14037315164585729</c:v>
                </c:pt>
                <c:pt idx="79">
                  <c:v>0.14297751529879074</c:v>
                </c:pt>
                <c:pt idx="80">
                  <c:v>0.14560362229642537</c:v>
                </c:pt>
                <c:pt idx="81">
                  <c:v>0.14825150792666736</c:v>
                </c:pt>
                <c:pt idx="82">
                  <c:v>0.15092120791970526</c:v>
                </c:pt>
                <c:pt idx="83">
                  <c:v>0.15361275844949912</c:v>
                </c:pt>
                <c:pt idx="84">
                  <c:v>0.15632619613529264</c:v>
                </c:pt>
                <c:pt idx="85">
                  <c:v>0.15906155804314825</c:v>
                </c:pt>
                <c:pt idx="86">
                  <c:v>0.16181888168750533</c:v>
                </c:pt>
                <c:pt idx="87">
                  <c:v>0.1645982050327614</c:v>
                </c:pt>
                <c:pt idx="88">
                  <c:v>0.16739956649487717</c:v>
                </c:pt>
                <c:pt idx="89">
                  <c:v>0.17022300494300457</c:v>
                </c:pt>
                <c:pt idx="90">
                  <c:v>0.17306855970113869</c:v>
                </c:pt>
                <c:pt idx="91">
                  <c:v>0.1759362705497933</c:v>
                </c:pt>
                <c:pt idx="92">
                  <c:v>0.17882617772770054</c:v>
                </c:pt>
                <c:pt idx="93">
                  <c:v>0.18173832193353401</c:v>
                </c:pt>
                <c:pt idx="94">
                  <c:v>0.18467274432765729</c:v>
                </c:pt>
                <c:pt idx="95">
                  <c:v>0.18762948653389566</c:v>
                </c:pt>
                <c:pt idx="96">
                  <c:v>0.19060859064133268</c:v>
                </c:pt>
                <c:pt idx="97">
                  <c:v>0.19361009920613168</c:v>
                </c:pt>
                <c:pt idx="98">
                  <c:v>0.19663405525338151</c:v>
                </c:pt>
                <c:pt idx="99">
                  <c:v>0.19968050227896827</c:v>
                </c:pt>
                <c:pt idx="100">
                  <c:v>0.20274948425147096</c:v>
                </c:pt>
                <c:pt idx="101">
                  <c:v>0.20584104561408348</c:v>
                </c:pt>
                <c:pt idx="102">
                  <c:v>0.20895523128656104</c:v>
                </c:pt>
                <c:pt idx="103">
                  <c:v>0.21209208666719373</c:v>
                </c:pt>
                <c:pt idx="104">
                  <c:v>0.21525165763480406</c:v>
                </c:pt>
                <c:pt idx="105">
                  <c:v>0.21843399055077212</c:v>
                </c:pt>
                <c:pt idx="106">
                  <c:v>0.22163913226108592</c:v>
                </c:pt>
                <c:pt idx="107">
                  <c:v>0.22486713009841847</c:v>
                </c:pt>
                <c:pt idx="108">
                  <c:v>0.22811803188423121</c:v>
                </c:pt>
                <c:pt idx="109">
                  <c:v>0.23139188593090476</c:v>
                </c:pt>
                <c:pt idx="110">
                  <c:v>0.23468874104389531</c:v>
                </c:pt>
                <c:pt idx="111">
                  <c:v>0.23800864652391987</c:v>
                </c:pt>
                <c:pt idx="112">
                  <c:v>0.24135165216916701</c:v>
                </c:pt>
                <c:pt idx="113">
                  <c:v>0.24471780827753603</c:v>
                </c:pt>
                <c:pt idx="114">
                  <c:v>0.24810716564890492</c:v>
                </c:pt>
                <c:pt idx="115">
                  <c:v>0.25151977558742339</c:v>
                </c:pt>
                <c:pt idx="116">
                  <c:v>0.25495568990383671</c:v>
                </c:pt>
                <c:pt idx="117">
                  <c:v>0.25841496091783678</c:v>
                </c:pt>
                <c:pt idx="118">
                  <c:v>0.26189764146044131</c:v>
                </c:pt>
                <c:pt idx="119">
                  <c:v>0.26540378487640304</c:v>
                </c:pt>
                <c:pt idx="120">
                  <c:v>0.26893344502664612</c:v>
                </c:pt>
                <c:pt idx="121">
                  <c:v>0.27248667629073359</c:v>
                </c:pt>
                <c:pt idx="122">
                  <c:v>0.27606353356936286</c:v>
                </c:pt>
                <c:pt idx="123">
                  <c:v>0.27966407228689133</c:v>
                </c:pt>
                <c:pt idx="124">
                  <c:v>0.28328834839389239</c:v>
                </c:pt>
                <c:pt idx="125">
                  <c:v>0.28693641836974043</c:v>
                </c:pt>
                <c:pt idx="126">
                  <c:v>0.29060833922522711</c:v>
                </c:pt>
                <c:pt idx="127">
                  <c:v>0.29430416850520813</c:v>
                </c:pt>
                <c:pt idx="128">
                  <c:v>0.2980239642912802</c:v>
                </c:pt>
                <c:pt idx="129">
                  <c:v>0.30176778520448932</c:v>
                </c:pt>
                <c:pt idx="130">
                  <c:v>0.30553569040807194</c:v>
                </c:pt>
                <c:pt idx="131">
                  <c:v>0.30932773961022425</c:v>
                </c:pt>
                <c:pt idx="132">
                  <c:v>0.31314399306690727</c:v>
                </c:pt>
                <c:pt idx="133">
                  <c:v>0.31698451158468111</c:v>
                </c:pt>
                <c:pt idx="134">
                  <c:v>0.32084935652357344</c:v>
                </c:pt>
                <c:pt idx="135">
                  <c:v>0.32473858979997888</c:v>
                </c:pt>
                <c:pt idx="136">
                  <c:v>0.32865227388959367</c:v>
                </c:pt>
                <c:pt idx="137">
                  <c:v>0.33259047183038076</c:v>
                </c:pt>
                <c:pt idx="138">
                  <c:v>0.33655324722557045</c:v>
                </c:pt>
                <c:pt idx="139">
                  <c:v>0.34054066424669427</c:v>
                </c:pt>
                <c:pt idx="140">
                  <c:v>0.34455278763665209</c:v>
                </c:pt>
                <c:pt idx="141">
                  <c:v>0.3485896827128151</c:v>
                </c:pt>
                <c:pt idx="142">
                  <c:v>0.35265141537016181</c:v>
                </c:pt>
                <c:pt idx="143">
                  <c:v>0.35673805208444981</c:v>
                </c:pt>
                <c:pt idx="144">
                  <c:v>0.36084965991542306</c:v>
                </c:pt>
                <c:pt idx="145">
                  <c:v>0.36498630651005404</c:v>
                </c:pt>
                <c:pt idx="146">
                  <c:v>0.36914806010582213</c:v>
                </c:pt>
                <c:pt idx="147">
                  <c:v>0.37333498953402805</c:v>
                </c:pt>
                <c:pt idx="148">
                  <c:v>0.37754716422314505</c:v>
                </c:pt>
                <c:pt idx="149">
                  <c:v>0.38178465420220631</c:v>
                </c:pt>
                <c:pt idx="150">
                  <c:v>0.38604753010423043</c:v>
                </c:pt>
                <c:pt idx="151">
                  <c:v>0.39033586316968316</c:v>
                </c:pt>
                <c:pt idx="152">
                  <c:v>0.3946497252499786</c:v>
                </c:pt>
                <c:pt idx="153">
                  <c:v>0.39898918881101686</c:v>
                </c:pt>
                <c:pt idx="154">
                  <c:v>0.40335432693676093</c:v>
                </c:pt>
                <c:pt idx="155">
                  <c:v>0.40774521333285363</c:v>
                </c:pt>
                <c:pt idx="156">
                  <c:v>0.41216192233027071</c:v>
                </c:pt>
                <c:pt idx="157">
                  <c:v>0.41660452888901756</c:v>
                </c:pt>
                <c:pt idx="158">
                  <c:v>0.42107310860186192</c:v>
                </c:pt>
                <c:pt idx="159">
                  <c:v>0.42556773769811007</c:v>
                </c:pt>
                <c:pt idx="160">
                  <c:v>0.43008849304742203</c:v>
                </c:pt>
                <c:pt idx="161">
                  <c:v>0.43463545216366761</c:v>
                </c:pt>
                <c:pt idx="162">
                  <c:v>0.43920869320882538</c:v>
                </c:pt>
                <c:pt idx="163">
                  <c:v>0.44380829499692176</c:v>
                </c:pt>
                <c:pt idx="164">
                  <c:v>0.44843433699801449</c:v>
                </c:pt>
                <c:pt idx="165">
                  <c:v>0.45308689934221591</c:v>
                </c:pt>
                <c:pt idx="166">
                  <c:v>0.45776606282376198</c:v>
                </c:pt>
                <c:pt idx="167">
                  <c:v>0.46247190890512363</c:v>
                </c:pt>
                <c:pt idx="168">
                  <c:v>0.46720451972116112</c:v>
                </c:pt>
                <c:pt idx="169">
                  <c:v>0.47196397808332474</c:v>
                </c:pt>
                <c:pt idx="170">
                  <c:v>0.47675036748389865</c:v>
                </c:pt>
                <c:pt idx="171">
                  <c:v>0.48156377210028978</c:v>
                </c:pt>
                <c:pt idx="172">
                  <c:v>0.48640427679936432</c:v>
                </c:pt>
                <c:pt idx="173">
                  <c:v>0.4912719671418273</c:v>
                </c:pt>
                <c:pt idx="174">
                  <c:v>0.49616692938665158</c:v>
                </c:pt>
                <c:pt idx="175">
                  <c:v>0.50108925049555175</c:v>
                </c:pt>
                <c:pt idx="176">
                  <c:v>0.5060390181375064</c:v>
                </c:pt>
                <c:pt idx="177">
                  <c:v>0.51101632069332803</c:v>
                </c:pt>
                <c:pt idx="178">
                  <c:v>0.51602124726028176</c:v>
                </c:pt>
                <c:pt idx="179">
                  <c:v>0.52105388765675142</c:v>
                </c:pt>
                <c:pt idx="180">
                  <c:v>0.52611433242695849</c:v>
                </c:pt>
                <c:pt idx="181">
                  <c:v>0.53120267284572542</c:v>
                </c:pt>
                <c:pt idx="182">
                  <c:v>0.53631900092329443</c:v>
                </c:pt>
                <c:pt idx="183">
                  <c:v>0.54146340941019522</c:v>
                </c:pt>
                <c:pt idx="184">
                  <c:v>0.54663599180216271</c:v>
                </c:pt>
                <c:pt idx="185">
                  <c:v>0.55183684234510877</c:v>
                </c:pt>
                <c:pt idx="186">
                  <c:v>0.55706605604014492</c:v>
                </c:pt>
                <c:pt idx="187">
                  <c:v>0.56232372864866031</c:v>
                </c:pt>
                <c:pt idx="188">
                  <c:v>0.56760995669744774</c:v>
                </c:pt>
                <c:pt idx="189">
                  <c:v>0.57292483748389245</c:v>
                </c:pt>
                <c:pt idx="190">
                  <c:v>0.57826846908120666</c:v>
                </c:pt>
                <c:pt idx="191">
                  <c:v>0.58364095034372432</c:v>
                </c:pt>
                <c:pt idx="192">
                  <c:v>0.58904238091225114</c:v>
                </c:pt>
                <c:pt idx="193">
                  <c:v>0.59447286121946896</c:v>
                </c:pt>
                <c:pt idx="194">
                  <c:v>0.59993249249540004</c:v>
                </c:pt>
                <c:pt idx="195">
                  <c:v>0.60542137677292518</c:v>
                </c:pt>
                <c:pt idx="196">
                  <c:v>0.61093961689336329</c:v>
                </c:pt>
                <c:pt idx="197">
                  <c:v>0.61648731651210875</c:v>
                </c:pt>
                <c:pt idx="198">
                  <c:v>0.62206458010432508</c:v>
                </c:pt>
                <c:pt idx="199">
                  <c:v>0.62767151297070478</c:v>
                </c:pt>
                <c:pt idx="200">
                  <c:v>0.63330822124328279</c:v>
                </c:pt>
              </c:numCache>
            </c:numRef>
          </c:val>
          <c:smooth val="0"/>
          <c:extLst>
            <c:ext xmlns:c16="http://schemas.microsoft.com/office/drawing/2014/chart" uri="{C3380CC4-5D6E-409C-BE32-E72D297353CC}">
              <c16:uniqueId val="{00000003-0753-4E64-999C-F6099B0F0E47}"/>
            </c:ext>
          </c:extLst>
        </c:ser>
        <c:dLbls>
          <c:showLegendKey val="0"/>
          <c:showVal val="0"/>
          <c:showCatName val="0"/>
          <c:showSerName val="0"/>
          <c:showPercent val="0"/>
          <c:showBubbleSize val="0"/>
        </c:dLbls>
        <c:marker val="1"/>
        <c:smooth val="0"/>
        <c:axId val="142900224"/>
        <c:axId val="142898304"/>
      </c:lineChart>
      <c:catAx>
        <c:axId val="142894208"/>
        <c:scaling>
          <c:orientation val="minMax"/>
        </c:scaling>
        <c:delete val="0"/>
        <c:axPos val="b"/>
        <c:majorGridlines>
          <c:spPr>
            <a:ln w="15875">
              <a:solidFill>
                <a:srgbClr val="969696"/>
              </a:solidFill>
              <a:prstDash val="sysDash"/>
            </a:ln>
          </c:spPr>
        </c:majorGridlines>
        <c:minorGridlines/>
        <c:title>
          <c:tx>
            <c:rich>
              <a:bodyPr/>
              <a:lstStyle/>
              <a:p>
                <a:pPr>
                  <a:defRPr sz="1200" b="1" i="0" u="none" strike="noStrike" baseline="0">
                    <a:solidFill>
                      <a:srgbClr val="0000FF"/>
                    </a:solidFill>
                    <a:latin typeface="Arial" pitchFamily="34" charset="0"/>
                    <a:ea typeface="Calibri"/>
                    <a:cs typeface="Arial" pitchFamily="34" charset="0"/>
                  </a:defRPr>
                </a:pPr>
                <a:r>
                  <a:rPr lang="en-US" sz="1200">
                    <a:solidFill>
                      <a:srgbClr val="0000FF"/>
                    </a:solidFill>
                    <a:latin typeface="Arial" pitchFamily="34" charset="0"/>
                    <a:cs typeface="Arial" pitchFamily="34" charset="0"/>
                  </a:rPr>
                  <a:t>Load Current (A)</a:t>
                </a:r>
              </a:p>
            </c:rich>
          </c:tx>
          <c:layout>
            <c:manualLayout>
              <c:xMode val="edge"/>
              <c:yMode val="edge"/>
              <c:x val="0.42471011396394504"/>
              <c:y val="0.93853771636955563"/>
            </c:manualLayout>
          </c:layout>
          <c:overlay val="0"/>
          <c:spPr>
            <a:noFill/>
            <a:ln w="25400">
              <a:noFill/>
            </a:ln>
          </c:spPr>
        </c:title>
        <c:numFmt formatCode="General" sourceLinked="1"/>
        <c:majorTickMark val="in"/>
        <c:minorTickMark val="in"/>
        <c:tickLblPos val="nextTo"/>
        <c:spPr>
          <a:ln w="3175">
            <a:solidFill>
              <a:srgbClr val="000000"/>
            </a:solidFill>
            <a:prstDash val="solid"/>
          </a:ln>
        </c:spPr>
        <c:txPr>
          <a:bodyPr rot="0" vert="horz"/>
          <a:lstStyle/>
          <a:p>
            <a:pPr>
              <a:defRPr sz="1100" b="1" i="0" u="none" strike="noStrike" baseline="0">
                <a:solidFill>
                  <a:srgbClr val="0000FF"/>
                </a:solidFill>
                <a:latin typeface="Arial" pitchFamily="34" charset="0"/>
                <a:ea typeface="Calibri"/>
                <a:cs typeface="Arial" pitchFamily="34" charset="0"/>
              </a:defRPr>
            </a:pPr>
            <a:endParaRPr lang="en-US"/>
          </a:p>
        </c:txPr>
        <c:crossAx val="142896128"/>
        <c:crosses val="autoZero"/>
        <c:auto val="1"/>
        <c:lblAlgn val="ctr"/>
        <c:lblOffset val="100"/>
        <c:tickLblSkip val="40"/>
        <c:tickMarkSkip val="40"/>
        <c:noMultiLvlLbl val="0"/>
      </c:catAx>
      <c:valAx>
        <c:axId val="142896128"/>
        <c:scaling>
          <c:orientation val="minMax"/>
          <c:max val="100"/>
          <c:min val="65"/>
        </c:scaling>
        <c:delete val="0"/>
        <c:axPos val="l"/>
        <c:majorGridlines>
          <c:spPr>
            <a:ln w="15875">
              <a:solidFill>
                <a:srgbClr val="808080"/>
              </a:solidFill>
              <a:prstDash val="solid"/>
            </a:ln>
          </c:spPr>
        </c:majorGridlines>
        <c:minorGridlines/>
        <c:title>
          <c:tx>
            <c:rich>
              <a:bodyPr/>
              <a:lstStyle/>
              <a:p>
                <a:pPr>
                  <a:defRPr sz="1400" b="1" i="0" u="none" strike="noStrike" baseline="0">
                    <a:solidFill>
                      <a:srgbClr val="FF0000"/>
                    </a:solidFill>
                    <a:latin typeface="Arial" pitchFamily="34" charset="0"/>
                    <a:ea typeface="Calibri"/>
                    <a:cs typeface="Arial" pitchFamily="34" charset="0"/>
                  </a:defRPr>
                </a:pPr>
                <a:r>
                  <a:rPr lang="en-US" sz="1200" b="1">
                    <a:solidFill>
                      <a:srgbClr val="FF0000"/>
                    </a:solidFill>
                    <a:latin typeface="Arial" pitchFamily="34" charset="0"/>
                    <a:cs typeface="Arial" pitchFamily="34" charset="0"/>
                  </a:rPr>
                  <a:t>Efficiency  (%)</a:t>
                </a:r>
              </a:p>
            </c:rich>
          </c:tx>
          <c:layout>
            <c:manualLayout>
              <c:xMode val="edge"/>
              <c:yMode val="edge"/>
              <c:x val="1.2871858674081443E-2"/>
              <c:y val="0.37638177915688309"/>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1100" b="1" i="0" u="none" strike="noStrike" baseline="0">
                <a:solidFill>
                  <a:srgbClr val="FF0000"/>
                </a:solidFill>
                <a:latin typeface="Arial" pitchFamily="34" charset="0"/>
                <a:ea typeface="Calibri"/>
                <a:cs typeface="Arial" pitchFamily="34" charset="0"/>
              </a:defRPr>
            </a:pPr>
            <a:endParaRPr lang="en-US"/>
          </a:p>
        </c:txPr>
        <c:crossAx val="142894208"/>
        <c:crossesAt val="0"/>
        <c:crossBetween val="between"/>
        <c:majorUnit val="5"/>
        <c:minorUnit val="2.5"/>
      </c:valAx>
      <c:valAx>
        <c:axId val="142898304"/>
        <c:scaling>
          <c:orientation val="minMax"/>
        </c:scaling>
        <c:delete val="0"/>
        <c:axPos val="r"/>
        <c:title>
          <c:tx>
            <c:rich>
              <a:bodyPr rot="-5400000" vert="horz"/>
              <a:lstStyle/>
              <a:p>
                <a:pPr>
                  <a:defRPr sz="1200" b="1"/>
                </a:pPr>
                <a:r>
                  <a:rPr lang="en-US" sz="1200" b="1"/>
                  <a:t>Power Loss (W)</a:t>
                </a:r>
              </a:p>
            </c:rich>
          </c:tx>
          <c:layout>
            <c:manualLayout>
              <c:xMode val="edge"/>
              <c:yMode val="edge"/>
              <c:x val="0.95168474305601269"/>
              <c:y val="0.38117714045368295"/>
            </c:manualLayout>
          </c:layout>
          <c:overlay val="0"/>
        </c:title>
        <c:numFmt formatCode="General" sourceLinked="0"/>
        <c:majorTickMark val="out"/>
        <c:minorTickMark val="none"/>
        <c:tickLblPos val="nextTo"/>
        <c:txPr>
          <a:bodyPr/>
          <a:lstStyle/>
          <a:p>
            <a:pPr>
              <a:defRPr sz="1100" b="1">
                <a:solidFill>
                  <a:sysClr val="windowText" lastClr="000000"/>
                </a:solidFill>
              </a:defRPr>
            </a:pPr>
            <a:endParaRPr lang="en-US"/>
          </a:p>
        </c:txPr>
        <c:crossAx val="142900224"/>
        <c:crosses val="max"/>
        <c:crossBetween val="between"/>
      </c:valAx>
      <c:catAx>
        <c:axId val="142900224"/>
        <c:scaling>
          <c:orientation val="minMax"/>
        </c:scaling>
        <c:delete val="1"/>
        <c:axPos val="b"/>
        <c:numFmt formatCode="General" sourceLinked="1"/>
        <c:majorTickMark val="out"/>
        <c:minorTickMark val="none"/>
        <c:tickLblPos val="nextTo"/>
        <c:crossAx val="142898304"/>
        <c:crosses val="autoZero"/>
        <c:auto val="1"/>
        <c:lblAlgn val="ctr"/>
        <c:lblOffset val="100"/>
        <c:noMultiLvlLbl val="0"/>
      </c:catAx>
      <c:spPr>
        <a:noFill/>
        <a:ln w="25400">
          <a:noFill/>
        </a:ln>
      </c:spPr>
    </c:plotArea>
    <c:legend>
      <c:legendPos val="t"/>
      <c:layout>
        <c:manualLayout>
          <c:xMode val="edge"/>
          <c:yMode val="edge"/>
          <c:x val="0.40102557566231317"/>
          <c:y val="1.1892633038167682E-2"/>
          <c:w val="0.59897442433768688"/>
          <c:h val="8.9795049320617604E-2"/>
        </c:manualLayout>
      </c:layout>
      <c:overlay val="0"/>
      <c:spPr>
        <a:solidFill>
          <a:srgbClr val="FFFFFF"/>
        </a:solidFill>
        <a:ln w="25400">
          <a:noFill/>
        </a:ln>
      </c:spPr>
      <c:txPr>
        <a:bodyPr/>
        <a:lstStyle/>
        <a:p>
          <a:pPr>
            <a:defRPr sz="1100" b="0" i="0" u="none" strike="noStrike" baseline="0">
              <a:solidFill>
                <a:srgbClr val="000000"/>
              </a:solidFill>
              <a:latin typeface="Arial" pitchFamily="34" charset="0"/>
              <a:ea typeface="Calibri"/>
              <a:cs typeface="Arial" pitchFamily="34" charset="0"/>
            </a:defRPr>
          </a:pPr>
          <a:endParaRPr lang="en-US"/>
        </a:p>
      </c:txPr>
    </c:legend>
    <c:plotVisOnly val="1"/>
    <c:dispBlanksAs val="gap"/>
    <c:showDLblsOverMax val="0"/>
  </c:chart>
  <c:spPr>
    <a:noFill/>
    <a:ln w="9525">
      <a:solidFill>
        <a:srgbClr val="808080"/>
      </a:solidFill>
    </a:ln>
  </c:spPr>
  <c:txPr>
    <a:bodyPr/>
    <a:lstStyle/>
    <a:p>
      <a:pPr>
        <a:defRPr sz="850"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paperSize="5" orientation="portrait"/>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US"/>
              <a:t>Open Loop Response</a:t>
            </a:r>
          </a:p>
        </c:rich>
      </c:tx>
      <c:layout>
        <c:manualLayout>
          <c:xMode val="edge"/>
          <c:yMode val="edge"/>
          <c:x val="0.39590479517706217"/>
          <c:y val="3.1496062992125991E-2"/>
        </c:manualLayout>
      </c:layout>
      <c:overlay val="0"/>
      <c:spPr>
        <a:noFill/>
        <a:ln w="25400">
          <a:noFill/>
        </a:ln>
      </c:spPr>
    </c:title>
    <c:autoTitleDeleted val="0"/>
    <c:plotArea>
      <c:layout>
        <c:manualLayout>
          <c:layoutTarget val="inner"/>
          <c:xMode val="edge"/>
          <c:yMode val="edge"/>
          <c:x val="0.11262808019484494"/>
          <c:y val="0.20997429147774274"/>
          <c:w val="0.8003419638088306"/>
          <c:h val="0.60105140935503165"/>
        </c:manualLayout>
      </c:layout>
      <c:scatterChart>
        <c:scatterStyle val="smoothMarker"/>
        <c:varyColors val="0"/>
        <c:ser>
          <c:idx val="0"/>
          <c:order val="0"/>
          <c:tx>
            <c:v>Gain</c:v>
          </c:tx>
          <c:spPr>
            <a:ln w="12700">
              <a:solidFill>
                <a:srgbClr val="000000"/>
              </a:solidFill>
              <a:prstDash val="lgDash"/>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Calculations'!$X$9:$X$676</c:f>
              <c:numCache>
                <c:formatCode>General</c:formatCode>
                <c:ptCount val="668"/>
                <c:pt idx="0">
                  <c:v>84.259032899526943</c:v>
                </c:pt>
                <c:pt idx="1">
                  <c:v>78.238435089142286</c:v>
                </c:pt>
                <c:pt idx="2">
                  <c:v>74.716613412852411</c:v>
                </c:pt>
                <c:pt idx="3">
                  <c:v>72.217843587437073</c:v>
                </c:pt>
                <c:pt idx="4">
                  <c:v>70.27964963595096</c:v>
                </c:pt>
                <c:pt idx="5">
                  <c:v>68.696032425594552</c:v>
                </c:pt>
                <c:pt idx="6">
                  <c:v>67.357105745495375</c:v>
                </c:pt>
                <c:pt idx="7">
                  <c:v>66.197277320366993</c:v>
                </c:pt>
                <c:pt idx="8">
                  <c:v>65.174238787751463</c:v>
                </c:pt>
                <c:pt idx="9">
                  <c:v>64.259102294770557</c:v>
                </c:pt>
                <c:pt idx="10">
                  <c:v>58.238712666447881</c:v>
                </c:pt>
                <c:pt idx="11">
                  <c:v>54.717237948032562</c:v>
                </c:pt>
                <c:pt idx="12">
                  <c:v>52.218953837964364</c:v>
                </c:pt>
                <c:pt idx="13">
                  <c:v>50.281384333628047</c:v>
                </c:pt>
                <c:pt idx="14">
                  <c:v>48.698530269230332</c:v>
                </c:pt>
                <c:pt idx="15">
                  <c:v>47.36050539358915</c:v>
                </c:pt>
                <c:pt idx="16">
                  <c:v>46.201717383801991</c:v>
                </c:pt>
                <c:pt idx="17">
                  <c:v>45.179857822499855</c:v>
                </c:pt>
                <c:pt idx="18">
                  <c:v>44.26603879461144</c:v>
                </c:pt>
                <c:pt idx="19">
                  <c:v>38.266422120605583</c:v>
                </c:pt>
                <c:pt idx="20">
                  <c:v>34.779448038073241</c:v>
                </c:pt>
                <c:pt idx="21">
                  <c:v>32.329213790862781</c:v>
                </c:pt>
                <c:pt idx="22">
                  <c:v>30.452999346624278</c:v>
                </c:pt>
                <c:pt idx="23">
                  <c:v>28.944501408312004</c:v>
                </c:pt>
                <c:pt idx="24">
                  <c:v>27.693476084020368</c:v>
                </c:pt>
                <c:pt idx="25">
                  <c:v>26.633927326098373</c:v>
                </c:pt>
                <c:pt idx="26">
                  <c:v>25.72310486612534</c:v>
                </c:pt>
                <c:pt idx="27">
                  <c:v>24.931649003992533</c:v>
                </c:pt>
                <c:pt idx="28">
                  <c:v>22.182668500578451</c:v>
                </c:pt>
                <c:pt idx="29">
                  <c:v>20.668312322355888</c:v>
                </c:pt>
                <c:pt idx="30">
                  <c:v>19.872010134973387</c:v>
                </c:pt>
                <c:pt idx="31">
                  <c:v>19.549031243683547</c:v>
                </c:pt>
                <c:pt idx="32">
                  <c:v>19.566161933546841</c:v>
                </c:pt>
                <c:pt idx="33">
                  <c:v>19.847094441798458</c:v>
                </c:pt>
                <c:pt idx="34">
                  <c:v>20.348488504361157</c:v>
                </c:pt>
                <c:pt idx="35">
                  <c:v>21.047894564462855</c:v>
                </c:pt>
                <c:pt idx="36">
                  <c:v>21.936891160112797</c:v>
                </c:pt>
                <c:pt idx="37">
                  <c:v>23.015829830470217</c:v>
                </c:pt>
                <c:pt idx="38">
                  <c:v>24.286100394128187</c:v>
                </c:pt>
                <c:pt idx="39">
                  <c:v>25.731169101182033</c:v>
                </c:pt>
                <c:pt idx="40">
                  <c:v>27.2655338637827</c:v>
                </c:pt>
                <c:pt idx="41">
                  <c:v>28.623700453765572</c:v>
                </c:pt>
                <c:pt idx="42">
                  <c:v>29.283569953406804</c:v>
                </c:pt>
                <c:pt idx="43">
                  <c:v>28.839320980887557</c:v>
                </c:pt>
                <c:pt idx="44">
                  <c:v>27.55146233841165</c:v>
                </c:pt>
                <c:pt idx="45">
                  <c:v>25.967136515750727</c:v>
                </c:pt>
                <c:pt idx="46">
                  <c:v>24.409457483991751</c:v>
                </c:pt>
                <c:pt idx="47">
                  <c:v>22.987205992689749</c:v>
                </c:pt>
                <c:pt idx="48">
                  <c:v>21.716841696736338</c:v>
                </c:pt>
                <c:pt idx="49">
                  <c:v>20.585562843789404</c:v>
                </c:pt>
                <c:pt idx="50">
                  <c:v>19.574198667876281</c:v>
                </c:pt>
                <c:pt idx="51">
                  <c:v>18.664383664062111</c:v>
                </c:pt>
                <c:pt idx="52">
                  <c:v>17.840375597040534</c:v>
                </c:pt>
                <c:pt idx="53">
                  <c:v>17.089169995695773</c:v>
                </c:pt>
                <c:pt idx="54">
                  <c:v>16.400140186375697</c:v>
                </c:pt>
                <c:pt idx="55">
                  <c:v>15.764603305766849</c:v>
                </c:pt>
                <c:pt idx="56">
                  <c:v>15.175431685764782</c:v>
                </c:pt>
                <c:pt idx="57">
                  <c:v>14.626735009792736</c:v>
                </c:pt>
                <c:pt idx="58">
                  <c:v>14.113609100491608</c:v>
                </c:pt>
                <c:pt idx="59">
                  <c:v>13.631939764913721</c:v>
                </c:pt>
                <c:pt idx="60">
                  <c:v>13.178249937505482</c:v>
                </c:pt>
                <c:pt idx="61">
                  <c:v>12.749580207419706</c:v>
                </c:pt>
                <c:pt idx="62">
                  <c:v>12.343394923980933</c:v>
                </c:pt>
                <c:pt idx="63">
                  <c:v>11.957507906475428</c:v>
                </c:pt>
                <c:pt idx="64">
                  <c:v>11.590023237836375</c:v>
                </c:pt>
                <c:pt idx="65">
                  <c:v>11.23928773065434</c:v>
                </c:pt>
                <c:pt idx="66">
                  <c:v>10.903852485826748</c:v>
                </c:pt>
                <c:pt idx="67">
                  <c:v>10.58244158450133</c:v>
                </c:pt>
                <c:pt idx="68">
                  <c:v>10.273926416440773</c:v>
                </c:pt>
                <c:pt idx="69">
                  <c:v>9.9773044937429756</c:v>
                </c:pt>
                <c:pt idx="70">
                  <c:v>9.6916818586714406</c:v>
                </c:pt>
                <c:pt idx="71">
                  <c:v>9.4162583907129189</c:v>
                </c:pt>
                <c:pt idx="72">
                  <c:v>9.1503154673362292</c:v>
                </c:pt>
                <c:pt idx="73">
                  <c:v>8.8932055472891207</c:v>
                </c:pt>
                <c:pt idx="74">
                  <c:v>8.6443433334290525</c:v>
                </c:pt>
                <c:pt idx="75">
                  <c:v>8.4031982404963497</c:v>
                </c:pt>
                <c:pt idx="76">
                  <c:v>8.1692879466759507</c:v>
                </c:pt>
                <c:pt idx="77">
                  <c:v>7.9421728497998769</c:v>
                </c:pt>
                <c:pt idx="78">
                  <c:v>7.7214512822660817</c:v>
                </c:pt>
                <c:pt idx="79">
                  <c:v>7.5067553651821388</c:v>
                </c:pt>
                <c:pt idx="80">
                  <c:v>7.297747403392866</c:v>
                </c:pt>
                <c:pt idx="81">
                  <c:v>7.0941167400672525</c:v>
                </c:pt>
                <c:pt idx="82">
                  <c:v>6.8955770032822858</c:v>
                </c:pt>
                <c:pt idx="83">
                  <c:v>6.701863688227566</c:v>
                </c:pt>
                <c:pt idx="84">
                  <c:v>6.5127320277912588</c:v>
                </c:pt>
                <c:pt idx="85">
                  <c:v>6.3279551117844859</c:v>
                </c:pt>
                <c:pt idx="86">
                  <c:v>6.1473222212399214</c:v>
                </c:pt>
                <c:pt idx="87">
                  <c:v>5.9706373493338818</c:v>
                </c:pt>
                <c:pt idx="88">
                  <c:v>5.7977178847308197</c:v>
                </c:pt>
                <c:pt idx="89">
                  <c:v>5.6283934366942932</c:v>
                </c:pt>
                <c:pt idx="90">
                  <c:v>5.462504784277237</c:v>
                </c:pt>
                <c:pt idx="91">
                  <c:v>5.2999029343992712</c:v>
                </c:pt>
                <c:pt idx="92">
                  <c:v>5.140448275722628</c:v>
                </c:pt>
                <c:pt idx="93">
                  <c:v>4.9840098170185403</c:v>
                </c:pt>
                <c:pt idx="94">
                  <c:v>4.8304645002267197</c:v>
                </c:pt>
                <c:pt idx="95">
                  <c:v>4.6796965796972829</c:v>
                </c:pt>
                <c:pt idx="96">
                  <c:v>4.5315970602027198</c:v>
                </c:pt>
                <c:pt idx="97">
                  <c:v>4.3860631872485758</c:v>
                </c:pt>
                <c:pt idx="98">
                  <c:v>4.2429979840190528</c:v>
                </c:pt>
                <c:pt idx="99">
                  <c:v>4.1023098299896636</c:v>
                </c:pt>
                <c:pt idx="100">
                  <c:v>3.9639120768391667</c:v>
                </c:pt>
                <c:pt idx="101">
                  <c:v>3.8277226978128445</c:v>
                </c:pt>
                <c:pt idx="102">
                  <c:v>3.6936639671398011</c:v>
                </c:pt>
                <c:pt idx="103">
                  <c:v>3.5616621664987687</c:v>
                </c:pt>
                <c:pt idx="104">
                  <c:v>3.4316473158685157</c:v>
                </c:pt>
                <c:pt idx="105">
                  <c:v>3.303552926397054</c:v>
                </c:pt>
                <c:pt idx="106">
                  <c:v>3.1773157731847386</c:v>
                </c:pt>
                <c:pt idx="107">
                  <c:v>3.0528756861054642</c:v>
                </c:pt>
                <c:pt idx="108">
                  <c:v>2.9301753569908344</c:v>
                </c:pt>
                <c:pt idx="109">
                  <c:v>2.8091601616796265</c:v>
                </c:pt>
                <c:pt idx="110">
                  <c:v>2.6897779955905903</c:v>
                </c:pt>
                <c:pt idx="111">
                  <c:v>2.5719791216148762</c:v>
                </c:pt>
                <c:pt idx="112">
                  <c:v>2.4557160292462923</c:v>
                </c:pt>
                <c:pt idx="113">
                  <c:v>2.3409433039759375</c:v>
                </c:pt>
                <c:pt idx="114">
                  <c:v>2.227617506073901</c:v>
                </c:pt>
                <c:pt idx="115">
                  <c:v>2.1156970579661367</c:v>
                </c:pt>
                <c:pt idx="116">
                  <c:v>2.0051421394910802</c:v>
                </c:pt>
                <c:pt idx="117">
                  <c:v>1.8959145903882224</c:v>
                </c:pt>
                <c:pt idx="118">
                  <c:v>1.7879778194319091</c:v>
                </c:pt>
                <c:pt idx="119">
                  <c:v>1.6812967196778881</c:v>
                </c:pt>
                <c:pt idx="120">
                  <c:v>1.575837589338952</c:v>
                </c:pt>
                <c:pt idx="121">
                  <c:v>1.4715680578495582</c:v>
                </c:pt>
                <c:pt idx="122">
                  <c:v>1.3684570167189614</c:v>
                </c:pt>
                <c:pt idx="123">
                  <c:v>1.2664745548074665</c:v>
                </c:pt>
                <c:pt idx="124">
                  <c:v>1.1655918976924335</c:v>
                </c:pt>
                <c:pt idx="125">
                  <c:v>1.0657813508194016</c:v>
                </c:pt>
                <c:pt idx="126">
                  <c:v>0.96701624615964976</c:v>
                </c:pt>
                <c:pt idx="127">
                  <c:v>0.86927089211904152</c:v>
                </c:pt>
                <c:pt idx="128">
                  <c:v>0.77252052646429925</c:v>
                </c:pt>
                <c:pt idx="129">
                  <c:v>0.67674127205190715</c:v>
                </c:pt>
                <c:pt idx="130">
                  <c:v>0.58191009516276726</c:v>
                </c:pt>
                <c:pt idx="131">
                  <c:v>0.48800476626121142</c:v>
                </c:pt>
                <c:pt idx="132">
                  <c:v>0.39500382301161369</c:v>
                </c:pt>
                <c:pt idx="133">
                  <c:v>0.30288653539907906</c:v>
                </c:pt>
                <c:pt idx="134">
                  <c:v>0.21163287281250276</c:v>
                </c:pt>
                <c:pt idx="135">
                  <c:v>0.12122347295932383</c:v>
                </c:pt>
                <c:pt idx="136">
                  <c:v>3.1639612491384084E-2</c:v>
                </c:pt>
                <c:pt idx="137">
                  <c:v>-5.7136820769764646E-2</c:v>
                </c:pt>
                <c:pt idx="138">
                  <c:v>-0.14512335411124444</c:v>
                </c:pt>
                <c:pt idx="139">
                  <c:v>-0.23233695480649932</c:v>
                </c:pt>
                <c:pt idx="140">
                  <c:v>-0.31879405368071168</c:v>
                </c:pt>
                <c:pt idx="141">
                  <c:v>-0.40451056744610381</c:v>
                </c:pt>
                <c:pt idx="142">
                  <c:v>-0.48950191988329866</c:v>
                </c:pt>
                <c:pt idx="143">
                  <c:v>-0.57378306193952189</c:v>
                </c:pt>
                <c:pt idx="144">
                  <c:v>-0.65736849080940019</c:v>
                </c:pt>
                <c:pt idx="145">
                  <c:v>-0.74027226805947099</c:v>
                </c:pt>
                <c:pt idx="146">
                  <c:v>-0.82250803685351781</c:v>
                </c:pt>
                <c:pt idx="147">
                  <c:v>-0.90408903833147969</c:v>
                </c:pt>
                <c:pt idx="148">
                  <c:v>-0.98502812719164479</c:v>
                </c:pt>
                <c:pt idx="149">
                  <c:v>-1.0653377865220364</c:v>
                </c:pt>
                <c:pt idx="150">
                  <c:v>-1.1450301419241129</c:v>
                </c:pt>
                <c:pt idx="151">
                  <c:v>-1.2241169749689604</c:v>
                </c:pt>
                <c:pt idx="152">
                  <c:v>-1.3026097360234326</c:v>
                </c:pt>
                <c:pt idx="153">
                  <c:v>-1.3805195564815484</c:v>
                </c:pt>
                <c:pt idx="154">
                  <c:v>-1.4578572604337816</c:v>
                </c:pt>
                <c:pt idx="155">
                  <c:v>-1.534633375805182</c:v>
                </c:pt>
                <c:pt idx="156">
                  <c:v>-1.6108581449910511</c:v>
                </c:pt>
                <c:pt idx="157">
                  <c:v>-1.6865415350171975</c:v>
                </c:pt>
                <c:pt idx="158">
                  <c:v>-1.7616932472501792</c:v>
                </c:pt>
                <c:pt idx="159">
                  <c:v>-1.8363227266811719</c:v>
                </c:pt>
                <c:pt idx="160">
                  <c:v>-1.9104391708059689</c:v>
                </c:pt>
                <c:pt idx="161">
                  <c:v>-1.9840515381218928</c:v>
                </c:pt>
                <c:pt idx="162">
                  <c:v>-2.0571685562615247</c:v>
                </c:pt>
                <c:pt idx="163">
                  <c:v>-2.1297987297816148</c:v>
                </c:pt>
                <c:pt idx="164">
                  <c:v>-2.201950347624773</c:v>
                </c:pt>
                <c:pt idx="165">
                  <c:v>-2.2736314902702688</c:v>
                </c:pt>
                <c:pt idx="166">
                  <c:v>-2.3448500365894258</c:v>
                </c:pt>
                <c:pt idx="167">
                  <c:v>-2.4156136704202709</c:v>
                </c:pt>
                <c:pt idx="168">
                  <c:v>-2.4859298868750548</c:v>
                </c:pt>
                <c:pt idx="169">
                  <c:v>-2.5558059983937391</c:v>
                </c:pt>
                <c:pt idx="170">
                  <c:v>-2.6252491405555842</c:v>
                </c:pt>
                <c:pt idx="171">
                  <c:v>-2.6942662776605122</c:v>
                </c:pt>
                <c:pt idx="172">
                  <c:v>-2.7628642080910017</c:v>
                </c:pt>
                <c:pt idx="173">
                  <c:v>-2.8310495694650255</c:v>
                </c:pt>
                <c:pt idx="174">
                  <c:v>-2.898828843589591</c:v>
                </c:pt>
                <c:pt idx="175">
                  <c:v>-2.9662083612242856</c:v>
                </c:pt>
                <c:pt idx="176">
                  <c:v>-3.0331943066634404</c:v>
                </c:pt>
                <c:pt idx="177">
                  <c:v>-3.0997927221451742</c:v>
                </c:pt>
                <c:pt idx="178">
                  <c:v>-3.166009512095294</c:v>
                </c:pt>
                <c:pt idx="179">
                  <c:v>-3.231850447213283</c:v>
                </c:pt>
                <c:pt idx="180">
                  <c:v>-3.2973211684075214</c:v>
                </c:pt>
                <c:pt idx="181">
                  <c:v>-3.3624271905863932</c:v>
                </c:pt>
                <c:pt idx="182">
                  <c:v>-3.4271739063115687</c:v>
                </c:pt>
                <c:pt idx="183">
                  <c:v>-3.4915665893195063</c:v>
                </c:pt>
                <c:pt idx="184">
                  <c:v>-3.5556103979168747</c:v>
                </c:pt>
                <c:pt idx="185">
                  <c:v>-3.6193103782552605</c:v>
                </c:pt>
                <c:pt idx="186">
                  <c:v>-3.6826714674903691</c:v>
                </c:pt>
                <c:pt idx="187">
                  <c:v>-3.745698496830554</c:v>
                </c:pt>
                <c:pt idx="188">
                  <c:v>-3.8083961944793741</c:v>
                </c:pt>
                <c:pt idx="189">
                  <c:v>-3.8707691884765563</c:v>
                </c:pt>
                <c:pt idx="190">
                  <c:v>-3.9328220094415869</c:v>
                </c:pt>
                <c:pt idx="191">
                  <c:v>-3.9945590932239612</c:v>
                </c:pt>
                <c:pt idx="192">
                  <c:v>-4.0559847834638623</c:v>
                </c:pt>
                <c:pt idx="193">
                  <c:v>-4.117103334066921</c:v>
                </c:pt>
                <c:pt idx="194">
                  <c:v>-4.1779189115965325</c:v>
                </c:pt>
                <c:pt idx="195">
                  <c:v>-4.2384355975869994</c:v>
                </c:pt>
                <c:pt idx="196">
                  <c:v>-4.2986573907806678</c:v>
                </c:pt>
                <c:pt idx="197">
                  <c:v>-4.3585882092920718</c:v>
                </c:pt>
                <c:pt idx="198">
                  <c:v>-4.4182318927018729</c:v>
                </c:pt>
                <c:pt idx="199">
                  <c:v>-4.4775922040834217</c:v>
                </c:pt>
                <c:pt idx="200">
                  <c:v>-4.5366728319645047</c:v>
                </c:pt>
                <c:pt idx="201">
                  <c:v>-4.5954773922267407</c:v>
                </c:pt>
                <c:pt idx="202">
                  <c:v>-4.6540094299450496</c:v>
                </c:pt>
                <c:pt idx="203">
                  <c:v>-4.7122724211694598</c:v>
                </c:pt>
                <c:pt idx="204">
                  <c:v>-4.7702697746514069</c:v>
                </c:pt>
                <c:pt idx="205">
                  <c:v>-4.8280048335165899</c:v>
                </c:pt>
                <c:pt idx="206">
                  <c:v>-4.8854808768864206</c:v>
                </c:pt>
                <c:pt idx="207">
                  <c:v>-4.9427011214499359</c:v>
                </c:pt>
                <c:pt idx="208">
                  <c:v>-4.9996687229879635</c:v>
                </c:pt>
                <c:pt idx="209">
                  <c:v>-5.0563867778513423</c:v>
                </c:pt>
                <c:pt idx="210">
                  <c:v>-5.112858324394832</c:v>
                </c:pt>
                <c:pt idx="211">
                  <c:v>-5.1690863443682824</c:v>
                </c:pt>
                <c:pt idx="212">
                  <c:v>-5.2250737642666394</c:v>
                </c:pt>
                <c:pt idx="213">
                  <c:v>-5.2808234566402295</c:v>
                </c:pt>
                <c:pt idx="214">
                  <c:v>-5.336338241366728</c:v>
                </c:pt>
                <c:pt idx="215">
                  <c:v>-5.3916208868861677</c:v>
                </c:pt>
                <c:pt idx="216">
                  <c:v>-5.446674111400239</c:v>
                </c:pt>
                <c:pt idx="217">
                  <c:v>-5.5015005840371787</c:v>
                </c:pt>
                <c:pt idx="218">
                  <c:v>-5.55610292598341</c:v>
                </c:pt>
                <c:pt idx="219">
                  <c:v>-5.6104837115830613</c:v>
                </c:pt>
                <c:pt idx="220">
                  <c:v>-5.6646454694064605</c:v>
                </c:pt>
                <c:pt idx="221">
                  <c:v>-5.7185906832887046</c:v>
                </c:pt>
                <c:pt idx="222">
                  <c:v>-5.7723217933392039</c:v>
                </c:pt>
                <c:pt idx="223">
                  <c:v>-5.8258411969233306</c:v>
                </c:pt>
                <c:pt idx="224">
                  <c:v>-5.87915124961693</c:v>
                </c:pt>
                <c:pt idx="225">
                  <c:v>-5.9322542661347306</c:v>
                </c:pt>
                <c:pt idx="226">
                  <c:v>-6.4523792003423424</c:v>
                </c:pt>
                <c:pt idx="227">
                  <c:v>-6.9540751816009241</c:v>
                </c:pt>
                <c:pt idx="228">
                  <c:v>-7.4391040652471974</c:v>
                </c:pt>
                <c:pt idx="229">
                  <c:v>-7.9089694920703462</c:v>
                </c:pt>
                <c:pt idx="230">
                  <c:v>-8.3649632959398819</c:v>
                </c:pt>
                <c:pt idx="231">
                  <c:v>-8.8082021761277893</c:v>
                </c:pt>
                <c:pt idx="232">
                  <c:v>-9.2396569818730505</c:v>
                </c:pt>
                <c:pt idx="233">
                  <c:v>-9.6601763173139936</c:v>
                </c:pt>
                <c:pt idx="234">
                  <c:v>-10.070505728283434</c:v>
                </c:pt>
                <c:pt idx="235">
                  <c:v>-10.471303415409047</c:v>
                </c:pt>
                <c:pt idx="236">
                  <c:v>-10.863153189515725</c:v>
                </c:pt>
                <c:pt idx="237">
                  <c:v>-11.24657521844123</c:v>
                </c:pt>
                <c:pt idx="238">
                  <c:v>-11.622034990892251</c:v>
                </c:pt>
                <c:pt idx="239">
                  <c:v>-11.989950830503172</c:v>
                </c:pt>
                <c:pt idx="240">
                  <c:v>-12.350700223248332</c:v>
                </c:pt>
                <c:pt idx="241">
                  <c:v>-12.704625167794457</c:v>
                </c:pt>
                <c:pt idx="242">
                  <c:v>-13.052036716999888</c:v>
                </c:pt>
                <c:pt idx="243">
                  <c:v>-13.393218846508034</c:v>
                </c:pt>
                <c:pt idx="244">
                  <c:v>-13.72843176102039</c:v>
                </c:pt>
                <c:pt idx="245">
                  <c:v>-14.057914728736041</c:v>
                </c:pt>
                <c:pt idx="246">
                  <c:v>-14.381888518400391</c:v>
                </c:pt>
                <c:pt idx="247">
                  <c:v>-14.700557500510033</c:v>
                </c:pt>
                <c:pt idx="248">
                  <c:v>-15.014111463789563</c:v>
                </c:pt>
                <c:pt idx="249">
                  <c:v>-15.322727189568885</c:v>
                </c:pt>
                <c:pt idx="250">
                  <c:v>-15.626569819746976</c:v>
                </c:pt>
                <c:pt idx="251">
                  <c:v>-15.925794048319627</c:v>
                </c:pt>
                <c:pt idx="252">
                  <c:v>-16.220545161734524</c:v>
                </c:pt>
                <c:pt idx="253">
                  <c:v>-16.510959949426301</c:v>
                </c:pt>
                <c:pt idx="254">
                  <c:v>-16.797167502628355</c:v>
                </c:pt>
                <c:pt idx="255">
                  <c:v>-17.079289916836967</c:v>
                </c:pt>
                <c:pt idx="256">
                  <c:v>-17.357442911022179</c:v>
                </c:pt>
                <c:pt idx="257">
                  <c:v>-17.631736374761154</c:v>
                </c:pt>
                <c:pt idx="258">
                  <c:v>-17.902274852852113</c:v>
                </c:pt>
                <c:pt idx="259">
                  <c:v>-18.169157975598715</c:v>
                </c:pt>
                <c:pt idx="260">
                  <c:v>-18.432480841795801</c:v>
                </c:pt>
                <c:pt idx="261">
                  <c:v>-18.692334360462478</c:v>
                </c:pt>
                <c:pt idx="262">
                  <c:v>-18.948805556530427</c:v>
                </c:pt>
                <c:pt idx="263">
                  <c:v>-19.201977844980838</c:v>
                </c:pt>
                <c:pt idx="264">
                  <c:v>-19.451931277312447</c:v>
                </c:pt>
                <c:pt idx="265">
                  <c:v>-19.698742763700878</c:v>
                </c:pt>
                <c:pt idx="266">
                  <c:v>-19.942486273761549</c:v>
                </c:pt>
                <c:pt idx="267">
                  <c:v>-20.183233018443755</c:v>
                </c:pt>
                <c:pt idx="268">
                  <c:v>-20.42105161525334</c:v>
                </c:pt>
                <c:pt idx="269">
                  <c:v>-20.656008238716367</c:v>
                </c:pt>
                <c:pt idx="270">
                  <c:v>-20.888166757751243</c:v>
                </c:pt>
                <c:pt idx="271">
                  <c:v>-21.117588861404734</c:v>
                </c:pt>
                <c:pt idx="272">
                  <c:v>-21.3443341742245</c:v>
                </c:pt>
                <c:pt idx="273">
                  <c:v>-21.568460362382112</c:v>
                </c:pt>
                <c:pt idx="274">
                  <c:v>-21.790023231523563</c:v>
                </c:pt>
                <c:pt idx="275">
                  <c:v>-22.009076817205063</c:v>
                </c:pt>
                <c:pt idx="276">
                  <c:v>-22.225673468668575</c:v>
                </c:pt>
                <c:pt idx="277">
                  <c:v>-22.439863926621587</c:v>
                </c:pt>
                <c:pt idx="278">
                  <c:v>-22.651697395607453</c:v>
                </c:pt>
                <c:pt idx="279">
                  <c:v>-22.861221611484254</c:v>
                </c:pt>
                <c:pt idx="280">
                  <c:v>-23.068482904470848</c:v>
                </c:pt>
                <c:pt idx="281">
                  <c:v>-23.273526258166367</c:v>
                </c:pt>
                <c:pt idx="282">
                  <c:v>-23.476395364904445</c:v>
                </c:pt>
                <c:pt idx="283">
                  <c:v>-23.677132677763062</c:v>
                </c:pt>
                <c:pt idx="284">
                  <c:v>-23.875779459516465</c:v>
                </c:pt>
                <c:pt idx="285">
                  <c:v>-24.072375828784416</c:v>
                </c:pt>
                <c:pt idx="286">
                  <c:v>-24.266960803607635</c:v>
                </c:pt>
                <c:pt idx="287">
                  <c:v>-24.45957234265402</c:v>
                </c:pt>
                <c:pt idx="288">
                  <c:v>-24.65024738423962</c:v>
                </c:pt>
                <c:pt idx="289">
                  <c:v>-24.839021883329831</c:v>
                </c:pt>
                <c:pt idx="290">
                  <c:v>-25.025930846669787</c:v>
                </c:pt>
                <c:pt idx="291">
                  <c:v>-25.211008366178728</c:v>
                </c:pt>
                <c:pt idx="292">
                  <c:v>-25.394287650730085</c:v>
                </c:pt>
                <c:pt idx="293">
                  <c:v>-25.575801056427775</c:v>
                </c:pt>
                <c:pt idx="294">
                  <c:v>-25.755580115479091</c:v>
                </c:pt>
                <c:pt idx="295">
                  <c:v>-25.933655563755526</c:v>
                </c:pt>
                <c:pt idx="296">
                  <c:v>-26.11005736712481</c:v>
                </c:pt>
                <c:pt idx="297">
                  <c:v>-26.284814746630474</c:v>
                </c:pt>
                <c:pt idx="298">
                  <c:v>-26.457956202588502</c:v>
                </c:pt>
                <c:pt idx="299">
                  <c:v>-26.629509537665182</c:v>
                </c:pt>
                <c:pt idx="300">
                  <c:v>-26.799501878995038</c:v>
                </c:pt>
                <c:pt idx="301">
                  <c:v>-26.967959699392896</c:v>
                </c:pt>
                <c:pt idx="302">
                  <c:v>-27.13490883771026</c:v>
                </c:pt>
                <c:pt idx="303">
                  <c:v>-27.300374518382146</c:v>
                </c:pt>
                <c:pt idx="304">
                  <c:v>-27.464381370207271</c:v>
                </c:pt>
                <c:pt idx="305">
                  <c:v>-27.626953444401316</c:v>
                </c:pt>
                <c:pt idx="306">
                  <c:v>-27.788114231960257</c:v>
                </c:pt>
                <c:pt idx="307">
                  <c:v>-27.94788668036815</c:v>
                </c:pt>
                <c:pt idx="308">
                  <c:v>-28.10629320968139</c:v>
                </c:pt>
                <c:pt idx="309">
                  <c:v>-28.263355728019619</c:v>
                </c:pt>
                <c:pt idx="310">
                  <c:v>-28.419095646491069</c:v>
                </c:pt>
                <c:pt idx="311">
                  <c:v>-28.573533893578865</c:v>
                </c:pt>
                <c:pt idx="312">
                  <c:v>-28.726690929012729</c:v>
                </c:pt>
                <c:pt idx="313">
                  <c:v>-28.878586757149417</c:v>
                </c:pt>
                <c:pt idx="314">
                  <c:v>-29.029240939883579</c:v>
                </c:pt>
                <c:pt idx="315">
                  <c:v>-29.17867260910964</c:v>
                </c:pt>
                <c:pt idx="316">
                  <c:v>-29.326900478754034</c:v>
                </c:pt>
                <c:pt idx="317">
                  <c:v>-29.473942856396018</c:v>
                </c:pt>
                <c:pt idx="318">
                  <c:v>-29.619817654494515</c:v>
                </c:pt>
                <c:pt idx="319">
                  <c:v>-29.764542401237151</c:v>
                </c:pt>
                <c:pt idx="320">
                  <c:v>-29.908134251027086</c:v>
                </c:pt>
                <c:pt idx="321">
                  <c:v>-30.050609994622324</c:v>
                </c:pt>
                <c:pt idx="322">
                  <c:v>-30.191986068941411</c:v>
                </c:pt>
                <c:pt idx="323">
                  <c:v>-30.332278566548755</c:v>
                </c:pt>
                <c:pt idx="324">
                  <c:v>-30.471503244832206</c:v>
                </c:pt>
                <c:pt idx="325">
                  <c:v>-30.609675534884829</c:v>
                </c:pt>
                <c:pt idx="326">
                  <c:v>-30.746810550102261</c:v>
                </c:pt>
                <c:pt idx="327">
                  <c:v>-30.882923094506573</c:v>
                </c:pt>
                <c:pt idx="328">
                  <c:v>-31.01802767080693</c:v>
                </c:pt>
                <c:pt idx="329">
                  <c:v>-31.152138488206973</c:v>
                </c:pt>
                <c:pt idx="330">
                  <c:v>-31.285269469968298</c:v>
                </c:pt>
                <c:pt idx="331">
                  <c:v>-31.417434260739157</c:v>
                </c:pt>
                <c:pt idx="332">
                  <c:v>-31.548646233656857</c:v>
                </c:pt>
                <c:pt idx="333">
                  <c:v>-31.678918497232146</c:v>
                </c:pt>
                <c:pt idx="334">
                  <c:v>-31.80826390202354</c:v>
                </c:pt>
                <c:pt idx="335">
                  <c:v>-31.936695047108948</c:v>
                </c:pt>
                <c:pt idx="336">
                  <c:v>-32.064224286361984</c:v>
                </c:pt>
                <c:pt idx="337">
                  <c:v>-32.190863734539889</c:v>
                </c:pt>
                <c:pt idx="338">
                  <c:v>-32.316625273189416</c:v>
                </c:pt>
                <c:pt idx="339">
                  <c:v>-32.441520556377519</c:v>
                </c:pt>
                <c:pt idx="340">
                  <c:v>-32.565561016252374</c:v>
                </c:pt>
                <c:pt idx="341">
                  <c:v>-32.688757868441122</c:v>
                </c:pt>
                <c:pt idx="342">
                  <c:v>-32.811122117289486</c:v>
                </c:pt>
                <c:pt idx="343">
                  <c:v>-32.932664560949007</c:v>
                </c:pt>
                <c:pt idx="344">
                  <c:v>-33.053395796316849</c:v>
                </c:pt>
                <c:pt idx="345">
                  <c:v>-33.173326223833236</c:v>
                </c:pt>
                <c:pt idx="346">
                  <c:v>-33.292466052141293</c:v>
                </c:pt>
                <c:pt idx="347">
                  <c:v>-33.410825302613908</c:v>
                </c:pt>
                <c:pt idx="348">
                  <c:v>-33.528413813751925</c:v>
                </c:pt>
                <c:pt idx="349">
                  <c:v>-33.645241245458102</c:v>
                </c:pt>
                <c:pt idx="350">
                  <c:v>-33.761317083190704</c:v>
                </c:pt>
                <c:pt idx="351">
                  <c:v>-33.876650642000911</c:v>
                </c:pt>
                <c:pt idx="352">
                  <c:v>-33.991251070457508</c:v>
                </c:pt>
                <c:pt idx="353">
                  <c:v>-34.105127354462908</c:v>
                </c:pt>
                <c:pt idx="354">
                  <c:v>-34.218288320963588</c:v>
                </c:pt>
                <c:pt idx="355">
                  <c:v>-34.330742641558714</c:v>
                </c:pt>
                <c:pt idx="356">
                  <c:v>-34.442498836009847</c:v>
                </c:pt>
                <c:pt idx="357">
                  <c:v>-34.553565275655174</c:v>
                </c:pt>
                <c:pt idx="358">
                  <c:v>-34.663950186731142</c:v>
                </c:pt>
                <c:pt idx="359">
                  <c:v>-34.773661653604414</c:v>
                </c:pt>
                <c:pt idx="360">
                  <c:v>-34.882707621916921</c:v>
                </c:pt>
                <c:pt idx="361">
                  <c:v>-34.991095901646887</c:v>
                </c:pt>
                <c:pt idx="362">
                  <c:v>-35.098834170088267</c:v>
                </c:pt>
                <c:pt idx="363">
                  <c:v>-35.205929974751157</c:v>
                </c:pt>
                <c:pt idx="364">
                  <c:v>-35.312390736185684</c:v>
                </c:pt>
                <c:pt idx="365">
                  <c:v>-35.418223750731684</c:v>
                </c:pt>
                <c:pt idx="366">
                  <c:v>-35.523436193196382</c:v>
                </c:pt>
                <c:pt idx="367">
                  <c:v>-35.628035119462332</c:v>
                </c:pt>
                <c:pt idx="368">
                  <c:v>-35.732027469027706</c:v>
                </c:pt>
                <c:pt idx="369">
                  <c:v>-35.83542006748096</c:v>
                </c:pt>
                <c:pt idx="370">
                  <c:v>-35.938219628911895</c:v>
                </c:pt>
                <c:pt idx="371">
                  <c:v>-36.04043275826092</c:v>
                </c:pt>
                <c:pt idx="372">
                  <c:v>-36.142065953608451</c:v>
                </c:pt>
                <c:pt idx="373">
                  <c:v>-36.243125608406196</c:v>
                </c:pt>
                <c:pt idx="374">
                  <c:v>-36.343618013651991</c:v>
                </c:pt>
                <c:pt idx="375">
                  <c:v>-36.44354936000996</c:v>
                </c:pt>
                <c:pt idx="376">
                  <c:v>-36.542925739877418</c:v>
                </c:pt>
                <c:pt idx="377">
                  <c:v>-36.641753149400309</c:v>
                </c:pt>
                <c:pt idx="378">
                  <c:v>-36.740037490438446</c:v>
                </c:pt>
                <c:pt idx="379">
                  <c:v>-36.837784572482157</c:v>
                </c:pt>
                <c:pt idx="380">
                  <c:v>-36.935000114521713</c:v>
                </c:pt>
                <c:pt idx="381">
                  <c:v>-37.031689746870747</c:v>
                </c:pt>
                <c:pt idx="382">
                  <c:v>-37.127859012945308</c:v>
                </c:pt>
                <c:pt idx="383">
                  <c:v>-37.22351337099937</c:v>
                </c:pt>
                <c:pt idx="384">
                  <c:v>-37.318658195818479</c:v>
                </c:pt>
                <c:pt idx="385">
                  <c:v>-37.413298780372337</c:v>
                </c:pt>
                <c:pt idx="386">
                  <c:v>-37.507440337427809</c:v>
                </c:pt>
                <c:pt idx="387">
                  <c:v>-37.601088001123166</c:v>
                </c:pt>
                <c:pt idx="388">
                  <c:v>-37.694246828504895</c:v>
                </c:pt>
                <c:pt idx="389">
                  <c:v>-37.786921801027923</c:v>
                </c:pt>
                <c:pt idx="390">
                  <c:v>-37.879117826020433</c:v>
                </c:pt>
                <c:pt idx="391">
                  <c:v>-37.970839738114108</c:v>
                </c:pt>
                <c:pt idx="392">
                  <c:v>-38.062092300640856</c:v>
                </c:pt>
                <c:pt idx="393">
                  <c:v>-38.152880206996912</c:v>
                </c:pt>
                <c:pt idx="394">
                  <c:v>-38.243208081975084</c:v>
                </c:pt>
                <c:pt idx="395">
                  <c:v>-38.333080483066269</c:v>
                </c:pt>
                <c:pt idx="396">
                  <c:v>-38.422501901730811</c:v>
                </c:pt>
                <c:pt idx="397">
                  <c:v>-38.511476764640676</c:v>
                </c:pt>
                <c:pt idx="398">
                  <c:v>-38.600009434893131</c:v>
                </c:pt>
                <c:pt idx="399">
                  <c:v>-38.688104213196738</c:v>
                </c:pt>
                <c:pt idx="400">
                  <c:v>-38.775765339030485</c:v>
                </c:pt>
                <c:pt idx="401">
                  <c:v>-38.862996991776541</c:v>
                </c:pt>
                <c:pt idx="402">
                  <c:v>-38.949803291827543</c:v>
                </c:pt>
                <c:pt idx="403">
                  <c:v>-39.036188301669064</c:v>
                </c:pt>
                <c:pt idx="404">
                  <c:v>-39.122156026937787</c:v>
                </c:pt>
                <c:pt idx="405">
                  <c:v>-39.207710417456113</c:v>
                </c:pt>
                <c:pt idx="406">
                  <c:v>-39.292855368243842</c:v>
                </c:pt>
                <c:pt idx="407">
                  <c:v>-39.377594720507474</c:v>
                </c:pt>
                <c:pt idx="408">
                  <c:v>-39.461932262607675</c:v>
                </c:pt>
                <c:pt idx="409">
                  <c:v>-39.545871731005604</c:v>
                </c:pt>
                <c:pt idx="410">
                  <c:v>-39.629416811188463</c:v>
                </c:pt>
                <c:pt idx="411">
                  <c:v>-39.712571138574987</c:v>
                </c:pt>
                <c:pt idx="412">
                  <c:v>-39.795338299401223</c:v>
                </c:pt>
                <c:pt idx="413">
                  <c:v>-39.877721831587202</c:v>
                </c:pt>
                <c:pt idx="414">
                  <c:v>-39.959725225584982</c:v>
                </c:pt>
                <c:pt idx="415">
                  <c:v>-40.041351925208474</c:v>
                </c:pt>
                <c:pt idx="416">
                  <c:v>-40.122605328445502</c:v>
                </c:pt>
                <c:pt idx="417">
                  <c:v>-40.203488788252727</c:v>
                </c:pt>
                <c:pt idx="418">
                  <c:v>-40.284005613333562</c:v>
                </c:pt>
                <c:pt idx="419">
                  <c:v>-40.364159068899738</c:v>
                </c:pt>
                <c:pt idx="420">
                  <c:v>-40.443952377416828</c:v>
                </c:pt>
                <c:pt idx="421">
                  <c:v>-40.523388719334179</c:v>
                </c:pt>
                <c:pt idx="422">
                  <c:v>-40.602471233799491</c:v>
                </c:pt>
                <c:pt idx="423">
                  <c:v>-40.681203019358719</c:v>
                </c:pt>
                <c:pt idx="424">
                  <c:v>-40.759587134641244</c:v>
                </c:pt>
                <c:pt idx="425">
                  <c:v>-40.837626599031076</c:v>
                </c:pt>
                <c:pt idx="426">
                  <c:v>-40.915324393324148</c:v>
                </c:pt>
                <c:pt idx="427">
                  <c:v>-40.992683460372163</c:v>
                </c:pt>
                <c:pt idx="428">
                  <c:v>-41.069706705713301</c:v>
                </c:pt>
                <c:pt idx="429">
                  <c:v>-41.146396998190049</c:v>
                </c:pt>
                <c:pt idx="430">
                  <c:v>-41.222757170554587</c:v>
                </c:pt>
                <c:pt idx="431">
                  <c:v>-41.298790020061844</c:v>
                </c:pt>
                <c:pt idx="432">
                  <c:v>-41.374498309050665</c:v>
                </c:pt>
                <c:pt idx="433">
                  <c:v>-41.449884765513346</c:v>
                </c:pt>
                <c:pt idx="434">
                  <c:v>-41.524952083653766</c:v>
                </c:pt>
                <c:pt idx="435">
                  <c:v>-41.599702924434354</c:v>
                </c:pt>
                <c:pt idx="436">
                  <c:v>-41.674139916112281</c:v>
                </c:pt>
                <c:pt idx="437">
                  <c:v>-41.748265654765063</c:v>
                </c:pt>
                <c:pt idx="438">
                  <c:v>-41.822082704805666</c:v>
                </c:pt>
                <c:pt idx="439">
                  <c:v>-41.895593599487725</c:v>
                </c:pt>
                <c:pt idx="440">
                  <c:v>-41.968800841400636</c:v>
                </c:pt>
                <c:pt idx="441">
                  <c:v>-42.041706902955241</c:v>
                </c:pt>
                <c:pt idx="442">
                  <c:v>-42.114314226859847</c:v>
                </c:pt>
                <c:pt idx="443">
                  <c:v>-42.186625226587246</c:v>
                </c:pt>
                <c:pt idx="444">
                  <c:v>-42.258642286832568</c:v>
                </c:pt>
                <c:pt idx="445">
                  <c:v>-42.3303677639624</c:v>
                </c:pt>
                <c:pt idx="446">
                  <c:v>-42.401803986455334</c:v>
                </c:pt>
                <c:pt idx="447">
                  <c:v>-42.472953255334041</c:v>
                </c:pt>
                <c:pt idx="448">
                  <c:v>-42.543817844589185</c:v>
                </c:pt>
                <c:pt idx="449">
                  <c:v>-42.614400001595271</c:v>
                </c:pt>
                <c:pt idx="450">
                  <c:v>-42.684701947518619</c:v>
                </c:pt>
                <c:pt idx="451">
                  <c:v>-42.754725877717746</c:v>
                </c:pt>
                <c:pt idx="452">
                  <c:v>-42.824473962136153</c:v>
                </c:pt>
                <c:pt idx="453">
                  <c:v>-42.893948345687761</c:v>
                </c:pt>
                <c:pt idx="454">
                  <c:v>-42.963151148635262</c:v>
                </c:pt>
                <c:pt idx="455">
                  <c:v>-43.032084466961379</c:v>
                </c:pt>
                <c:pt idx="456">
                  <c:v>-43.100750372733216</c:v>
                </c:pt>
                <c:pt idx="457">
                  <c:v>-43.169150914459998</c:v>
                </c:pt>
                <c:pt idx="458">
                  <c:v>-43.237288117444152</c:v>
                </c:pt>
                <c:pt idx="459">
                  <c:v>-43.305163984125969</c:v>
                </c:pt>
                <c:pt idx="460">
                  <c:v>-43.372780494422038</c:v>
                </c:pt>
                <c:pt idx="461">
                  <c:v>-43.440139606057443</c:v>
                </c:pt>
                <c:pt idx="462">
                  <c:v>-43.507243254891961</c:v>
                </c:pt>
                <c:pt idx="463">
                  <c:v>-43.5740933552404</c:v>
                </c:pt>
                <c:pt idx="464">
                  <c:v>-43.640691800187128</c:v>
                </c:pt>
                <c:pt idx="465">
                  <c:v>-43.707040461894955</c:v>
                </c:pt>
                <c:pt idx="466">
                  <c:v>-43.77314119190855</c:v>
                </c:pt>
                <c:pt idx="467">
                  <c:v>-43.838995821452343</c:v>
                </c:pt>
                <c:pt idx="468">
                  <c:v>-43.904606161723258</c:v>
                </c:pt>
                <c:pt idx="469">
                  <c:v>-43.969974004178098</c:v>
                </c:pt>
                <c:pt idx="470">
                  <c:v>-44.035101120816051</c:v>
                </c:pt>
                <c:pt idx="471">
                  <c:v>-44.099989264456042</c:v>
                </c:pt>
                <c:pt idx="472">
                  <c:v>-44.16464016900936</c:v>
                </c:pt>
                <c:pt idx="473">
                  <c:v>-44.229055549747407</c:v>
                </c:pt>
                <c:pt idx="474">
                  <c:v>-44.293237103564891</c:v>
                </c:pt>
                <c:pt idx="475">
                  <c:v>-44.357186509238304</c:v>
                </c:pt>
                <c:pt idx="476">
                  <c:v>-44.420905427680097</c:v>
                </c:pt>
                <c:pt idx="477">
                  <c:v>-44.48439550218832</c:v>
                </c:pt>
                <c:pt idx="478">
                  <c:v>-44.547658358692026</c:v>
                </c:pt>
                <c:pt idx="479">
                  <c:v>-44.610695605992497</c:v>
                </c:pt>
                <c:pt idx="480">
                  <c:v>-44.673508836000295</c:v>
                </c:pt>
                <c:pt idx="481">
                  <c:v>-44.736099623968286</c:v>
                </c:pt>
                <c:pt idx="482">
                  <c:v>-44.798469528720695</c:v>
                </c:pt>
                <c:pt idx="483">
                  <c:v>-44.860620092878349</c:v>
                </c:pt>
                <c:pt idx="484">
                  <c:v>-44.92255284308002</c:v>
                </c:pt>
                <c:pt idx="485">
                  <c:v>-44.984269290200118</c:v>
                </c:pt>
                <c:pt idx="486">
                  <c:v>-45.045770929562643</c:v>
                </c:pt>
                <c:pt idx="487">
                  <c:v>-45.107059241151731</c:v>
                </c:pt>
                <c:pt idx="488">
                  <c:v>-45.168135689818484</c:v>
                </c:pt>
                <c:pt idx="489">
                  <c:v>-45.22900172548448</c:v>
                </c:pt>
                <c:pt idx="490">
                  <c:v>-45.289658783341913</c:v>
                </c:pt>
                <c:pt idx="491">
                  <c:v>-45.350108284050386</c:v>
                </c:pt>
                <c:pt idx="492">
                  <c:v>-45.410351633930468</c:v>
                </c:pt>
                <c:pt idx="493">
                  <c:v>-45.470390225154091</c:v>
                </c:pt>
                <c:pt idx="494">
                  <c:v>-45.530225435931882</c:v>
                </c:pt>
                <c:pt idx="495">
                  <c:v>-45.5898586306973</c:v>
                </c:pt>
                <c:pt idx="496">
                  <c:v>-45.649291160287916</c:v>
                </c:pt>
                <c:pt idx="497">
                  <c:v>-45.708524362123654</c:v>
                </c:pt>
                <c:pt idx="498">
                  <c:v>-45.767559560382267</c:v>
                </c:pt>
                <c:pt idx="499">
                  <c:v>-45.826398066171841</c:v>
                </c:pt>
                <c:pt idx="500">
                  <c:v>-45.88504117770065</c:v>
                </c:pt>
                <c:pt idx="501">
                  <c:v>-45.943490180444215</c:v>
                </c:pt>
                <c:pt idx="502">
                  <c:v>-46.001746347309719</c:v>
                </c:pt>
                <c:pt idx="503">
                  <c:v>-46.05981093879781</c:v>
                </c:pt>
                <c:pt idx="504">
                  <c:v>-46.117685203161841</c:v>
                </c:pt>
                <c:pt idx="505">
                  <c:v>-46.175370376564572</c:v>
                </c:pt>
                <c:pt idx="506">
                  <c:v>-46.232867683232371</c:v>
                </c:pt>
                <c:pt idx="507">
                  <c:v>-46.290178335607088</c:v>
                </c:pt>
                <c:pt idx="508">
                  <c:v>-46.347303534495403</c:v>
                </c:pt>
                <c:pt idx="509">
                  <c:v>-46.40424446921601</c:v>
                </c:pt>
                <c:pt idx="510">
                  <c:v>-46.461002317744331</c:v>
                </c:pt>
                <c:pt idx="511">
                  <c:v>-46.517578246855066</c:v>
                </c:pt>
                <c:pt idx="512">
                  <c:v>-46.573973412262582</c:v>
                </c:pt>
                <c:pt idx="513">
                  <c:v>-46.630188958759035</c:v>
                </c:pt>
                <c:pt idx="514">
                  <c:v>-46.686226020350389</c:v>
                </c:pt>
                <c:pt idx="515">
                  <c:v>-46.742085720390406</c:v>
                </c:pt>
                <c:pt idx="516">
                  <c:v>-46.797769171712488</c:v>
                </c:pt>
                <c:pt idx="517">
                  <c:v>-46.853277476759601</c:v>
                </c:pt>
                <c:pt idx="518">
                  <c:v>-46.908611727712106</c:v>
                </c:pt>
                <c:pt idx="519">
                  <c:v>-46.963773006613806</c:v>
                </c:pt>
                <c:pt idx="520">
                  <c:v>-47.018762385495862</c:v>
                </c:pt>
                <c:pt idx="521">
                  <c:v>-47.073580926499062</c:v>
                </c:pt>
                <c:pt idx="522">
                  <c:v>-47.128229681994171</c:v>
                </c:pt>
                <c:pt idx="523">
                  <c:v>-47.182709694700321</c:v>
                </c:pt>
                <c:pt idx="524">
                  <c:v>-47.237021997801911</c:v>
                </c:pt>
                <c:pt idx="525">
                  <c:v>-47.2911676150635</c:v>
                </c:pt>
                <c:pt idx="526">
                  <c:v>-47.34514756094314</c:v>
                </c:pt>
                <c:pt idx="527">
                  <c:v>-47.39896284070403</c:v>
                </c:pt>
                <c:pt idx="528">
                  <c:v>-47.452614450524358</c:v>
                </c:pt>
                <c:pt idx="529">
                  <c:v>-47.50610337760574</c:v>
                </c:pt>
                <c:pt idx="530">
                  <c:v>-47.559430600279896</c:v>
                </c:pt>
                <c:pt idx="531">
                  <c:v>-47.61259708811383</c:v>
                </c:pt>
                <c:pt idx="532">
                  <c:v>-47.665603802013479</c:v>
                </c:pt>
                <c:pt idx="533">
                  <c:v>-47.718451694325807</c:v>
                </c:pt>
                <c:pt idx="534">
                  <c:v>-47.77114170893941</c:v>
                </c:pt>
                <c:pt idx="535">
                  <c:v>-47.823674781383744</c:v>
                </c:pt>
                <c:pt idx="536">
                  <c:v>-47.87605183892677</c:v>
                </c:pt>
                <c:pt idx="537">
                  <c:v>-47.92827380067137</c:v>
                </c:pt>
                <c:pt idx="538">
                  <c:v>-47.980341577650179</c:v>
                </c:pt>
                <c:pt idx="539">
                  <c:v>-48.032256072919218</c:v>
                </c:pt>
                <c:pt idx="540">
                  <c:v>-48.084018181650087</c:v>
                </c:pt>
                <c:pt idx="541">
                  <c:v>-48.135628791220881</c:v>
                </c:pt>
                <c:pt idx="542">
                  <c:v>-48.187088781305803</c:v>
                </c:pt>
                <c:pt idx="543">
                  <c:v>-48.238399023963538</c:v>
                </c:pt>
                <c:pt idx="544">
                  <c:v>-48.289560383724236</c:v>
                </c:pt>
                <c:pt idx="545">
                  <c:v>-48.34057371767549</c:v>
                </c:pt>
                <c:pt idx="546">
                  <c:v>-48.391439875546894</c:v>
                </c:pt>
                <c:pt idx="547">
                  <c:v>-48.442159699793564</c:v>
                </c:pt>
                <c:pt idx="548">
                  <c:v>-48.492734025678381</c:v>
                </c:pt>
                <c:pt idx="549">
                  <c:v>-48.543163681353093</c:v>
                </c:pt>
                <c:pt idx="550">
                  <c:v>-48.593449487938436</c:v>
                </c:pt>
                <c:pt idx="551">
                  <c:v>-48.643592259602883</c:v>
                </c:pt>
                <c:pt idx="552">
                  <c:v>-48.693592803640541</c:v>
                </c:pt>
                <c:pt idx="553">
                  <c:v>-48.743451920547827</c:v>
                </c:pt>
                <c:pt idx="554">
                  <c:v>-48.793170404099115</c:v>
                </c:pt>
                <c:pt idx="555">
                  <c:v>-48.842749041421413</c:v>
                </c:pt>
                <c:pt idx="556">
                  <c:v>-48.89218861306788</c:v>
                </c:pt>
                <c:pt idx="557">
                  <c:v>-48.941489893090491</c:v>
                </c:pt>
                <c:pt idx="558">
                  <c:v>-48.990653649111579</c:v>
                </c:pt>
                <c:pt idx="559">
                  <c:v>-49.039680642394444</c:v>
                </c:pt>
                <c:pt idx="560">
                  <c:v>-49.088571627913105</c:v>
                </c:pt>
                <c:pt idx="561">
                  <c:v>-49.137327354420883</c:v>
                </c:pt>
                <c:pt idx="562">
                  <c:v>-49.185948564518313</c:v>
                </c:pt>
                <c:pt idx="563">
                  <c:v>-49.234435994719931</c:v>
                </c:pt>
                <c:pt idx="564">
                  <c:v>-49.282790375520307</c:v>
                </c:pt>
                <c:pt idx="565">
                  <c:v>-49.331012431459087</c:v>
                </c:pt>
                <c:pt idx="566">
                  <c:v>-49.379102881185275</c:v>
                </c:pt>
                <c:pt idx="567">
                  <c:v>-49.427062437520519</c:v>
                </c:pt>
                <c:pt idx="568">
                  <c:v>-49.474891807521686</c:v>
                </c:pt>
                <c:pt idx="569">
                  <c:v>-49.522591692542541</c:v>
                </c:pt>
                <c:pt idx="570">
                  <c:v>-49.570162788294596</c:v>
                </c:pt>
                <c:pt idx="571">
                  <c:v>-49.617605784907212</c:v>
                </c:pt>
                <c:pt idx="572">
                  <c:v>-49.664921366986846</c:v>
                </c:pt>
                <c:pt idx="573">
                  <c:v>-49.712110213675579</c:v>
                </c:pt>
                <c:pt idx="574">
                  <c:v>-49.759172998708806</c:v>
                </c:pt>
                <c:pt idx="575">
                  <c:v>-49.80611039047227</c:v>
                </c:pt>
                <c:pt idx="576">
                  <c:v>-49.852923052058209</c:v>
                </c:pt>
                <c:pt idx="577">
                  <c:v>-49.899611641320966</c:v>
                </c:pt>
                <c:pt idx="578">
                  <c:v>-49.946176810931668</c:v>
                </c:pt>
                <c:pt idx="579">
                  <c:v>-49.992619208432359</c:v>
                </c:pt>
                <c:pt idx="580">
                  <c:v>-50.038939476289372</c:v>
                </c:pt>
                <c:pt idx="581">
                  <c:v>-50.08513825194597</c:v>
                </c:pt>
                <c:pt idx="582">
                  <c:v>-50.131216167874399</c:v>
                </c:pt>
                <c:pt idx="583">
                  <c:v>-50.177173851627202</c:v>
                </c:pt>
                <c:pt idx="584">
                  <c:v>-50.223011925887931</c:v>
                </c:pt>
                <c:pt idx="585">
                  <c:v>-50.268731008521158</c:v>
                </c:pt>
                <c:pt idx="586">
                  <c:v>-50.3143317126219</c:v>
                </c:pt>
                <c:pt idx="587">
                  <c:v>-50.359814646564367</c:v>
                </c:pt>
                <c:pt idx="588">
                  <c:v>-50.405180414050143</c:v>
                </c:pt>
                <c:pt idx="589">
                  <c:v>-50.450429614155688</c:v>
                </c:pt>
                <c:pt idx="590">
                  <c:v>-50.495562841379396</c:v>
                </c:pt>
                <c:pt idx="591">
                  <c:v>-50.540580685687814</c:v>
                </c:pt>
                <c:pt idx="592">
                  <c:v>-50.585483732561521</c:v>
                </c:pt>
                <c:pt idx="593">
                  <c:v>-50.630272563040286</c:v>
                </c:pt>
                <c:pt idx="594">
                  <c:v>-50.674947753767711</c:v>
                </c:pt>
                <c:pt idx="595">
                  <c:v>-50.719509877035314</c:v>
                </c:pt>
                <c:pt idx="596">
                  <c:v>-50.763959500826132</c:v>
                </c:pt>
                <c:pt idx="597">
                  <c:v>-50.808297188857587</c:v>
                </c:pt>
                <c:pt idx="598">
                  <c:v>-50.852523500624052</c:v>
                </c:pt>
                <c:pt idx="599">
                  <c:v>-50.896638991438785</c:v>
                </c:pt>
                <c:pt idx="600">
                  <c:v>-50.940644212475299</c:v>
                </c:pt>
                <c:pt idx="601">
                  <c:v>-50.984539710808335</c:v>
                </c:pt>
                <c:pt idx="602">
                  <c:v>-51.028326029454256</c:v>
                </c:pt>
                <c:pt idx="603">
                  <c:v>-51.072003707410943</c:v>
                </c:pt>
                <c:pt idx="604">
                  <c:v>-51.11557327969728</c:v>
                </c:pt>
                <c:pt idx="605">
                  <c:v>-51.159035277392071</c:v>
                </c:pt>
                <c:pt idx="606">
                  <c:v>-53.205671399437826</c:v>
                </c:pt>
                <c:pt idx="607">
                  <c:v>-55.038700010664826</c:v>
                </c:pt>
                <c:pt idx="608">
                  <c:v>-56.698325484012464</c:v>
                </c:pt>
                <c:pt idx="609">
                  <c:v>-58.214371535571026</c:v>
                </c:pt>
                <c:pt idx="610">
                  <c:v>-59.609576560082203</c:v>
                </c:pt>
                <c:pt idx="611">
                  <c:v>-60.901677272779501</c:v>
                </c:pt>
                <c:pt idx="612">
                  <c:v>-62.104778024571274</c:v>
                </c:pt>
                <c:pt idx="613">
                  <c:v>-63.230280697159657</c:v>
                </c:pt>
                <c:pt idx="614">
                  <c:v>-64.287534280596574</c:v>
                </c:pt>
                <c:pt idx="615">
                  <c:v>-65.284299907376692</c:v>
                </c:pt>
                <c:pt idx="616">
                  <c:v>-66.227090997789091</c:v>
                </c:pt>
                <c:pt idx="617">
                  <c:v>-67.121426805566088</c:v>
                </c:pt>
                <c:pt idx="618">
                  <c:v>-67.466673666695584</c:v>
                </c:pt>
                <c:pt idx="619">
                  <c:v>-67.805200644520824</c:v>
                </c:pt>
                <c:pt idx="620">
                  <c:v>-68.137263280879537</c:v>
                </c:pt>
                <c:pt idx="621">
                  <c:v>-68.46310287962892</c:v>
                </c:pt>
                <c:pt idx="622">
                  <c:v>-68.782947541653073</c:v>
                </c:pt>
                <c:pt idx="623">
                  <c:v>-69.09701310759695</c:v>
                </c:pt>
                <c:pt idx="624">
                  <c:v>-69.405504018037149</c:v>
                </c:pt>
                <c:pt idx="625">
                  <c:v>-69.708614099624725</c:v>
                </c:pt>
                <c:pt idx="626">
                  <c:v>-70.006527284721528</c:v>
                </c:pt>
                <c:pt idx="627">
                  <c:v>-70.299418271171888</c:v>
                </c:pt>
                <c:pt idx="628">
                  <c:v>-70.587453128089606</c:v>
                </c:pt>
                <c:pt idx="629">
                  <c:v>-70.87078985287539</c:v>
                </c:pt>
                <c:pt idx="630">
                  <c:v>-71.149578884100691</c:v>
                </c:pt>
                <c:pt idx="631">
                  <c:v>-71.423963574386903</c:v>
                </c:pt>
                <c:pt idx="632">
                  <c:v>-71.69408062696472</c:v>
                </c:pt>
                <c:pt idx="633">
                  <c:v>-71.960060499207799</c:v>
                </c:pt>
                <c:pt idx="634">
                  <c:v>-72.222027776091366</c:v>
                </c:pt>
                <c:pt idx="635">
                  <c:v>-72.480101516223158</c:v>
                </c:pt>
                <c:pt idx="636">
                  <c:v>-72.734395572825719</c:v>
                </c:pt>
                <c:pt idx="637">
                  <c:v>-72.985018891812132</c:v>
                </c:pt>
                <c:pt idx="638">
                  <c:v>-73.232075788886178</c:v>
                </c:pt>
                <c:pt idx="639">
                  <c:v>-73.47566620741064</c:v>
                </c:pt>
                <c:pt idx="640">
                  <c:v>-73.715885958621101</c:v>
                </c:pt>
                <c:pt idx="641">
                  <c:v>-73.952826945613054</c:v>
                </c:pt>
                <c:pt idx="642">
                  <c:v>-74.186577372398062</c:v>
                </c:pt>
                <c:pt idx="643">
                  <c:v>-74.417221939204865</c:v>
                </c:pt>
                <c:pt idx="644">
                  <c:v>-74.644842025095656</c:v>
                </c:pt>
                <c:pt idx="645">
                  <c:v>-74.869515858870827</c:v>
                </c:pt>
                <c:pt idx="646">
                  <c:v>-75.091318679150746</c:v>
                </c:pt>
                <c:pt idx="647">
                  <c:v>-75.310322884444602</c:v>
                </c:pt>
                <c:pt idx="648">
                  <c:v>-75.526598173947022</c:v>
                </c:pt>
                <c:pt idx="649">
                  <c:v>-75.740211679740085</c:v>
                </c:pt>
                <c:pt idx="650">
                  <c:v>-75.951228091021164</c:v>
                </c:pt>
                <c:pt idx="651">
                  <c:v>-76.159709770925687</c:v>
                </c:pt>
                <c:pt idx="652">
                  <c:v>-76.365716866466983</c:v>
                </c:pt>
                <c:pt idx="653">
                  <c:v>-76.569307412073215</c:v>
                </c:pt>
                <c:pt idx="654">
                  <c:v>-76.770537427162481</c:v>
                </c:pt>
                <c:pt idx="655">
                  <c:v>-76.969461008162526</c:v>
                </c:pt>
                <c:pt idx="656">
                  <c:v>-77.166130415349642</c:v>
                </c:pt>
                <c:pt idx="657">
                  <c:v>-77.360596154851734</c:v>
                </c:pt>
                <c:pt idx="658">
                  <c:v>-77.5529070561347</c:v>
                </c:pt>
                <c:pt idx="659">
                  <c:v>-77.743110345266643</c:v>
                </c:pt>
                <c:pt idx="660">
                  <c:v>-77.931251714232417</c:v>
                </c:pt>
                <c:pt idx="661">
                  <c:v>-78.117375386550663</c:v>
                </c:pt>
                <c:pt idx="662">
                  <c:v>-78.301524179427133</c:v>
                </c:pt>
                <c:pt idx="663">
                  <c:v>-78.483739562660872</c:v>
                </c:pt>
                <c:pt idx="664">
                  <c:v>-78.664061714504271</c:v>
                </c:pt>
                <c:pt idx="665">
                  <c:v>-78.842529574663672</c:v>
                </c:pt>
                <c:pt idx="666">
                  <c:v>-79.019180894614223</c:v>
                </c:pt>
                <c:pt idx="667">
                  <c:v>-79.194052285390001</c:v>
                </c:pt>
              </c:numCache>
            </c:numRef>
          </c:yVal>
          <c:smooth val="0"/>
          <c:extLst>
            <c:ext xmlns:c16="http://schemas.microsoft.com/office/drawing/2014/chart" uri="{C3380CC4-5D6E-409C-BE32-E72D297353CC}">
              <c16:uniqueId val="{00000000-C07D-42E2-A0EE-08948D953CAF}"/>
            </c:ext>
          </c:extLst>
        </c:ser>
        <c:ser>
          <c:idx val="2"/>
          <c:order val="2"/>
          <c:tx>
            <c:v>Actual gain</c:v>
          </c:tx>
          <c:spPr>
            <a:ln w="38100">
              <a:solidFill>
                <a:srgbClr val="FF0000"/>
              </a:solidFill>
              <a:prstDash val="solid"/>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Calculations'!$BF$9:$BF$676</c:f>
              <c:numCache>
                <c:formatCode>General</c:formatCode>
                <c:ptCount val="668"/>
                <c:pt idx="0">
                  <c:v>78.550773470365939</c:v>
                </c:pt>
                <c:pt idx="1">
                  <c:v>75.968396887364733</c:v>
                </c:pt>
                <c:pt idx="2">
                  <c:v>73.545368352108696</c:v>
                </c:pt>
                <c:pt idx="3">
                  <c:v>71.507852323793188</c:v>
                </c:pt>
                <c:pt idx="4">
                  <c:v>69.800953862236156</c:v>
                </c:pt>
                <c:pt idx="5">
                  <c:v>68.348340682619963</c:v>
                </c:pt>
                <c:pt idx="6">
                  <c:v>67.090358411476274</c:v>
                </c:pt>
                <c:pt idx="7">
                  <c:v>65.983885071923936</c:v>
                </c:pt>
                <c:pt idx="8">
                  <c:v>64.997809082784315</c:v>
                </c:pt>
                <c:pt idx="9">
                  <c:v>64.109306009533924</c:v>
                </c:pt>
                <c:pt idx="10">
                  <c:v>58.175186092692279</c:v>
                </c:pt>
                <c:pt idx="11">
                  <c:v>54.669877039709377</c:v>
                </c:pt>
                <c:pt idx="12">
                  <c:v>52.177265173589873</c:v>
                </c:pt>
                <c:pt idx="13">
                  <c:v>50.242323634647128</c:v>
                </c:pt>
                <c:pt idx="14">
                  <c:v>48.660897791393403</c:v>
                </c:pt>
                <c:pt idx="15">
                  <c:v>47.323734333415743</c:v>
                </c:pt>
                <c:pt idx="16">
                  <c:v>46.165505527157151</c:v>
                </c:pt>
                <c:pt idx="17">
                  <c:v>45.14402941489039</c:v>
                </c:pt>
                <c:pt idx="18">
                  <c:v>44.230484706297986</c:v>
                </c:pt>
                <c:pt idx="19">
                  <c:v>38.231745937139898</c:v>
                </c:pt>
                <c:pt idx="20">
                  <c:v>34.744935728476982</c:v>
                </c:pt>
                <c:pt idx="21">
                  <c:v>32.294760349907072</c:v>
                </c:pt>
                <c:pt idx="22">
                  <c:v>30.418574811843154</c:v>
                </c:pt>
                <c:pt idx="23">
                  <c:v>28.910094334922828</c:v>
                </c:pt>
                <c:pt idx="24">
                  <c:v>27.659081372262925</c:v>
                </c:pt>
                <c:pt idx="25">
                  <c:v>26.599542526608865</c:v>
                </c:pt>
                <c:pt idx="26">
                  <c:v>25.688728795703376</c:v>
                </c:pt>
                <c:pt idx="27">
                  <c:v>24.897281146301971</c:v>
                </c:pt>
                <c:pt idx="28">
                  <c:v>22.14834312021566</c:v>
                </c:pt>
                <c:pt idx="29">
                  <c:v>20.634039580735571</c:v>
                </c:pt>
                <c:pt idx="30">
                  <c:v>19.837803188485449</c:v>
                </c:pt>
                <c:pt idx="31">
                  <c:v>19.514903980518795</c:v>
                </c:pt>
                <c:pt idx="32">
                  <c:v>19.532128484785748</c:v>
                </c:pt>
                <c:pt idx="33">
                  <c:v>19.813169031640687</c:v>
                </c:pt>
                <c:pt idx="34">
                  <c:v>20.314685392775967</c:v>
                </c:pt>
                <c:pt idx="35">
                  <c:v>21.014228021239777</c:v>
                </c:pt>
                <c:pt idx="36">
                  <c:v>21.903375451345653</c:v>
                </c:pt>
                <c:pt idx="37">
                  <c:v>22.982479210556068</c:v>
                </c:pt>
                <c:pt idx="38">
                  <c:v>24.252929100437868</c:v>
                </c:pt>
                <c:pt idx="39">
                  <c:v>25.698191350119885</c:v>
                </c:pt>
                <c:pt idx="40">
                  <c:v>27.232763847612201</c:v>
                </c:pt>
                <c:pt idx="41">
                  <c:v>28.591152337878796</c:v>
                </c:pt>
                <c:pt idx="42">
                  <c:v>29.251257873862613</c:v>
                </c:pt>
                <c:pt idx="43">
                  <c:v>28.807259042118893</c:v>
                </c:pt>
                <c:pt idx="44">
                  <c:v>27.519664611043396</c:v>
                </c:pt>
                <c:pt idx="45">
                  <c:v>25.935617034492321</c:v>
                </c:pt>
                <c:pt idx="46">
                  <c:v>24.378230245582181</c:v>
                </c:pt>
                <c:pt idx="47">
                  <c:v>22.956284953880747</c:v>
                </c:pt>
                <c:pt idx="48">
                  <c:v>21.686240772304295</c:v>
                </c:pt>
                <c:pt idx="49">
                  <c:v>20.555295904569796</c:v>
                </c:pt>
                <c:pt idx="50">
                  <c:v>19.544279538816525</c:v>
                </c:pt>
                <c:pt idx="51">
                  <c:v>18.634826122289866</c:v>
                </c:pt>
                <c:pt idx="52">
                  <c:v>17.811193369945663</c:v>
                </c:pt>
                <c:pt idx="53">
                  <c:v>17.060376759024557</c:v>
                </c:pt>
                <c:pt idx="54">
                  <c:v>16.371749562336404</c:v>
                </c:pt>
                <c:pt idx="55">
                  <c:v>15.736628861146148</c:v>
                </c:pt>
                <c:pt idx="56">
                  <c:v>15.147886930054566</c:v>
                </c:pt>
                <c:pt idx="57">
                  <c:v>14.599633393327188</c:v>
                </c:pt>
                <c:pt idx="58">
                  <c:v>14.08696401259434</c:v>
                </c:pt>
                <c:pt idx="59">
                  <c:v>13.605764532055048</c:v>
                </c:pt>
                <c:pt idx="60">
                  <c:v>13.152557821469825</c:v>
                </c:pt>
                <c:pt idx="61">
                  <c:v>12.72438440348321</c:v>
                </c:pt>
                <c:pt idx="62">
                  <c:v>12.318708559099449</c:v>
                </c:pt>
                <c:pt idx="63">
                  <c:v>11.933344037482982</c:v>
                </c:pt>
                <c:pt idx="64">
                  <c:v>11.566394849654316</c:v>
                </c:pt>
                <c:pt idx="65">
                  <c:v>11.216207734511279</c:v>
                </c:pt>
                <c:pt idx="66">
                  <c:v>10.881333717489632</c:v>
                </c:pt>
                <c:pt idx="67">
                  <c:v>10.560496802517614</c:v>
                </c:pt>
                <c:pt idx="68">
                  <c:v>10.252568300392165</c:v>
                </c:pt>
                <c:pt idx="69">
                  <c:v>9.9565456425107044</c:v>
                </c:pt>
                <c:pt idx="70">
                  <c:v>9.6715347887134921</c:v>
                </c:pt>
                <c:pt idx="71">
                  <c:v>9.3967355343532635</c:v>
                </c:pt>
                <c:pt idx="72">
                  <c:v>9.1314291710663316</c:v>
                </c:pt>
                <c:pt idx="73">
                  <c:v>8.8749680700819944</c:v>
                </c:pt>
                <c:pt idx="74">
                  <c:v>8.6267668450659869</c:v>
                </c:pt>
                <c:pt idx="75">
                  <c:v>8.3862948199065439</c:v>
                </c:pt>
                <c:pt idx="76">
                  <c:v>8.1530695802892854</c:v>
                </c:pt>
                <c:pt idx="77">
                  <c:v>7.9266514299130444</c:v>
                </c:pt>
                <c:pt idx="78">
                  <c:v>7.7066386054221825</c:v>
                </c:pt>
                <c:pt idx="79">
                  <c:v>7.492663130564102</c:v>
                </c:pt>
                <c:pt idx="80">
                  <c:v>7.2843872112307722</c:v>
                </c:pt>
                <c:pt idx="81">
                  <c:v>7.0815000900597713</c:v>
                </c:pt>
                <c:pt idx="82">
                  <c:v>6.8837152930325187</c:v>
                </c:pt>
                <c:pt idx="83">
                  <c:v>6.6907682116933396</c:v>
                </c:pt>
                <c:pt idx="84">
                  <c:v>6.5024139737501994</c:v>
                </c:pt>
                <c:pt idx="85">
                  <c:v>6.3184255623139336</c:v>
                </c:pt>
                <c:pt idx="86">
                  <c:v>6.1385921502120189</c:v>
                </c:pt>
                <c:pt idx="87">
                  <c:v>5.9627176209258215</c:v>
                </c:pt>
                <c:pt idx="88">
                  <c:v>5.7906192519506385</c:v>
                </c:pt>
                <c:pt idx="89">
                  <c:v>5.6221265399222116</c:v>
                </c:pt>
                <c:pt idx="90">
                  <c:v>5.4570801498228105</c:v>
                </c:pt>
                <c:pt idx="91">
                  <c:v>5.2953309730745213</c:v>
                </c:pt>
                <c:pt idx="92">
                  <c:v>5.1367392814312405</c:v>
                </c:pt>
                <c:pt idx="93">
                  <c:v>4.9811739653613607</c:v>
                </c:pt>
                <c:pt idx="94">
                  <c:v>4.828511847123699</c:v>
                </c:pt>
                <c:pt idx="95">
                  <c:v>4.6786370600259843</c:v>
                </c:pt>
                <c:pt idx="96">
                  <c:v>4.531440486453576</c:v>
                </c:pt>
                <c:pt idx="97">
                  <c:v>4.386819248197015</c:v>
                </c:pt>
                <c:pt idx="98">
                  <c:v>4.2446762434146486</c:v>
                </c:pt>
                <c:pt idx="99">
                  <c:v>4.1049197252624339</c:v>
                </c:pt>
                <c:pt idx="100">
                  <c:v>3.9674629178231724</c:v>
                </c:pt>
                <c:pt idx="101">
                  <c:v>3.8322236654872341</c:v>
                </c:pt>
                <c:pt idx="102">
                  <c:v>3.6991241123873597</c:v>
                </c:pt>
                <c:pt idx="103">
                  <c:v>3.5680904088821612</c:v>
                </c:pt>
                <c:pt idx="104">
                  <c:v>3.4390524424243409</c:v>
                </c:pt>
                <c:pt idx="105">
                  <c:v>3.3119435904477608</c:v>
                </c:pt>
                <c:pt idx="106">
                  <c:v>3.1867004931686136</c:v>
                </c:pt>
                <c:pt idx="107">
                  <c:v>3.0632628444246968</c:v>
                </c:pt>
                <c:pt idx="108">
                  <c:v>2.9415731988778471</c:v>
                </c:pt>
                <c:pt idx="109">
                  <c:v>2.8215767940817087</c:v>
                </c:pt>
                <c:pt idx="110">
                  <c:v>2.7032213860729879</c:v>
                </c:pt>
                <c:pt idx="111">
                  <c:v>2.5864570972823686</c:v>
                </c:pt>
                <c:pt idx="112">
                  <c:v>2.4712362756834052</c:v>
                </c:pt>
                <c:pt idx="113">
                  <c:v>2.3575133642058206</c:v>
                </c:pt>
                <c:pt idx="114">
                  <c:v>2.2452447795359989</c:v>
                </c:pt>
                <c:pt idx="115">
                  <c:v>2.134388799512724</c:v>
                </c:pt>
                <c:pt idx="116">
                  <c:v>2.0249054584026842</c:v>
                </c:pt>
                <c:pt idx="117">
                  <c:v>1.9167564494080618</c:v>
                </c:pt>
                <c:pt idx="118">
                  <c:v>1.8099050338193845</c:v>
                </c:pt>
                <c:pt idx="119">
                  <c:v>1.7043159562812169</c:v>
                </c:pt>
                <c:pt idx="120">
                  <c:v>1.5999553656869363</c:v>
                </c:pt>
                <c:pt idx="121">
                  <c:v>1.496790741262646</c:v>
                </c:pt>
                <c:pt idx="122">
                  <c:v>1.3947908234395388</c:v>
                </c:pt>
                <c:pt idx="123">
                  <c:v>1.293925549149525</c:v>
                </c:pt>
                <c:pt idx="124">
                  <c:v>1.1941659912105773</c:v>
                </c:pt>
                <c:pt idx="125">
                  <c:v>1.095484301497291</c:v>
                </c:pt>
                <c:pt idx="126">
                  <c:v>0.9978536576178918</c:v>
                </c:pt>
                <c:pt idx="127">
                  <c:v>0.90124821284256451</c:v>
                </c:pt>
                <c:pt idx="128">
                  <c:v>0.8056430490492168</c:v>
                </c:pt>
                <c:pt idx="129">
                  <c:v>0.71101413247195433</c:v>
                </c:pt>
                <c:pt idx="130">
                  <c:v>0.61733827205526692</c:v>
                </c:pt>
                <c:pt idx="131">
                  <c:v>0.52459308023261941</c:v>
                </c:pt>
                <c:pt idx="132">
                  <c:v>0.43275693596265263</c:v>
                </c:pt>
                <c:pt idx="133">
                  <c:v>0.34180894986947075</c:v>
                </c:pt>
                <c:pt idx="134">
                  <c:v>0.25172893134530661</c:v>
                </c:pt>
                <c:pt idx="135">
                  <c:v>0.16249735748488209</c:v>
                </c:pt>
                <c:pt idx="136">
                  <c:v>7.4095343730865459E-2</c:v>
                </c:pt>
                <c:pt idx="137">
                  <c:v>-1.3495383881183785E-2</c:v>
                </c:pt>
                <c:pt idx="138">
                  <c:v>-0.10029251498166399</c:v>
                </c:pt>
                <c:pt idx="139">
                  <c:v>-0.18631317972493688</c:v>
                </c:pt>
                <c:pt idx="140">
                  <c:v>-0.27157397233520292</c:v>
                </c:pt>
                <c:pt idx="141">
                  <c:v>-0.35609097342224172</c:v>
                </c:pt>
                <c:pt idx="142">
                  <c:v>-0.43987977114323418</c:v>
                </c:pt>
                <c:pt idx="143">
                  <c:v>-0.5229554812814643</c:v>
                </c:pt>
                <c:pt idx="144">
                  <c:v>-0.6053327663076451</c:v>
                </c:pt>
                <c:pt idx="145">
                  <c:v>-0.68702585348496059</c:v>
                </c:pt>
                <c:pt idx="146">
                  <c:v>-0.76804855207499378</c:v>
                </c:pt>
                <c:pt idx="147">
                  <c:v>-0.84841426969725242</c:v>
                </c:pt>
                <c:pt idx="148">
                  <c:v>-0.92813602789205363</c:v>
                </c:pt>
                <c:pt idx="149">
                  <c:v>-1.0072264769325627</c:v>
                </c:pt>
                <c:pt idx="150">
                  <c:v>-1.0856979099292918</c:v>
                </c:pt>
                <c:pt idx="151">
                  <c:v>-1.1635622762670701</c:v>
                </c:pt>
                <c:pt idx="152">
                  <c:v>-1.2408311944120543</c:v>
                </c:pt>
                <c:pt idx="153">
                  <c:v>-1.3175159641240286</c:v>
                </c:pt>
                <c:pt idx="154">
                  <c:v>-1.3936275781066521</c:v>
                </c:pt>
                <c:pt idx="155">
                  <c:v>-1.4691767331266408</c:v>
                </c:pt>
                <c:pt idx="156">
                  <c:v>-1.5441738406305092</c:v>
                </c:pt>
                <c:pt idx="157">
                  <c:v>-1.6186290368860101</c:v>
                </c:pt>
                <c:pt idx="158">
                  <c:v>-1.6925521926735891</c:v>
                </c:pt>
                <c:pt idx="159">
                  <c:v>-1.7659529225516002</c:v>
                </c:pt>
                <c:pt idx="160">
                  <c:v>-1.8388405937176266</c:v>
                </c:pt>
                <c:pt idx="161">
                  <c:v>-1.9112243344869204</c:v>
                </c:pt>
                <c:pt idx="162">
                  <c:v>-1.9831130424076107</c:v>
                </c:pt>
                <c:pt idx="163">
                  <c:v>-2.0545153920312904</c:v>
                </c:pt>
                <c:pt idx="164">
                  <c:v>-2.1254398423563954</c:v>
                </c:pt>
                <c:pt idx="165">
                  <c:v>-2.1958946439607931</c:v>
                </c:pt>
                <c:pt idx="166">
                  <c:v>-2.265887845839111</c:v>
                </c:pt>
                <c:pt idx="167">
                  <c:v>-2.3354273019593195</c:v>
                </c:pt>
                <c:pt idx="168">
                  <c:v>-2.4045206775523802</c:v>
                </c:pt>
                <c:pt idx="169">
                  <c:v>-2.4731754551478859</c:v>
                </c:pt>
                <c:pt idx="170">
                  <c:v>-2.541398940367964</c:v>
                </c:pt>
                <c:pt idx="171">
                  <c:v>-2.6091982674909491</c:v>
                </c:pt>
                <c:pt idx="172">
                  <c:v>-2.6765804047958772</c:v>
                </c:pt>
                <c:pt idx="173">
                  <c:v>-2.7435521596979324</c:v>
                </c:pt>
                <c:pt idx="174">
                  <c:v>-2.8101201836847478</c:v>
                </c:pt>
                <c:pt idx="175">
                  <c:v>-2.8762909770627463</c:v>
                </c:pt>
                <c:pt idx="176">
                  <c:v>-2.9420708935222213</c:v>
                </c:pt>
                <c:pt idx="177">
                  <c:v>-3.0074661445295092</c:v>
                </c:pt>
                <c:pt idx="178">
                  <c:v>-3.0724828035539629</c:v>
                </c:pt>
                <c:pt idx="179">
                  <c:v>-3.1371268101372989</c:v>
                </c:pt>
                <c:pt idx="180">
                  <c:v>-3.2014039738121802</c:v>
                </c:pt>
                <c:pt idx="181">
                  <c:v>-3.2653199778769082</c:v>
                </c:pt>
                <c:pt idx="182">
                  <c:v>-3.3288803830323204</c:v>
                </c:pt>
                <c:pt idx="183">
                  <c:v>-3.392090630887111</c:v>
                </c:pt>
                <c:pt idx="184">
                  <c:v>-3.4549560473371548</c:v>
                </c:pt>
                <c:pt idx="185">
                  <c:v>-3.5174818458242774</c:v>
                </c:pt>
                <c:pt idx="186">
                  <c:v>-3.5796731304796197</c:v>
                </c:pt>
                <c:pt idx="187">
                  <c:v>-3.6415348991565049</c:v>
                </c:pt>
                <c:pt idx="188">
                  <c:v>-3.7030720463574331</c:v>
                </c:pt>
                <c:pt idx="189">
                  <c:v>-3.7642893660596339</c:v>
                </c:pt>
                <c:pt idx="190">
                  <c:v>-3.8251915544433897</c:v>
                </c:pt>
                <c:pt idx="191">
                  <c:v>-3.8857832125271545</c:v>
                </c:pt>
                <c:pt idx="192">
                  <c:v>-3.94606884871324</c:v>
                </c:pt>
                <c:pt idx="193">
                  <c:v>-4.0060528812477223</c:v>
                </c:pt>
                <c:pt idx="194">
                  <c:v>-4.0657396405980721</c:v>
                </c:pt>
                <c:pt idx="195">
                  <c:v>-4.1251333717517378</c:v>
                </c:pt>
                <c:pt idx="196">
                  <c:v>-4.1842382364388628</c:v>
                </c:pt>
                <c:pt idx="197">
                  <c:v>-4.2430583152821573</c:v>
                </c:pt>
                <c:pt idx="198">
                  <c:v>-4.3015976098767563</c:v>
                </c:pt>
                <c:pt idx="199">
                  <c:v>-4.3598600448027982</c:v>
                </c:pt>
                <c:pt idx="200">
                  <c:v>-4.4178494695733734</c:v>
                </c:pt>
                <c:pt idx="201">
                  <c:v>-4.475569660520244</c:v>
                </c:pt>
                <c:pt idx="202">
                  <c:v>-4.533024322619827</c:v>
                </c:pt>
                <c:pt idx="203">
                  <c:v>-4.5902170912616409</c:v>
                </c:pt>
                <c:pt idx="204">
                  <c:v>-4.6471515339614253</c:v>
                </c:pt>
                <c:pt idx="205">
                  <c:v>-4.7038311520209302</c:v>
                </c:pt>
                <c:pt idx="206">
                  <c:v>-4.760259382136506</c:v>
                </c:pt>
                <c:pt idx="207">
                  <c:v>-4.8164395979582997</c:v>
                </c:pt>
                <c:pt idx="208">
                  <c:v>-4.8723751116018228</c:v>
                </c:pt>
                <c:pt idx="209">
                  <c:v>-4.928069175113813</c:v>
                </c:pt>
                <c:pt idx="210">
                  <c:v>-4.9835249818938365</c:v>
                </c:pt>
                <c:pt idx="211">
                  <c:v>-5.0387456680734424</c:v>
                </c:pt>
                <c:pt idx="212">
                  <c:v>-5.0937343138541973</c:v>
                </c:pt>
                <c:pt idx="213">
                  <c:v>-5.1484939448062059</c:v>
                </c:pt>
                <c:pt idx="214">
                  <c:v>-5.2030275331285303</c:v>
                </c:pt>
                <c:pt idx="215">
                  <c:v>-5.2573379988726918</c:v>
                </c:pt>
                <c:pt idx="216">
                  <c:v>-5.3114282111307602</c:v>
                </c:pt>
                <c:pt idx="217">
                  <c:v>-5.3653009891890733</c:v>
                </c:pt>
                <c:pt idx="218">
                  <c:v>-5.4189591036490032</c:v>
                </c:pt>
                <c:pt idx="219">
                  <c:v>-5.4724052775156329</c:v>
                </c:pt>
                <c:pt idx="220">
                  <c:v>-5.5256421872556665</c:v>
                </c:pt>
                <c:pt idx="221">
                  <c:v>-5.5786724638255061</c:v>
                </c:pt>
                <c:pt idx="222">
                  <c:v>-5.6314986936705838</c:v>
                </c:pt>
                <c:pt idx="223">
                  <c:v>-5.6841234196968227</c:v>
                </c:pt>
                <c:pt idx="224">
                  <c:v>-5.7365491422152273</c:v>
                </c:pt>
                <c:pt idx="225">
                  <c:v>-5.7887783198604819</c:v>
                </c:pt>
                <c:pt idx="226">
                  <c:v>-6.3007729477507413</c:v>
                </c:pt>
                <c:pt idx="227">
                  <c:v>-6.7955396629520397</c:v>
                </c:pt>
                <c:pt idx="228">
                  <c:v>-7.274969439009757</c:v>
                </c:pt>
                <c:pt idx="229">
                  <c:v>-7.7406851741003289</c:v>
                </c:pt>
                <c:pt idx="230">
                  <c:v>-8.1940875680063776</c:v>
                </c:pt>
                <c:pt idx="231">
                  <c:v>-8.6363914175058554</c:v>
                </c:pt>
                <c:pt idx="232">
                  <c:v>-9.0686546694163255</c:v>
                </c:pt>
                <c:pt idx="233">
                  <c:v>-9.4918019295450264</c:v>
                </c:pt>
                <c:pt idx="234">
                  <c:v>-9.9066436779768718</c:v>
                </c:pt>
                <c:pt idx="235">
                  <c:v>-10.31389212324475</c:v>
                </c:pt>
                <c:pt idx="236">
                  <c:v>-10.714174398967831</c:v>
                </c:pt>
                <c:pt idx="237">
                  <c:v>-11.10804363943471</c:v>
                </c:pt>
                <c:pt idx="238">
                  <c:v>-11.495988347154922</c:v>
                </c:pt>
                <c:pt idx="239">
                  <c:v>-11.878440373189118</c:v>
                </c:pt>
                <c:pt idx="240">
                  <c:v>-12.255781761493274</c:v>
                </c:pt>
                <c:pt idx="241">
                  <c:v>-12.628350655538277</c:v>
                </c:pt>
                <c:pt idx="242">
                  <c:v>-12.996446424797048</c:v>
                </c:pt>
                <c:pt idx="243">
                  <c:v>-13.360334137235201</c:v>
                </c:pt>
                <c:pt idx="244">
                  <c:v>-13.720248479446241</c:v>
                </c:pt>
                <c:pt idx="245">
                  <c:v>-14.076397206881081</c:v>
                </c:pt>
                <c:pt idx="246">
                  <c:v>-14.428964191501919</c:v>
                </c:pt>
                <c:pt idx="247">
                  <c:v>-14.778112122216712</c:v>
                </c:pt>
                <c:pt idx="248">
                  <c:v>-15.1239849039228</c:v>
                </c:pt>
                <c:pt idx="249">
                  <c:v>-15.4667097933711</c:v>
                </c:pt>
                <c:pt idx="250">
                  <c:v>-15.806399303944822</c:v>
                </c:pt>
                <c:pt idx="251">
                  <c:v>-16.143152906510455</c:v>
                </c:pt>
                <c:pt idx="252">
                  <c:v>-16.477058549495947</c:v>
                </c:pt>
                <c:pt idx="253">
                  <c:v>-16.808194018087526</c:v>
                </c:pt>
                <c:pt idx="254">
                  <c:v>-17.136628149760941</c:v>
                </c:pt>
                <c:pt idx="255">
                  <c:v>-17.462421921154288</c:v>
                </c:pt>
                <c:pt idx="256">
                  <c:v>-17.785629419454374</c:v>
                </c:pt>
                <c:pt idx="257">
                  <c:v>-18.106298709931149</c:v>
                </c:pt>
                <c:pt idx="258">
                  <c:v>-18.424472609956712</c:v>
                </c:pt>
                <c:pt idx="259">
                  <c:v>-18.740189378739448</c:v>
                </c:pt>
                <c:pt idx="260">
                  <c:v>-19.053483331053503</c:v>
                </c:pt>
                <c:pt idx="261">
                  <c:v>-19.364385382419112</c:v>
                </c:pt>
                <c:pt idx="262">
                  <c:v>-19.672923532468214</c:v>
                </c:pt>
                <c:pt idx="263">
                  <c:v>-19.979123292593016</c:v>
                </c:pt>
                <c:pt idx="264">
                  <c:v>-20.283008063409163</c:v>
                </c:pt>
                <c:pt idx="265">
                  <c:v>-20.584599467058119</c:v>
                </c:pt>
                <c:pt idx="266">
                  <c:v>-20.883917638916589</c:v>
                </c:pt>
                <c:pt idx="267">
                  <c:v>-21.180981482867026</c:v>
                </c:pt>
                <c:pt idx="268">
                  <c:v>-21.475808893906994</c:v>
                </c:pt>
                <c:pt idx="269">
                  <c:v>-21.768416951531627</c:v>
                </c:pt>
                <c:pt idx="270">
                  <c:v>-22.058822087009482</c:v>
                </c:pt>
                <c:pt idx="271">
                  <c:v>-22.347040227383982</c:v>
                </c:pt>
                <c:pt idx="272">
                  <c:v>-22.633086918768889</c:v>
                </c:pt>
                <c:pt idx="273">
                  <c:v>-22.916977431263568</c:v>
                </c:pt>
                <c:pt idx="274">
                  <c:v>-23.19872684759175</c:v>
                </c:pt>
                <c:pt idx="275">
                  <c:v>-23.47835013736351</c:v>
                </c:pt>
                <c:pt idx="276">
                  <c:v>-23.755862218673002</c:v>
                </c:pt>
                <c:pt idx="277">
                  <c:v>-24.031278008573548</c:v>
                </c:pt>
                <c:pt idx="278">
                  <c:v>-24.304612463815115</c:v>
                </c:pt>
                <c:pt idx="279">
                  <c:v>-24.575880613086134</c:v>
                </c:pt>
                <c:pt idx="280">
                  <c:v>-24.845097581871485</c:v>
                </c:pt>
                <c:pt idx="281">
                  <c:v>-25.112278610919489</c:v>
                </c:pt>
                <c:pt idx="282">
                  <c:v>-25.377439069203383</c:v>
                </c:pt>
                <c:pt idx="283">
                  <c:v>-25.640594462164501</c:v>
                </c:pt>
                <c:pt idx="284">
                  <c:v>-25.901760435935884</c:v>
                </c:pt>
                <c:pt idx="285">
                  <c:v>-26.160952778165303</c:v>
                </c:pt>
                <c:pt idx="286">
                  <c:v>-26.418187415983848</c:v>
                </c:pt>
                <c:pt idx="287">
                  <c:v>-26.673480411601656</c:v>
                </c:pt>
                <c:pt idx="288">
                  <c:v>-26.926847955953619</c:v>
                </c:pt>
                <c:pt idx="289">
                  <c:v>-27.178306360765504</c:v>
                </c:pt>
                <c:pt idx="290">
                  <c:v>-27.427872049363778</c:v>
                </c:pt>
                <c:pt idx="291">
                  <c:v>-27.675561546510757</c:v>
                </c:pt>
                <c:pt idx="292">
                  <c:v>-27.921391467508716</c:v>
                </c:pt>
                <c:pt idx="293">
                  <c:v>-28.165378506783803</c:v>
                </c:pt>
                <c:pt idx="294">
                  <c:v>-28.407539426130526</c:v>
                </c:pt>
                <c:pt idx="295">
                  <c:v>-28.647891042771462</c:v>
                </c:pt>
                <c:pt idx="296">
                  <c:v>-28.886450217363667</c:v>
                </c:pt>
                <c:pt idx="297">
                  <c:v>-29.123233842062643</c:v>
                </c:pt>
                <c:pt idx="298">
                  <c:v>-29.358258828736581</c:v>
                </c:pt>
                <c:pt idx="299">
                  <c:v>-29.591542097407995</c:v>
                </c:pt>
                <c:pt idx="300">
                  <c:v>-29.823100564985651</c:v>
                </c:pt>
                <c:pt idx="301">
                  <c:v>-30.052951134337693</c:v>
                </c:pt>
                <c:pt idx="302">
                  <c:v>-30.281110683746341</c:v>
                </c:pt>
                <c:pt idx="303">
                  <c:v>-30.507596056775196</c:v>
                </c:pt>
                <c:pt idx="304">
                  <c:v>-30.732424052572394</c:v>
                </c:pt>
                <c:pt idx="305">
                  <c:v>-30.955611416625874</c:v>
                </c:pt>
                <c:pt idx="306">
                  <c:v>-31.17717483198129</c:v>
                </c:pt>
                <c:pt idx="307">
                  <c:v>-31.397130910927942</c:v>
                </c:pt>
                <c:pt idx="308">
                  <c:v>-31.615496187153962</c:v>
                </c:pt>
                <c:pt idx="309">
                  <c:v>-31.832287108368348</c:v>
                </c:pt>
                <c:pt idx="310">
                  <c:v>-32.047520029384494</c:v>
                </c:pt>
                <c:pt idx="311">
                  <c:v>-32.261211205657276</c:v>
                </c:pt>
                <c:pt idx="312">
                  <c:v>-32.473376787263931</c:v>
                </c:pt>
                <c:pt idx="313">
                  <c:v>-32.684032813317039</c:v>
                </c:pt>
                <c:pt idx="314">
                  <c:v>-32.893195206796833</c:v>
                </c:pt>
                <c:pt idx="315">
                  <c:v>-33.100879769789053</c:v>
                </c:pt>
                <c:pt idx="316">
                  <c:v>-33.30710217911367</c:v>
                </c:pt>
                <c:pt idx="317">
                  <c:v>-33.511877982329388</c:v>
                </c:pt>
                <c:pt idx="318">
                  <c:v>-33.715222594098485</c:v>
                </c:pt>
                <c:pt idx="319">
                  <c:v>-33.917151292896278</c:v>
                </c:pt>
                <c:pt idx="320">
                  <c:v>-34.117679218049645</c:v>
                </c:pt>
                <c:pt idx="321">
                  <c:v>-34.316821367088814</c:v>
                </c:pt>
                <c:pt idx="322">
                  <c:v>-34.514592593397126</c:v>
                </c:pt>
                <c:pt idx="323">
                  <c:v>-34.711007604143418</c:v>
                </c:pt>
                <c:pt idx="324">
                  <c:v>-34.906080958482256</c:v>
                </c:pt>
                <c:pt idx="325">
                  <c:v>-35.099827066007265</c:v>
                </c:pt>
                <c:pt idx="326">
                  <c:v>-35.292260185443681</c:v>
                </c:pt>
                <c:pt idx="327">
                  <c:v>-35.483394423566111</c:v>
                </c:pt>
                <c:pt idx="328">
                  <c:v>-35.673243734328587</c:v>
                </c:pt>
                <c:pt idx="329">
                  <c:v>-35.861821918193741</c:v>
                </c:pt>
                <c:pt idx="330">
                  <c:v>-36.049142621649203</c:v>
                </c:pt>
                <c:pt idx="331">
                  <c:v>-36.235219336899085</c:v>
                </c:pt>
                <c:pt idx="332">
                  <c:v>-36.420065401719505</c:v>
                </c:pt>
                <c:pt idx="333">
                  <c:v>-36.603693999467183</c:v>
                </c:pt>
                <c:pt idx="334">
                  <c:v>-36.786118159230824</c:v>
                </c:pt>
                <c:pt idx="335">
                  <c:v>-36.967350756115522</c:v>
                </c:pt>
                <c:pt idx="336">
                  <c:v>-37.147404511650656</c:v>
                </c:pt>
                <c:pt idx="337">
                  <c:v>-37.326291994312577</c:v>
                </c:pt>
                <c:pt idx="338">
                  <c:v>-37.504025620153413</c:v>
                </c:pt>
                <c:pt idx="339">
                  <c:v>-37.680617653528174</c:v>
                </c:pt>
                <c:pt idx="340">
                  <c:v>-37.856080207912356</c:v>
                </c:pt>
                <c:pt idx="341">
                  <c:v>-38.03042524680307</c:v>
                </c:pt>
                <c:pt idx="342">
                  <c:v>-38.203664584696696</c:v>
                </c:pt>
                <c:pt idx="343">
                  <c:v>-38.375809888136708</c:v>
                </c:pt>
                <c:pt idx="344">
                  <c:v>-38.546872676825721</c:v>
                </c:pt>
                <c:pt idx="345">
                  <c:v>-38.716864324795822</c:v>
                </c:pt>
                <c:pt idx="346">
                  <c:v>-38.885796061632092</c:v>
                </c:pt>
                <c:pt idx="347">
                  <c:v>-39.053678973743885</c:v>
                </c:pt>
                <c:pt idx="348">
                  <c:v>-39.220524005679508</c:v>
                </c:pt>
                <c:pt idx="349">
                  <c:v>-39.386341961479502</c:v>
                </c:pt>
                <c:pt idx="350">
                  <c:v>-39.551143506064477</c:v>
                </c:pt>
                <c:pt idx="351">
                  <c:v>-39.7149391666536</c:v>
                </c:pt>
                <c:pt idx="352">
                  <c:v>-39.877739334209878</c:v>
                </c:pt>
                <c:pt idx="353">
                  <c:v>-40.039554264908965</c:v>
                </c:pt>
                <c:pt idx="354">
                  <c:v>-40.200394081628126</c:v>
                </c:pt>
                <c:pt idx="355">
                  <c:v>-40.360268775452461</c:v>
                </c:pt>
                <c:pt idx="356">
                  <c:v>-40.519188207195356</c:v>
                </c:pt>
                <c:pt idx="357">
                  <c:v>-40.677162108930872</c:v>
                </c:pt>
                <c:pt idx="358">
                  <c:v>-40.834200085535187</c:v>
                </c:pt>
                <c:pt idx="359">
                  <c:v>-40.99031161623526</c:v>
                </c:pt>
                <c:pt idx="360">
                  <c:v>-41.145506056162169</c:v>
                </c:pt>
                <c:pt idx="361">
                  <c:v>-41.29979263790748</c:v>
                </c:pt>
                <c:pt idx="362">
                  <c:v>-41.453180473080636</c:v>
                </c:pt>
                <c:pt idx="363">
                  <c:v>-41.605678553865737</c:v>
                </c:pt>
                <c:pt idx="364">
                  <c:v>-41.757295754576049</c:v>
                </c:pt>
                <c:pt idx="365">
                  <c:v>-41.908040833205</c:v>
                </c:pt>
                <c:pt idx="366">
                  <c:v>-42.057922432972028</c:v>
                </c:pt>
                <c:pt idx="367">
                  <c:v>-42.206949083862256</c:v>
                </c:pt>
                <c:pt idx="368">
                  <c:v>-42.355129204158885</c:v>
                </c:pt>
                <c:pt idx="369">
                  <c:v>-42.502471101967025</c:v>
                </c:pt>
                <c:pt idx="370">
                  <c:v>-42.648982976728227</c:v>
                </c:pt>
                <c:pt idx="371">
                  <c:v>-42.794672920724878</c:v>
                </c:pt>
                <c:pt idx="372">
                  <c:v>-42.939548920573301</c:v>
                </c:pt>
                <c:pt idx="373">
                  <c:v>-43.083618858705378</c:v>
                </c:pt>
                <c:pt idx="374">
                  <c:v>-43.226890514837478</c:v>
                </c:pt>
                <c:pt idx="375">
                  <c:v>-43.369371567426604</c:v>
                </c:pt>
                <c:pt idx="376">
                  <c:v>-43.511069595112787</c:v>
                </c:pt>
                <c:pt idx="377">
                  <c:v>-43.651992078147558</c:v>
                </c:pt>
                <c:pt idx="378">
                  <c:v>-43.792146399807883</c:v>
                </c:pt>
                <c:pt idx="379">
                  <c:v>-43.931539847795278</c:v>
                </c:pt>
                <c:pt idx="380">
                  <c:v>-44.070179615619757</c:v>
                </c:pt>
                <c:pt idx="381">
                  <c:v>-44.208072803968221</c:v>
                </c:pt>
                <c:pt idx="382">
                  <c:v>-44.345226422057237</c:v>
                </c:pt>
                <c:pt idx="383">
                  <c:v>-44.481647388969705</c:v>
                </c:pt>
                <c:pt idx="384">
                  <c:v>-44.617342534975528</c:v>
                </c:pt>
                <c:pt idx="385">
                  <c:v>-44.752318602835899</c:v>
                </c:pt>
                <c:pt idx="386">
                  <c:v>-44.886582249091262</c:v>
                </c:pt>
                <c:pt idx="387">
                  <c:v>-45.020140045332646</c:v>
                </c:pt>
                <c:pt idx="388">
                  <c:v>-45.152998479456521</c:v>
                </c:pt>
                <c:pt idx="389">
                  <c:v>-45.285163956903006</c:v>
                </c:pt>
                <c:pt idx="390">
                  <c:v>-45.416642801877416</c:v>
                </c:pt>
                <c:pt idx="391">
                  <c:v>-45.547441258555125</c:v>
                </c:pt>
                <c:pt idx="392">
                  <c:v>-45.677565492269856</c:v>
                </c:pt>
                <c:pt idx="393">
                  <c:v>-45.807021590685366</c:v>
                </c:pt>
                <c:pt idx="394">
                  <c:v>-45.93581556495046</c:v>
                </c:pt>
                <c:pt idx="395">
                  <c:v>-46.063953350837664</c:v>
                </c:pt>
                <c:pt idx="396">
                  <c:v>-46.191440809865355</c:v>
                </c:pt>
                <c:pt idx="397">
                  <c:v>-46.318283730403621</c:v>
                </c:pt>
                <c:pt idx="398">
                  <c:v>-46.444487828763926</c:v>
                </c:pt>
                <c:pt idx="399">
                  <c:v>-46.570058750272487</c:v>
                </c:pt>
                <c:pt idx="400">
                  <c:v>-46.695002070327895</c:v>
                </c:pt>
                <c:pt idx="401">
                  <c:v>-46.819323295442608</c:v>
                </c:pt>
                <c:pt idx="402">
                  <c:v>-46.943027864268913</c:v>
                </c:pt>
                <c:pt idx="403">
                  <c:v>-47.066121148609128</c:v>
                </c:pt>
                <c:pt idx="404">
                  <c:v>-47.188608454410499</c:v>
                </c:pt>
                <c:pt idx="405">
                  <c:v>-47.310495022744661</c:v>
                </c:pt>
                <c:pt idx="406">
                  <c:v>-47.431786030772059</c:v>
                </c:pt>
                <c:pt idx="407">
                  <c:v>-47.552486592691423</c:v>
                </c:pt>
                <c:pt idx="408">
                  <c:v>-47.672601760674283</c:v>
                </c:pt>
                <c:pt idx="409">
                  <c:v>-47.792136525785061</c:v>
                </c:pt>
                <c:pt idx="410">
                  <c:v>-47.911095818886544</c:v>
                </c:pt>
                <c:pt idx="411">
                  <c:v>-48.029484511531152</c:v>
                </c:pt>
                <c:pt idx="412">
                  <c:v>-48.147307416838117</c:v>
                </c:pt>
                <c:pt idx="413">
                  <c:v>-48.264569290356661</c:v>
                </c:pt>
                <c:pt idx="414">
                  <c:v>-48.381274830915515</c:v>
                </c:pt>
                <c:pt idx="415">
                  <c:v>-48.497428681458885</c:v>
                </c:pt>
                <c:pt idx="416">
                  <c:v>-48.613035429868972</c:v>
                </c:pt>
                <c:pt idx="417">
                  <c:v>-48.728099609775413</c:v>
                </c:pt>
                <c:pt idx="418">
                  <c:v>-48.842625701351594</c:v>
                </c:pt>
                <c:pt idx="419">
                  <c:v>-48.956618132098278</c:v>
                </c:pt>
                <c:pt idx="420">
                  <c:v>-49.070081277614534</c:v>
                </c:pt>
                <c:pt idx="421">
                  <c:v>-49.183019462356199</c:v>
                </c:pt>
                <c:pt idx="422">
                  <c:v>-49.295436960382155</c:v>
                </c:pt>
                <c:pt idx="423">
                  <c:v>-49.407337996088444</c:v>
                </c:pt>
                <c:pt idx="424">
                  <c:v>-49.518726744930589</c:v>
                </c:pt>
                <c:pt idx="425">
                  <c:v>-49.629607334134043</c:v>
                </c:pt>
                <c:pt idx="426">
                  <c:v>-49.739983843393333</c:v>
                </c:pt>
                <c:pt idx="427">
                  <c:v>-49.849860305559616</c:v>
                </c:pt>
                <c:pt idx="428">
                  <c:v>-49.959240707317214</c:v>
                </c:pt>
                <c:pt idx="429">
                  <c:v>-50.068128989849086</c:v>
                </c:pt>
                <c:pt idx="430">
                  <c:v>-50.176529049491521</c:v>
                </c:pt>
                <c:pt idx="431">
                  <c:v>-50.284444738378092</c:v>
                </c:pt>
                <c:pt idx="432">
                  <c:v>-50.391879865073264</c:v>
                </c:pt>
                <c:pt idx="433">
                  <c:v>-50.498838195195546</c:v>
                </c:pt>
                <c:pt idx="434">
                  <c:v>-50.605323452030603</c:v>
                </c:pt>
                <c:pt idx="435">
                  <c:v>-50.71133931713436</c:v>
                </c:pt>
                <c:pt idx="436">
                  <c:v>-50.816889430926288</c:v>
                </c:pt>
                <c:pt idx="437">
                  <c:v>-50.921977393273067</c:v>
                </c:pt>
                <c:pt idx="438">
                  <c:v>-51.026606764062691</c:v>
                </c:pt>
                <c:pt idx="439">
                  <c:v>-51.130781063769319</c:v>
                </c:pt>
                <c:pt idx="440">
                  <c:v>-51.234503774008928</c:v>
                </c:pt>
                <c:pt idx="441">
                  <c:v>-51.337778338085926</c:v>
                </c:pt>
                <c:pt idx="442">
                  <c:v>-51.440608161530847</c:v>
                </c:pt>
                <c:pt idx="443">
                  <c:v>-51.542996612629523</c:v>
                </c:pt>
                <c:pt idx="444">
                  <c:v>-51.644947022943356</c:v>
                </c:pt>
                <c:pt idx="445">
                  <c:v>-51.746462687821534</c:v>
                </c:pt>
                <c:pt idx="446">
                  <c:v>-51.847546866904636</c:v>
                </c:pt>
                <c:pt idx="447">
                  <c:v>-51.948202784620321</c:v>
                </c:pt>
                <c:pt idx="448">
                  <c:v>-52.0484336306709</c:v>
                </c:pt>
                <c:pt idx="449">
                  <c:v>-52.148242560513069</c:v>
                </c:pt>
                <c:pt idx="450">
                  <c:v>-52.247632695829921</c:v>
                </c:pt>
                <c:pt idx="451">
                  <c:v>-52.346607124995359</c:v>
                </c:pt>
                <c:pt idx="452">
                  <c:v>-52.445168903531012</c:v>
                </c:pt>
                <c:pt idx="453">
                  <c:v>-52.543321054555889</c:v>
                </c:pt>
                <c:pt idx="454">
                  <c:v>-52.64106656922867</c:v>
                </c:pt>
                <c:pt idx="455">
                  <c:v>-52.738408407183115</c:v>
                </c:pt>
                <c:pt idx="456">
                  <c:v>-52.835349496956319</c:v>
                </c:pt>
                <c:pt idx="457">
                  <c:v>-52.931892736410219</c:v>
                </c:pt>
                <c:pt idx="458">
                  <c:v>-53.028040993146412</c:v>
                </c:pt>
                <c:pt idx="459">
                  <c:v>-53.123797104914203</c:v>
                </c:pt>
                <c:pt idx="460">
                  <c:v>-53.219163880012388</c:v>
                </c:pt>
                <c:pt idx="461">
                  <c:v>-53.314144097684419</c:v>
                </c:pt>
                <c:pt idx="462">
                  <c:v>-53.408740508507492</c:v>
                </c:pt>
                <c:pt idx="463">
                  <c:v>-53.502955834775335</c:v>
                </c:pt>
                <c:pt idx="464">
                  <c:v>-53.59679277087502</c:v>
                </c:pt>
                <c:pt idx="465">
                  <c:v>-53.690253983657811</c:v>
                </c:pt>
                <c:pt idx="466">
                  <c:v>-53.783342112804121</c:v>
                </c:pt>
                <c:pt idx="467">
                  <c:v>-53.876059771182803</c:v>
                </c:pt>
                <c:pt idx="468">
                  <c:v>-53.968409545204672</c:v>
                </c:pt>
                <c:pt idx="469">
                  <c:v>-54.060393995170635</c:v>
                </c:pt>
                <c:pt idx="470">
                  <c:v>-54.152015655614264</c:v>
                </c:pt>
                <c:pt idx="471">
                  <c:v>-54.243277035639025</c:v>
                </c:pt>
                <c:pt idx="472">
                  <c:v>-54.334180619250255</c:v>
                </c:pt>
                <c:pt idx="473">
                  <c:v>-54.424728865681999</c:v>
                </c:pt>
                <c:pt idx="474">
                  <c:v>-54.5149242097187</c:v>
                </c:pt>
                <c:pt idx="475">
                  <c:v>-54.604769062011947</c:v>
                </c:pt>
                <c:pt idx="476">
                  <c:v>-54.694265809392292</c:v>
                </c:pt>
                <c:pt idx="477">
                  <c:v>-54.783416815176253</c:v>
                </c:pt>
                <c:pt idx="478">
                  <c:v>-54.872224419468544</c:v>
                </c:pt>
                <c:pt idx="479">
                  <c:v>-54.960690939459703</c:v>
                </c:pt>
                <c:pt idx="480">
                  <c:v>-55.048818669719132</c:v>
                </c:pt>
                <c:pt idx="481">
                  <c:v>-55.136609882483555</c:v>
                </c:pt>
                <c:pt idx="482">
                  <c:v>-55.224066827941201</c:v>
                </c:pt>
                <c:pt idx="483">
                  <c:v>-55.311191734511482</c:v>
                </c:pt>
                <c:pt idx="484">
                  <c:v>-55.397986809120532</c:v>
                </c:pt>
                <c:pt idx="485">
                  <c:v>-55.484454237472519</c:v>
                </c:pt>
                <c:pt idx="486">
                  <c:v>-55.570596184316727</c:v>
                </c:pt>
                <c:pt idx="487">
                  <c:v>-55.656414793710773</c:v>
                </c:pt>
                <c:pt idx="488">
                  <c:v>-55.741912189279638</c:v>
                </c:pt>
                <c:pt idx="489">
                  <c:v>-55.827090474470957</c:v>
                </c:pt>
                <c:pt idx="490">
                  <c:v>-55.91195173280633</c:v>
                </c:pt>
                <c:pt idx="491">
                  <c:v>-55.996498028128947</c:v>
                </c:pt>
                <c:pt idx="492">
                  <c:v>-56.08073140484742</c:v>
                </c:pt>
                <c:pt idx="493">
                  <c:v>-56.164653888175977</c:v>
                </c:pt>
                <c:pt idx="494">
                  <c:v>-56.248267484371119</c:v>
                </c:pt>
                <c:pt idx="495">
                  <c:v>-56.331574180964672</c:v>
                </c:pt>
                <c:pt idx="496">
                  <c:v>-56.414575946993388</c:v>
                </c:pt>
                <c:pt idx="497">
                  <c:v>-56.497274733225169</c:v>
                </c:pt>
                <c:pt idx="498">
                  <c:v>-56.579672472381887</c:v>
                </c:pt>
                <c:pt idx="499">
                  <c:v>-56.661771079358942</c:v>
                </c:pt>
                <c:pt idx="500">
                  <c:v>-56.743572451441537</c:v>
                </c:pt>
                <c:pt idx="501">
                  <c:v>-56.82507846851783</c:v>
                </c:pt>
                <c:pt idx="502">
                  <c:v>-56.906290993288842</c:v>
                </c:pt>
                <c:pt idx="503">
                  <c:v>-56.987211871475424</c:v>
                </c:pt>
                <c:pt idx="504">
                  <c:v>-57.067842932022103</c:v>
                </c:pt>
                <c:pt idx="505">
                  <c:v>-57.148185987297921</c:v>
                </c:pt>
                <c:pt idx="506">
                  <c:v>-57.228242833294452</c:v>
                </c:pt>
                <c:pt idx="507">
                  <c:v>-57.308015249820841</c:v>
                </c:pt>
                <c:pt idx="508">
                  <c:v>-57.387505000696052</c:v>
                </c:pt>
                <c:pt idx="509">
                  <c:v>-57.466713833938343</c:v>
                </c:pt>
                <c:pt idx="510">
                  <c:v>-57.545643481951949</c:v>
                </c:pt>
                <c:pt idx="511">
                  <c:v>-57.624295661711173</c:v>
                </c:pt>
                <c:pt idx="512">
                  <c:v>-57.702672074941674</c:v>
                </c:pt>
                <c:pt idx="513">
                  <c:v>-57.780774408299308</c:v>
                </c:pt>
                <c:pt idx="514">
                  <c:v>-57.85860433354631</c:v>
                </c:pt>
                <c:pt idx="515">
                  <c:v>-57.936163507724991</c:v>
                </c:pt>
                <c:pt idx="516">
                  <c:v>-58.013453573328952</c:v>
                </c:pt>
                <c:pt idx="517">
                  <c:v>-58.090476158471859</c:v>
                </c:pt>
                <c:pt idx="518">
                  <c:v>-58.167232877053806</c:v>
                </c:pt>
                <c:pt idx="519">
                  <c:v>-58.243725328925365</c:v>
                </c:pt>
                <c:pt idx="520">
                  <c:v>-58.319955100049256</c:v>
                </c:pt>
                <c:pt idx="521">
                  <c:v>-58.39592376265977</c:v>
                </c:pt>
                <c:pt idx="522">
                  <c:v>-58.471632875419985</c:v>
                </c:pt>
                <c:pt idx="523">
                  <c:v>-58.547083983576663</c:v>
                </c:pt>
                <c:pt idx="524">
                  <c:v>-58.622278619113118</c:v>
                </c:pt>
                <c:pt idx="525">
                  <c:v>-58.697218300899834</c:v>
                </c:pt>
                <c:pt idx="526">
                  <c:v>-58.771904534843003</c:v>
                </c:pt>
                <c:pt idx="527">
                  <c:v>-58.846338814031071</c:v>
                </c:pt>
                <c:pt idx="528">
                  <c:v>-58.920522618879133</c:v>
                </c:pt>
                <c:pt idx="529">
                  <c:v>-58.994457417271427</c:v>
                </c:pt>
                <c:pt idx="530">
                  <c:v>-59.068144664701812</c:v>
                </c:pt>
                <c:pt idx="531">
                  <c:v>-59.141585804412273</c:v>
                </c:pt>
                <c:pt idx="532">
                  <c:v>-59.2147822675296</c:v>
                </c:pt>
                <c:pt idx="533">
                  <c:v>-59.287735473200136</c:v>
                </c:pt>
                <c:pt idx="534">
                  <c:v>-59.360446828722701</c:v>
                </c:pt>
                <c:pt idx="535">
                  <c:v>-59.432917729679637</c:v>
                </c:pt>
                <c:pt idx="536">
                  <c:v>-59.505149560066201</c:v>
                </c:pt>
                <c:pt idx="537">
                  <c:v>-59.577143692418048</c:v>
                </c:pt>
                <c:pt idx="538">
                  <c:v>-59.648901487937053</c:v>
                </c:pt>
                <c:pt idx="539">
                  <c:v>-59.720424296615477</c:v>
                </c:pt>
                <c:pt idx="540">
                  <c:v>-59.79171345735832</c:v>
                </c:pt>
                <c:pt idx="541">
                  <c:v>-59.862770298104166</c:v>
                </c:pt>
                <c:pt idx="542">
                  <c:v>-59.933596135944313</c:v>
                </c:pt>
                <c:pt idx="543">
                  <c:v>-60.004192277240335</c:v>
                </c:pt>
                <c:pt idx="544">
                  <c:v>-60.074560017740069</c:v>
                </c:pt>
                <c:pt idx="545">
                  <c:v>-60.144700642692037</c:v>
                </c:pt>
                <c:pt idx="546">
                  <c:v>-60.214615426958353</c:v>
                </c:pt>
                <c:pt idx="547">
                  <c:v>-60.284305635126145</c:v>
                </c:pt>
                <c:pt idx="548">
                  <c:v>-60.353772521617458</c:v>
                </c:pt>
                <c:pt idx="549">
                  <c:v>-60.423017330797748</c:v>
                </c:pt>
                <c:pt idx="550">
                  <c:v>-60.492041297082892</c:v>
                </c:pt>
                <c:pt idx="551">
                  <c:v>-60.5608456450448</c:v>
                </c:pt>
                <c:pt idx="552">
                  <c:v>-60.629431589515718</c:v>
                </c:pt>
                <c:pt idx="553">
                  <c:v>-60.697800335691021</c:v>
                </c:pt>
                <c:pt idx="554">
                  <c:v>-60.765953079230755</c:v>
                </c:pt>
                <c:pt idx="555">
                  <c:v>-60.83389100635987</c:v>
                </c:pt>
                <c:pt idx="556">
                  <c:v>-60.901615293967055</c:v>
                </c:pt>
                <c:pt idx="557">
                  <c:v>-60.969127109702342</c:v>
                </c:pt>
                <c:pt idx="558">
                  <c:v>-61.036427612073503</c:v>
                </c:pt>
                <c:pt idx="559">
                  <c:v>-61.103517950541047</c:v>
                </c:pt>
                <c:pt idx="560">
                  <c:v>-61.170399265612176</c:v>
                </c:pt>
                <c:pt idx="561">
                  <c:v>-61.237072688933324</c:v>
                </c:pt>
                <c:pt idx="562">
                  <c:v>-61.303539343381729</c:v>
                </c:pt>
                <c:pt idx="563">
                  <c:v>-61.369800343155639</c:v>
                </c:pt>
                <c:pt idx="564">
                  <c:v>-61.435856793863479</c:v>
                </c:pt>
                <c:pt idx="565">
                  <c:v>-61.50170979261182</c:v>
                </c:pt>
                <c:pt idx="566">
                  <c:v>-61.567360428092258</c:v>
                </c:pt>
                <c:pt idx="567">
                  <c:v>-61.632809780667202</c:v>
                </c:pt>
                <c:pt idx="568">
                  <c:v>-61.698058922454507</c:v>
                </c:pt>
                <c:pt idx="569">
                  <c:v>-61.76310891741111</c:v>
                </c:pt>
                <c:pt idx="570">
                  <c:v>-61.827960821415566</c:v>
                </c:pt>
                <c:pt idx="571">
                  <c:v>-61.892615682349579</c:v>
                </c:pt>
                <c:pt idx="572">
                  <c:v>-61.957074540178461</c:v>
                </c:pt>
                <c:pt idx="573">
                  <c:v>-62.021338427030628</c:v>
                </c:pt>
                <c:pt idx="574">
                  <c:v>-62.085408367276074</c:v>
                </c:pt>
                <c:pt idx="575">
                  <c:v>-62.14928537760386</c:v>
                </c:pt>
                <c:pt idx="576">
                  <c:v>-62.212970467098678</c:v>
                </c:pt>
                <c:pt idx="577">
                  <c:v>-62.276464637316415</c:v>
                </c:pt>
                <c:pt idx="578">
                  <c:v>-62.33976888235879</c:v>
                </c:pt>
                <c:pt idx="579">
                  <c:v>-62.402884188947134</c:v>
                </c:pt>
                <c:pt idx="580">
                  <c:v>-62.46581153649511</c:v>
                </c:pt>
                <c:pt idx="581">
                  <c:v>-62.528551897180733</c:v>
                </c:pt>
                <c:pt idx="582">
                  <c:v>-62.591106236017346</c:v>
                </c:pt>
                <c:pt idx="583">
                  <c:v>-62.653475510923748</c:v>
                </c:pt>
                <c:pt idx="584">
                  <c:v>-62.715660672793589</c:v>
                </c:pt>
                <c:pt idx="585">
                  <c:v>-62.777662665563774</c:v>
                </c:pt>
                <c:pt idx="586">
                  <c:v>-62.839482426282089</c:v>
                </c:pt>
                <c:pt idx="587">
                  <c:v>-62.901120885173974</c:v>
                </c:pt>
                <c:pt idx="588">
                  <c:v>-62.96257896570863</c:v>
                </c:pt>
                <c:pt idx="589">
                  <c:v>-63.023857584664036</c:v>
                </c:pt>
                <c:pt idx="590">
                  <c:v>-63.084957652191527</c:v>
                </c:pt>
                <c:pt idx="591">
                  <c:v>-63.145880071879354</c:v>
                </c:pt>
                <c:pt idx="592">
                  <c:v>-63.206625740815497</c:v>
                </c:pt>
                <c:pt idx="593">
                  <c:v>-63.267195549649884</c:v>
                </c:pt>
                <c:pt idx="594">
                  <c:v>-63.327590382655679</c:v>
                </c:pt>
                <c:pt idx="595">
                  <c:v>-63.38781111778998</c:v>
                </c:pt>
                <c:pt idx="596">
                  <c:v>-63.447858626753693</c:v>
                </c:pt>
                <c:pt idx="597">
                  <c:v>-63.507733775050745</c:v>
                </c:pt>
                <c:pt idx="598">
                  <c:v>-63.567437422046602</c:v>
                </c:pt>
                <c:pt idx="599">
                  <c:v>-63.626970421026073</c:v>
                </c:pt>
                <c:pt idx="600">
                  <c:v>-63.686333619250448</c:v>
                </c:pt>
                <c:pt idx="601">
                  <c:v>-63.745527858013908</c:v>
                </c:pt>
                <c:pt idx="602">
                  <c:v>-63.804553972699374</c:v>
                </c:pt>
                <c:pt idx="603">
                  <c:v>-63.863412792833635</c:v>
                </c:pt>
                <c:pt idx="604">
                  <c:v>-63.922105142141788</c:v>
                </c:pt>
                <c:pt idx="605">
                  <c:v>-63.980631838601184</c:v>
                </c:pt>
                <c:pt idx="606">
                  <c:v>-66.712307232505864</c:v>
                </c:pt>
                <c:pt idx="607">
                  <c:v>-69.115897719665909</c:v>
                </c:pt>
                <c:pt idx="608">
                  <c:v>-71.254771271211041</c:v>
                </c:pt>
                <c:pt idx="609">
                  <c:v>-73.176456514365469</c:v>
                </c:pt>
                <c:pt idx="610">
                  <c:v>-74.917439941563657</c:v>
                </c:pt>
                <c:pt idx="611">
                  <c:v>-76.50626671736444</c:v>
                </c:pt>
                <c:pt idx="612">
                  <c:v>-77.965624205472466</c:v>
                </c:pt>
                <c:pt idx="613">
                  <c:v>-79.31378792855989</c:v>
                </c:pt>
                <c:pt idx="614">
                  <c:v>-80.565652392119915</c:v>
                </c:pt>
                <c:pt idx="615">
                  <c:v>-81.733482610059838</c:v>
                </c:pt>
                <c:pt idx="616">
                  <c:v>-82.827472413111423</c:v>
                </c:pt>
                <c:pt idx="617">
                  <c:v>-83.856165893935525</c:v>
                </c:pt>
                <c:pt idx="618">
                  <c:v>-84.250737783635472</c:v>
                </c:pt>
                <c:pt idx="619">
                  <c:v>-84.636358388276363</c:v>
                </c:pt>
                <c:pt idx="620">
                  <c:v>-85.013420369969722</c:v>
                </c:pt>
                <c:pt idx="621">
                  <c:v>-85.382292355795329</c:v>
                </c:pt>
                <c:pt idx="622">
                  <c:v>-85.743320776194736</c:v>
                </c:pt>
                <c:pt idx="623">
                  <c:v>-86.096831536909079</c:v>
                </c:pt>
                <c:pt idx="624">
                  <c:v>-86.443131541814111</c:v>
                </c:pt>
                <c:pt idx="625">
                  <c:v>-86.782510081952452</c:v>
                </c:pt>
                <c:pt idx="626">
                  <c:v>-87.115240104281852</c:v>
                </c:pt>
                <c:pt idx="627">
                  <c:v>-87.441579372112841</c:v>
                </c:pt>
                <c:pt idx="628">
                  <c:v>-87.761771527859693</c:v>
                </c:pt>
                <c:pt idx="629">
                  <c:v>-88.076047067551798</c:v>
                </c:pt>
                <c:pt idx="630">
                  <c:v>-88.384624235520519</c:v>
                </c:pt>
                <c:pt idx="631">
                  <c:v>-88.687709846771014</c:v>
                </c:pt>
                <c:pt idx="632">
                  <c:v>-88.985500043752253</c:v>
                </c:pt>
                <c:pt idx="633">
                  <c:v>-89.278180993535941</c:v>
                </c:pt>
                <c:pt idx="634">
                  <c:v>-89.565929530794563</c:v>
                </c:pt>
                <c:pt idx="635">
                  <c:v>-89.848913751420099</c:v>
                </c:pt>
                <c:pt idx="636">
                  <c:v>-90.127293561137861</c:v>
                </c:pt>
                <c:pt idx="637">
                  <c:v>-90.401221183037876</c:v>
                </c:pt>
                <c:pt idx="638">
                  <c:v>-90.670841627561231</c:v>
                </c:pt>
                <c:pt idx="639">
                  <c:v>-90.936293128136455</c:v>
                </c:pt>
                <c:pt idx="640">
                  <c:v>-91.197707545355115</c:v>
                </c:pt>
                <c:pt idx="641">
                  <c:v>-91.455210742302199</c:v>
                </c:pt>
                <c:pt idx="642">
                  <c:v>-91.708922933412254</c:v>
                </c:pt>
                <c:pt idx="643">
                  <c:v>-91.958959009003408</c:v>
                </c:pt>
                <c:pt idx="644">
                  <c:v>-92.20542883744406</c:v>
                </c:pt>
                <c:pt idx="645">
                  <c:v>-92.448437546730162</c:v>
                </c:pt>
                <c:pt idx="646">
                  <c:v>-92.688085787092803</c:v>
                </c:pt>
                <c:pt idx="647">
                  <c:v>-92.924469976110871</c:v>
                </c:pt>
                <c:pt idx="648">
                  <c:v>-93.157682527676002</c:v>
                </c:pt>
                <c:pt idx="649">
                  <c:v>-93.387812066039274</c:v>
                </c:pt>
                <c:pt idx="650">
                  <c:v>-93.614943626063422</c:v>
                </c:pt>
                <c:pt idx="651">
                  <c:v>-93.839158840709928</c:v>
                </c:pt>
                <c:pt idx="652">
                  <c:v>-94.060536116702892</c:v>
                </c:pt>
                <c:pt idx="653">
                  <c:v>-94.279150799233179</c:v>
                </c:pt>
                <c:pt idx="654">
                  <c:v>-94.495075326496035</c:v>
                </c:pt>
                <c:pt idx="655">
                  <c:v>-94.708379374789416</c:v>
                </c:pt>
                <c:pt idx="656">
                  <c:v>-94.919129994842592</c:v>
                </c:pt>
                <c:pt idx="657">
                  <c:v>-95.127391739990159</c:v>
                </c:pt>
                <c:pt idx="658">
                  <c:v>-95.333226786758289</c:v>
                </c:pt>
                <c:pt idx="659">
                  <c:v>-95.536695048385383</c:v>
                </c:pt>
                <c:pt idx="660">
                  <c:v>-95.737854281758587</c:v>
                </c:pt>
                <c:pt idx="661">
                  <c:v>-95.936760188210542</c:v>
                </c:pt>
                <c:pt idx="662">
                  <c:v>-96.133466508587091</c:v>
                </c:pt>
                <c:pt idx="663">
                  <c:v>-96.328025112964824</c:v>
                </c:pt>
                <c:pt idx="664">
                  <c:v>-96.520486085369996</c:v>
                </c:pt>
                <c:pt idx="665">
                  <c:v>-96.710897803823102</c:v>
                </c:pt>
                <c:pt idx="666">
                  <c:v>-96.899307016010439</c:v>
                </c:pt>
                <c:pt idx="667">
                  <c:v>-97.085758910861486</c:v>
                </c:pt>
              </c:numCache>
            </c:numRef>
          </c:yVal>
          <c:smooth val="1"/>
          <c:extLst>
            <c:ext xmlns:c16="http://schemas.microsoft.com/office/drawing/2014/chart" uri="{C3380CC4-5D6E-409C-BE32-E72D297353CC}">
              <c16:uniqueId val="{00000001-C07D-42E2-A0EE-08948D953CAF}"/>
            </c:ext>
          </c:extLst>
        </c:ser>
        <c:dLbls>
          <c:showLegendKey val="0"/>
          <c:showVal val="0"/>
          <c:showCatName val="0"/>
          <c:showSerName val="0"/>
          <c:showPercent val="0"/>
          <c:showBubbleSize val="0"/>
        </c:dLbls>
        <c:axId val="156908928"/>
        <c:axId val="156915200"/>
      </c:scatterChart>
      <c:scatterChart>
        <c:scatterStyle val="lineMarker"/>
        <c:varyColors val="0"/>
        <c:ser>
          <c:idx val="1"/>
          <c:order val="1"/>
          <c:tx>
            <c:v>PhaseMargin</c:v>
          </c:tx>
          <c:spPr>
            <a:ln w="12700">
              <a:solidFill>
                <a:srgbClr val="000000"/>
              </a:solidFill>
              <a:prstDash val="lgDash"/>
            </a:ln>
          </c:spPr>
          <c:marker>
            <c:symbol val="square"/>
            <c:size val="3"/>
            <c:spPr>
              <a:noFill/>
              <a:ln w="9525">
                <a:noFill/>
              </a:ln>
            </c:spPr>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Calculations'!$Z$9:$Z$676</c:f>
              <c:numCache>
                <c:formatCode>General</c:formatCode>
                <c:ptCount val="668"/>
                <c:pt idx="0">
                  <c:v>90.024971120882853</c:v>
                </c:pt>
                <c:pt idx="1">
                  <c:v>90.049942236662147</c:v>
                </c:pt>
                <c:pt idx="2">
                  <c:v>90.074913342234382</c:v>
                </c:pt>
                <c:pt idx="3">
                  <c:v>90.099884432495998</c:v>
                </c:pt>
                <c:pt idx="4">
                  <c:v>90.124855502343507</c:v>
                </c:pt>
                <c:pt idx="5">
                  <c:v>90.14982654667341</c:v>
                </c:pt>
                <c:pt idx="6">
                  <c:v>90.174797560382274</c:v>
                </c:pt>
                <c:pt idx="7">
                  <c:v>90.199768538366698</c:v>
                </c:pt>
                <c:pt idx="8">
                  <c:v>90.224739475523322</c:v>
                </c:pt>
                <c:pt idx="9">
                  <c:v>90.249710366748829</c:v>
                </c:pt>
                <c:pt idx="10">
                  <c:v>90.49941563011771</c:v>
                </c:pt>
                <c:pt idx="11">
                  <c:v>90.749110687394136</c:v>
                </c:pt>
                <c:pt idx="12">
                  <c:v>90.998790437200455</c:v>
                </c:pt>
                <c:pt idx="13">
                  <c:v>91.248449780160485</c:v>
                </c:pt>
                <c:pt idx="14">
                  <c:v>91.498083619565733</c:v>
                </c:pt>
                <c:pt idx="15">
                  <c:v>91.747686862040524</c:v>
                </c:pt>
                <c:pt idx="16">
                  <c:v>91.997254418205813</c:v>
                </c:pt>
                <c:pt idx="17">
                  <c:v>92.246781203341882</c:v>
                </c:pt>
                <c:pt idx="18">
                  <c:v>92.496262138049119</c:v>
                </c:pt>
                <c:pt idx="19">
                  <c:v>94.987437359670693</c:v>
                </c:pt>
                <c:pt idx="20">
                  <c:v>97.46850472288034</c:v>
                </c:pt>
                <c:pt idx="21">
                  <c:v>99.93457292461656</c:v>
                </c:pt>
                <c:pt idx="22">
                  <c:v>102.38093949455254</c:v>
                </c:pt>
                <c:pt idx="23">
                  <c:v>104.80314364070534</c:v>
                </c:pt>
                <c:pt idx="24">
                  <c:v>107.19701125797529</c:v>
                </c:pt>
                <c:pt idx="25">
                  <c:v>109.55869106753862</c:v>
                </c:pt>
                <c:pt idx="26">
                  <c:v>111.88468133872217</c:v>
                </c:pt>
                <c:pt idx="27">
                  <c:v>114.17184711576705</c:v>
                </c:pt>
                <c:pt idx="28">
                  <c:v>124.94160342664676</c:v>
                </c:pt>
                <c:pt idx="29">
                  <c:v>134.47516238139008</c:v>
                </c:pt>
                <c:pt idx="30">
                  <c:v>142.7301777277782</c:v>
                </c:pt>
                <c:pt idx="31">
                  <c:v>149.75838358634303</c:v>
                </c:pt>
                <c:pt idx="32">
                  <c:v>155.64005011424513</c:v>
                </c:pt>
                <c:pt idx="33">
                  <c:v>160.44279648986065</c:v>
                </c:pt>
                <c:pt idx="34">
                  <c:v>164.19709165085305</c:v>
                </c:pt>
                <c:pt idx="35">
                  <c:v>166.87719157884177</c:v>
                </c:pt>
                <c:pt idx="36">
                  <c:v>168.3770795468304</c:v>
                </c:pt>
                <c:pt idx="37">
                  <c:v>168.47038753743769</c:v>
                </c:pt>
                <c:pt idx="38">
                  <c:v>166.74040064058872</c:v>
                </c:pt>
                <c:pt idx="39">
                  <c:v>162.46936320734625</c:v>
                </c:pt>
                <c:pt idx="40">
                  <c:v>154.53710540418021</c:v>
                </c:pt>
                <c:pt idx="41">
                  <c:v>141.69557978526399</c:v>
                </c:pt>
                <c:pt idx="42">
                  <c:v>124.19627274688263</c:v>
                </c:pt>
                <c:pt idx="43">
                  <c:v>105.84767101210757</c:v>
                </c:pt>
                <c:pt idx="44">
                  <c:v>91.134182326191166</c:v>
                </c:pt>
                <c:pt idx="45">
                  <c:v>81.08311759447237</c:v>
                </c:pt>
                <c:pt idx="46">
                  <c:v>74.576532967791366</c:v>
                </c:pt>
                <c:pt idx="47">
                  <c:v>70.380355467067488</c:v>
                </c:pt>
                <c:pt idx="48">
                  <c:v>67.649184531951775</c:v>
                </c:pt>
                <c:pt idx="49">
                  <c:v>65.859675320497459</c:v>
                </c:pt>
                <c:pt idx="50">
                  <c:v>64.690140203916215</c:v>
                </c:pt>
                <c:pt idx="51">
                  <c:v>63.93866106696828</c:v>
                </c:pt>
                <c:pt idx="52">
                  <c:v>63.474912551893183</c:v>
                </c:pt>
                <c:pt idx="53">
                  <c:v>63.212418272745566</c:v>
                </c:pt>
                <c:pt idx="54">
                  <c:v>63.092339908243261</c:v>
                </c:pt>
                <c:pt idx="55">
                  <c:v>63.073757483008791</c:v>
                </c:pt>
                <c:pt idx="56">
                  <c:v>63.12767379901058</c:v>
                </c:pt>
                <c:pt idx="57">
                  <c:v>63.23321225484861</c:v>
                </c:pt>
                <c:pt idx="58">
                  <c:v>63.375142700798676</c:v>
                </c:pt>
                <c:pt idx="59">
                  <c:v>63.542233232245707</c:v>
                </c:pt>
                <c:pt idx="60">
                  <c:v>63.726128706582372</c:v>
                </c:pt>
                <c:pt idx="61">
                  <c:v>63.920573012571168</c:v>
                </c:pt>
                <c:pt idx="62">
                  <c:v>64.120860459210576</c:v>
                </c:pt>
                <c:pt idx="63">
                  <c:v>64.323442833230771</c:v>
                </c:pt>
                <c:pt idx="64">
                  <c:v>64.525644077655002</c:v>
                </c:pt>
                <c:pt idx="65">
                  <c:v>64.725450558686745</c:v>
                </c:pt>
                <c:pt idx="66">
                  <c:v>64.921355190019426</c:v>
                </c:pt>
                <c:pt idx="67">
                  <c:v>65.112240435247628</c:v>
                </c:pt>
                <c:pt idx="68">
                  <c:v>65.297289710750846</c:v>
                </c:pt>
                <c:pt idx="69">
                  <c:v>65.475919761089202</c:v>
                </c:pt>
                <c:pt idx="70">
                  <c:v>65.647728675522814</c:v>
                </c:pt>
                <c:pt idx="71">
                  <c:v>65.812455675328366</c:v>
                </c:pt>
                <c:pt idx="72">
                  <c:v>65.969949832657463</c:v>
                </c:pt>
                <c:pt idx="73">
                  <c:v>66.120145617841956</c:v>
                </c:pt>
                <c:pt idx="74">
                  <c:v>66.263043703368496</c:v>
                </c:pt>
                <c:pt idx="75">
                  <c:v>66.39869584009449</c:v>
                </c:pt>
                <c:pt idx="76">
                  <c:v>66.527192906317282</c:v>
                </c:pt>
                <c:pt idx="77">
                  <c:v>66.648655441905291</c:v>
                </c:pt>
                <c:pt idx="78">
                  <c:v>66.763226138048267</c:v>
                </c:pt>
                <c:pt idx="79">
                  <c:v>66.87106387259152</c:v>
                </c:pt>
                <c:pt idx="80">
                  <c:v>66.972338971602412</c:v>
                </c:pt>
                <c:pt idx="81">
                  <c:v>67.067229447138374</c:v>
                </c:pt>
                <c:pt idx="82">
                  <c:v>67.155918014513816</c:v>
                </c:pt>
                <c:pt idx="83">
                  <c:v>67.23858973362141</c:v>
                </c:pt>
                <c:pt idx="84">
                  <c:v>67.315430150957383</c:v>
                </c:pt>
                <c:pt idx="85">
                  <c:v>67.386623844099176</c:v>
                </c:pt>
                <c:pt idx="86">
                  <c:v>67.452353290095957</c:v>
                </c:pt>
                <c:pt idx="87">
                  <c:v>67.51279799479515</c:v>
                </c:pt>
                <c:pt idx="88">
                  <c:v>67.568133832455018</c:v>
                </c:pt>
                <c:pt idx="89">
                  <c:v>67.618532554804631</c:v>
                </c:pt>
                <c:pt idx="90">
                  <c:v>67.664161436543992</c:v>
                </c:pt>
                <c:pt idx="91">
                  <c:v>67.705183030554466</c:v>
                </c:pt>
                <c:pt idx="92">
                  <c:v>67.741755011132099</c:v>
                </c:pt>
                <c:pt idx="93">
                  <c:v>67.77403008762515</c:v>
                </c:pt>
                <c:pt idx="94">
                  <c:v>67.802155974142849</c:v>
                </c:pt>
                <c:pt idx="95">
                  <c:v>67.826275403668461</c:v>
                </c:pt>
                <c:pt idx="96">
                  <c:v>67.846526177071595</c:v>
                </c:pt>
                <c:pt idx="97">
                  <c:v>67.863041239279227</c:v>
                </c:pt>
                <c:pt idx="98">
                  <c:v>67.87594877629931</c:v>
                </c:pt>
                <c:pt idx="99">
                  <c:v>67.885372327966394</c:v>
                </c:pt>
                <c:pt idx="100">
                  <c:v>67.891430912238405</c:v>
                </c:pt>
                <c:pt idx="101">
                  <c:v>67.894239157660223</c:v>
                </c:pt>
                <c:pt idx="102">
                  <c:v>67.893907441256331</c:v>
                </c:pt>
                <c:pt idx="103">
                  <c:v>67.890542029642631</c:v>
                </c:pt>
                <c:pt idx="104">
                  <c:v>67.884245221584138</c:v>
                </c:pt>
                <c:pt idx="105">
                  <c:v>67.875115490581337</c:v>
                </c:pt>
                <c:pt idx="106">
                  <c:v>67.863247626362352</c:v>
                </c:pt>
                <c:pt idx="107">
                  <c:v>67.848732874397982</c:v>
                </c:pt>
                <c:pt idx="108">
                  <c:v>67.831659072756381</c:v>
                </c:pt>
                <c:pt idx="109">
                  <c:v>67.812110785774408</c:v>
                </c:pt>
                <c:pt idx="110">
                  <c:v>67.790169434155928</c:v>
                </c:pt>
                <c:pt idx="111">
                  <c:v>67.765913421217064</c:v>
                </c:pt>
                <c:pt idx="112">
                  <c:v>67.739418255085141</c:v>
                </c:pt>
                <c:pt idx="113">
                  <c:v>67.710756666730489</c:v>
                </c:pt>
                <c:pt idx="114">
                  <c:v>67.679998723768634</c:v>
                </c:pt>
                <c:pt idx="115">
                  <c:v>67.647211940016021</c:v>
                </c:pt>
                <c:pt idx="116">
                  <c:v>67.612461380821514</c:v>
                </c:pt>
                <c:pt idx="117">
                  <c:v>67.575809764222754</c:v>
                </c:pt>
                <c:pt idx="118">
                  <c:v>67.537317558002712</c:v>
                </c:pt>
                <c:pt idx="119">
                  <c:v>67.497043072736119</c:v>
                </c:pt>
                <c:pt idx="120">
                  <c:v>67.455042550932234</c:v>
                </c:pt>
                <c:pt idx="121">
                  <c:v>67.411370252387883</c:v>
                </c:pt>
                <c:pt idx="122">
                  <c:v>67.366078535872774</c:v>
                </c:pt>
                <c:pt idx="123">
                  <c:v>67.31921793727301</c:v>
                </c:pt>
                <c:pt idx="124">
                  <c:v>67.270837244322252</c:v>
                </c:pt>
                <c:pt idx="125">
                  <c:v>67.220983568050173</c:v>
                </c:pt>
                <c:pt idx="126">
                  <c:v>67.169702411077679</c:v>
                </c:pt>
                <c:pt idx="127">
                  <c:v>67.117037732887624</c:v>
                </c:pt>
                <c:pt idx="128">
                  <c:v>67.063032012197496</c:v>
                </c:pt>
                <c:pt idx="129">
                  <c:v>67.007726306557302</c:v>
                </c:pt>
                <c:pt idx="130">
                  <c:v>66.95116030929465</c:v>
                </c:pt>
                <c:pt idx="131">
                  <c:v>66.893372403921916</c:v>
                </c:pt>
                <c:pt idx="132">
                  <c:v>66.834399716121609</c:v>
                </c:pt>
                <c:pt idx="133">
                  <c:v>66.774278163417065</c:v>
                </c:pt>
                <c:pt idx="134">
                  <c:v>66.713042502636355</c:v>
                </c:pt>
                <c:pt idx="135">
                  <c:v>66.650726375268377</c:v>
                </c:pt>
                <c:pt idx="136">
                  <c:v>66.587362350810679</c:v>
                </c:pt>
                <c:pt idx="137">
                  <c:v>66.522981968201705</c:v>
                </c:pt>
                <c:pt idx="138">
                  <c:v>66.457615775425722</c:v>
                </c:pt>
                <c:pt idx="139">
                  <c:v>66.391293367378438</c:v>
                </c:pt>
                <c:pt idx="140">
                  <c:v>66.324043422072421</c:v>
                </c:pt>
                <c:pt idx="141">
                  <c:v>66.255893735261623</c:v>
                </c:pt>
                <c:pt idx="142">
                  <c:v>66.186871253559815</c:v>
                </c:pt>
                <c:pt idx="143">
                  <c:v>66.117002106122612</c:v>
                </c:pt>
                <c:pt idx="144">
                  <c:v>66.046311634961441</c:v>
                </c:pt>
                <c:pt idx="145">
                  <c:v>65.974824423954246</c:v>
                </c:pt>
                <c:pt idx="146">
                  <c:v>65.902564326612989</c:v>
                </c:pt>
                <c:pt idx="147">
                  <c:v>65.829554492667611</c:v>
                </c:pt>
                <c:pt idx="148">
                  <c:v>65.755817393521198</c:v>
                </c:pt>
                <c:pt idx="149">
                  <c:v>65.681374846629069</c:v>
                </c:pt>
                <c:pt idx="150">
                  <c:v>65.606248038852826</c:v>
                </c:pt>
                <c:pt idx="151">
                  <c:v>65.530457548836466</c:v>
                </c:pt>
                <c:pt idx="152">
                  <c:v>65.454023368449668</c:v>
                </c:pt>
                <c:pt idx="153">
                  <c:v>65.376964923342925</c:v>
                </c:pt>
                <c:pt idx="154">
                  <c:v>65.299301092653607</c:v>
                </c:pt>
                <c:pt idx="155">
                  <c:v>65.22105022790376</c:v>
                </c:pt>
                <c:pt idx="156">
                  <c:v>65.142230171125746</c:v>
                </c:pt>
                <c:pt idx="157">
                  <c:v>65.062858272251518</c:v>
                </c:pt>
                <c:pt idx="158">
                  <c:v>64.982951405798431</c:v>
                </c:pt>
                <c:pt idx="159">
                  <c:v>64.902525986884854</c:v>
                </c:pt>
                <c:pt idx="160">
                  <c:v>64.821597986604345</c:v>
                </c:pt>
                <c:pt idx="161">
                  <c:v>64.740182946788337</c:v>
                </c:pt>
                <c:pt idx="162">
                  <c:v>64.658295994184542</c:v>
                </c:pt>
                <c:pt idx="163">
                  <c:v>64.575951854076891</c:v>
                </c:pt>
                <c:pt idx="164">
                  <c:v>64.493164863372485</c:v>
                </c:pt>
                <c:pt idx="165">
                  <c:v>64.409948983178438</c:v>
                </c:pt>
                <c:pt idx="166">
                  <c:v>64.326317810891723</c:v>
                </c:pt>
                <c:pt idx="167">
                  <c:v>64.242284591823093</c:v>
                </c:pt>
                <c:pt idx="168">
                  <c:v>64.157862230375969</c:v>
                </c:pt>
                <c:pt idx="169">
                  <c:v>64.07306330079858</c:v>
                </c:pt>
                <c:pt idx="170">
                  <c:v>63.98790005752933</c:v>
                </c:pt>
                <c:pt idx="171">
                  <c:v>63.902384445151895</c:v>
                </c:pt>
                <c:pt idx="172">
                  <c:v>63.816528107977049</c:v>
                </c:pt>
                <c:pt idx="173">
                  <c:v>63.730342399267528</c:v>
                </c:pt>
                <c:pt idx="174">
                  <c:v>63.643838390120777</c:v>
                </c:pt>
                <c:pt idx="175">
                  <c:v>63.557026878024331</c:v>
                </c:pt>
                <c:pt idx="176">
                  <c:v>63.469918395097352</c:v>
                </c:pt>
                <c:pt idx="177">
                  <c:v>63.3825232160317</c:v>
                </c:pt>
                <c:pt idx="178">
                  <c:v>63.294851365745473</c:v>
                </c:pt>
                <c:pt idx="179">
                  <c:v>63.206912626759859</c:v>
                </c:pt>
                <c:pt idx="180">
                  <c:v>63.118716546312172</c:v>
                </c:pt>
                <c:pt idx="181">
                  <c:v>63.030272443215082</c:v>
                </c:pt>
                <c:pt idx="182">
                  <c:v>62.941589414472162</c:v>
                </c:pt>
                <c:pt idx="183">
                  <c:v>62.852676341660853</c:v>
                </c:pt>
                <c:pt idx="184">
                  <c:v>62.763541897091542</c:v>
                </c:pt>
                <c:pt idx="185">
                  <c:v>62.674194549751007</c:v>
                </c:pt>
                <c:pt idx="186">
                  <c:v>62.584642571041215</c:v>
                </c:pt>
                <c:pt idx="187">
                  <c:v>62.494894040318897</c:v>
                </c:pt>
                <c:pt idx="188">
                  <c:v>62.404956850246052</c:v>
                </c:pt>
                <c:pt idx="189">
                  <c:v>62.314838711957762</c:v>
                </c:pt>
                <c:pt idx="190">
                  <c:v>62.224547160054541</c:v>
                </c:pt>
                <c:pt idx="191">
                  <c:v>62.134089557426933</c:v>
                </c:pt>
                <c:pt idx="192">
                  <c:v>62.04347309991762</c:v>
                </c:pt>
                <c:pt idx="193">
                  <c:v>61.952704820828728</c:v>
                </c:pt>
                <c:pt idx="194">
                  <c:v>61.861791595279428</c:v>
                </c:pt>
                <c:pt idx="195">
                  <c:v>61.770740144419847</c:v>
                </c:pt>
                <c:pt idx="196">
                  <c:v>61.679557039506719</c:v>
                </c:pt>
                <c:pt idx="197">
                  <c:v>61.588248705846567</c:v>
                </c:pt>
                <c:pt idx="198">
                  <c:v>61.496821426610808</c:v>
                </c:pt>
                <c:pt idx="199">
                  <c:v>61.40528134652736</c:v>
                </c:pt>
                <c:pt idx="200">
                  <c:v>61.313634475455046</c:v>
                </c:pt>
                <c:pt idx="201">
                  <c:v>61.221886691842954</c:v>
                </c:pt>
                <c:pt idx="202">
                  <c:v>61.13004374608073</c:v>
                </c:pt>
                <c:pt idx="203">
                  <c:v>61.038111263743005</c:v>
                </c:pt>
                <c:pt idx="204">
                  <c:v>60.946094748732548</c:v>
                </c:pt>
                <c:pt idx="205">
                  <c:v>60.853999586324434</c:v>
                </c:pt>
                <c:pt idx="206">
                  <c:v>60.761831046117109</c:v>
                </c:pt>
                <c:pt idx="207">
                  <c:v>60.669594284891659</c:v>
                </c:pt>
                <c:pt idx="208">
                  <c:v>60.577294349383692</c:v>
                </c:pt>
                <c:pt idx="209">
                  <c:v>60.484936178970784</c:v>
                </c:pt>
                <c:pt idx="210">
                  <c:v>60.392524608278151</c:v>
                </c:pt>
                <c:pt idx="211">
                  <c:v>60.300064369706263</c:v>
                </c:pt>
                <c:pt idx="212">
                  <c:v>60.207560095882457</c:v>
                </c:pt>
                <c:pt idx="213">
                  <c:v>60.115016322039338</c:v>
                </c:pt>
                <c:pt idx="214">
                  <c:v>60.02243748832278</c:v>
                </c:pt>
                <c:pt idx="215">
                  <c:v>59.929827942032276</c:v>
                </c:pt>
                <c:pt idx="216">
                  <c:v>59.837191939794906</c:v>
                </c:pt>
                <c:pt idx="217">
                  <c:v>59.744533649676697</c:v>
                </c:pt>
                <c:pt idx="218">
                  <c:v>59.6518571532321</c:v>
                </c:pt>
                <c:pt idx="219">
                  <c:v>59.559166447495116</c:v>
                </c:pt>
                <c:pt idx="220">
                  <c:v>59.466465446912736</c:v>
                </c:pt>
                <c:pt idx="221">
                  <c:v>59.373757985223705</c:v>
                </c:pt>
                <c:pt idx="222">
                  <c:v>59.281047817283735</c:v>
                </c:pt>
                <c:pt idx="223">
                  <c:v>59.18833862083963</c:v>
                </c:pt>
                <c:pt idx="224">
                  <c:v>59.095633998253319</c:v>
                </c:pt>
                <c:pt idx="225">
                  <c:v>59.002937478178296</c:v>
                </c:pt>
                <c:pt idx="226">
                  <c:v>58.077144650496322</c:v>
                </c:pt>
                <c:pt idx="227">
                  <c:v>57.155553742830676</c:v>
                </c:pt>
                <c:pt idx="228">
                  <c:v>56.240695679614802</c:v>
                </c:pt>
                <c:pt idx="229">
                  <c:v>55.334634603045103</c:v>
                </c:pt>
                <c:pt idx="230">
                  <c:v>54.439050911125591</c:v>
                </c:pt>
                <c:pt idx="231">
                  <c:v>53.555306852782053</c:v>
                </c:pt>
                <c:pt idx="232">
                  <c:v>52.684499013829623</c:v>
                </c:pt>
                <c:pt idx="233">
                  <c:v>51.827500815741359</c:v>
                </c:pt>
                <c:pt idx="234">
                  <c:v>50.984997304758053</c:v>
                </c:pt>
                <c:pt idx="235">
                  <c:v>50.15751391319327</c:v>
                </c:pt>
                <c:pt idx="236">
                  <c:v>49.345440449658639</c:v>
                </c:pt>
                <c:pt idx="237">
                  <c:v>48.549051268202874</c:v>
                </c:pt>
                <c:pt idx="238">
                  <c:v>47.768522342733945</c:v>
                </c:pt>
                <c:pt idx="239">
                  <c:v>47.003945808420212</c:v>
                </c:pt>
                <c:pt idx="240">
                  <c:v>46.255342409309804</c:v>
                </c:pt>
                <c:pt idx="241">
                  <c:v>45.522672199465262</c:v>
                </c:pt>
                <c:pt idx="242">
                  <c:v>44.805843775213674</c:v>
                </c:pt>
                <c:pt idx="243">
                  <c:v>44.10472226276292</c:v>
                </c:pt>
                <c:pt idx="244">
                  <c:v>43.419136244199876</c:v>
                </c:pt>
                <c:pt idx="245">
                  <c:v>42.748883772699855</c:v>
                </c:pt>
                <c:pt idx="246">
                  <c:v>42.093737602398136</c:v>
                </c:pt>
                <c:pt idx="247">
                  <c:v>41.453449738163556</c:v>
                </c:pt>
                <c:pt idx="248">
                  <c:v>40.827755394257338</c:v>
                </c:pt>
                <c:pt idx="249">
                  <c:v>40.216376437649529</c:v>
                </c:pt>
                <c:pt idx="250">
                  <c:v>39.619024380934235</c:v>
                </c:pt>
                <c:pt idx="251">
                  <c:v>39.035402980810204</c:v>
                </c:pt>
                <c:pt idx="252">
                  <c:v>38.46521049060155</c:v>
                </c:pt>
                <c:pt idx="253">
                  <c:v>37.908141608981509</c:v>
                </c:pt>
                <c:pt idx="254">
                  <c:v>37.36388916170452</c:v>
                </c:pt>
                <c:pt idx="255">
                  <c:v>36.832145548575994</c:v>
                </c:pt>
                <c:pt idx="256">
                  <c:v>36.312603983950254</c:v>
                </c:pt>
                <c:pt idx="257">
                  <c:v>35.804959555645979</c:v>
                </c:pt>
                <c:pt idx="258">
                  <c:v>35.308910124208865</c:v>
                </c:pt>
                <c:pt idx="259">
                  <c:v>34.824157081874091</c:v>
                </c:pt>
                <c:pt idx="260">
                  <c:v>34.350405988318784</c:v>
                </c:pt>
                <c:pt idx="261">
                  <c:v>33.887367098314172</c:v>
                </c:pt>
                <c:pt idx="262">
                  <c:v>33.434755794638619</c:v>
                </c:pt>
                <c:pt idx="263">
                  <c:v>32.992292938072779</c:v>
                </c:pt>
                <c:pt idx="264">
                  <c:v>32.559705144936515</c:v>
                </c:pt>
                <c:pt idx="265">
                  <c:v>32.13672500142178</c:v>
                </c:pt>
                <c:pt idx="266">
                  <c:v>31.723091222909119</c:v>
                </c:pt>
                <c:pt idx="267">
                  <c:v>31.318548765507757</c:v>
                </c:pt>
                <c:pt idx="268">
                  <c:v>30.922848896221495</c:v>
                </c:pt>
                <c:pt idx="269">
                  <c:v>30.535749227395655</c:v>
                </c:pt>
                <c:pt idx="270">
                  <c:v>30.157013720439835</c:v>
                </c:pt>
                <c:pt idx="271">
                  <c:v>29.786412663232682</c:v>
                </c:pt>
                <c:pt idx="272">
                  <c:v>29.42372262509582</c:v>
                </c:pt>
                <c:pt idx="273">
                  <c:v>29.068726392756503</c:v>
                </c:pt>
                <c:pt idx="274">
                  <c:v>28.721212890312472</c:v>
                </c:pt>
                <c:pt idx="275">
                  <c:v>28.380977085842858</c:v>
                </c:pt>
                <c:pt idx="276">
                  <c:v>28.047819886988322</c:v>
                </c:pt>
                <c:pt idx="277">
                  <c:v>27.721548027535363</c:v>
                </c:pt>
                <c:pt idx="278">
                  <c:v>27.401973946783158</c:v>
                </c:pt>
                <c:pt idx="279">
                  <c:v>27.088915663249338</c:v>
                </c:pt>
                <c:pt idx="280">
                  <c:v>26.782196644066715</c:v>
                </c:pt>
                <c:pt idx="281">
                  <c:v>26.481645671250163</c:v>
                </c:pt>
                <c:pt idx="282">
                  <c:v>26.187096705852326</c:v>
                </c:pt>
                <c:pt idx="283">
                  <c:v>25.898388750891371</c:v>
                </c:pt>
                <c:pt idx="284">
                  <c:v>25.615365713809751</c:v>
                </c:pt>
                <c:pt idx="285">
                  <c:v>25.337876269116322</c:v>
                </c:pt>
                <c:pt idx="286">
                  <c:v>25.065773721767272</c:v>
                </c:pt>
                <c:pt idx="287">
                  <c:v>24.798915871759306</c:v>
                </c:pt>
                <c:pt idx="288">
                  <c:v>24.537164880333108</c:v>
                </c:pt>
                <c:pt idx="289">
                  <c:v>24.280387138121654</c:v>
                </c:pt>
                <c:pt idx="290">
                  <c:v>24.028453135518902</c:v>
                </c:pt>
                <c:pt idx="291">
                  <c:v>23.781237335497366</c:v>
                </c:pt>
                <c:pt idx="292">
                  <c:v>23.538618049056311</c:v>
                </c:pt>
                <c:pt idx="293">
                  <c:v>23.300477313446663</c:v>
                </c:pt>
                <c:pt idx="294">
                  <c:v>23.066700773283884</c:v>
                </c:pt>
                <c:pt idx="295">
                  <c:v>22.837177564631986</c:v>
                </c:pt>
                <c:pt idx="296">
                  <c:v>22.611800202116285</c:v>
                </c:pt>
                <c:pt idx="297">
                  <c:v>22.390464469100749</c:v>
                </c:pt>
                <c:pt idx="298">
                  <c:v>22.173069310948222</c:v>
                </c:pt>
                <c:pt idx="299">
                  <c:v>21.959516731363834</c:v>
                </c:pt>
                <c:pt idx="300">
                  <c:v>21.749711691809864</c:v>
                </c:pt>
                <c:pt idx="301">
                  <c:v>21.54356201396746</c:v>
                </c:pt>
                <c:pt idx="302">
                  <c:v>21.340978285212344</c:v>
                </c:pt>
                <c:pt idx="303">
                  <c:v>21.141873767060872</c:v>
                </c:pt>
                <c:pt idx="304">
                  <c:v>20.946164306538662</c:v>
                </c:pt>
                <c:pt idx="305">
                  <c:v>20.753768250416215</c:v>
                </c:pt>
                <c:pt idx="306">
                  <c:v>20.564606362252846</c:v>
                </c:pt>
                <c:pt idx="307">
                  <c:v>20.378601742185538</c:v>
                </c:pt>
                <c:pt idx="308">
                  <c:v>20.195679749397044</c:v>
                </c:pt>
                <c:pt idx="309">
                  <c:v>20.01576792719564</c:v>
                </c:pt>
                <c:pt idx="310">
                  <c:v>19.838795930636792</c:v>
                </c:pt>
                <c:pt idx="311">
                  <c:v>19.664695456616045</c:v>
                </c:pt>
                <c:pt idx="312">
                  <c:v>19.493400176363338</c:v>
                </c:pt>
                <c:pt idx="313">
                  <c:v>19.324845670266171</c:v>
                </c:pt>
                <c:pt idx="314">
                  <c:v>19.158969364952526</c:v>
                </c:pt>
                <c:pt idx="315">
                  <c:v>18.9957104725612</c:v>
                </c:pt>
                <c:pt idx="316">
                  <c:v>18.83500993213238</c:v>
                </c:pt>
                <c:pt idx="317">
                  <c:v>18.676810353047614</c:v>
                </c:pt>
                <c:pt idx="318">
                  <c:v>18.521055960452827</c:v>
                </c:pt>
                <c:pt idx="319">
                  <c:v>18.367692542598604</c:v>
                </c:pt>
                <c:pt idx="320">
                  <c:v>18.216667400031071</c:v>
                </c:pt>
                <c:pt idx="321">
                  <c:v>18.067929296572345</c:v>
                </c:pt>
                <c:pt idx="322">
                  <c:v>17.921428412026444</c:v>
                </c:pt>
                <c:pt idx="323">
                  <c:v>17.777116296551952</c:v>
                </c:pt>
                <c:pt idx="324">
                  <c:v>17.63494582664211</c:v>
                </c:pt>
                <c:pt idx="325">
                  <c:v>17.494871162655443</c:v>
                </c:pt>
                <c:pt idx="326">
                  <c:v>17.356847707841325</c:v>
                </c:pt>
                <c:pt idx="327">
                  <c:v>17.220832068807368</c:v>
                </c:pt>
                <c:pt idx="328">
                  <c:v>17.086782017376521</c:v>
                </c:pt>
                <c:pt idx="329">
                  <c:v>16.95465645378232</c:v>
                </c:pt>
                <c:pt idx="330">
                  <c:v>16.824415371155965</c:v>
                </c:pt>
                <c:pt idx="331">
                  <c:v>16.696019821255874</c:v>
                </c:pt>
                <c:pt idx="332">
                  <c:v>16.569431881395218</c:v>
                </c:pt>
                <c:pt idx="333">
                  <c:v>16.444614622523375</c:v>
                </c:pt>
                <c:pt idx="334">
                  <c:v>16.321532078419153</c:v>
                </c:pt>
                <c:pt idx="335">
                  <c:v>16.200149215954184</c:v>
                </c:pt>
                <c:pt idx="336">
                  <c:v>16.080431906387616</c:v>
                </c:pt>
                <c:pt idx="337">
                  <c:v>15.962346897653674</c:v>
                </c:pt>
                <c:pt idx="338">
                  <c:v>15.845861787605941</c:v>
                </c:pt>
                <c:pt idx="339">
                  <c:v>15.730944998182224</c:v>
                </c:pt>
                <c:pt idx="340">
                  <c:v>15.617565750456578</c:v>
                </c:pt>
                <c:pt idx="341">
                  <c:v>15.505694040545535</c:v>
                </c:pt>
                <c:pt idx="342">
                  <c:v>15.395300616337522</c:v>
                </c:pt>
                <c:pt idx="343">
                  <c:v>15.286356955013446</c:v>
                </c:pt>
                <c:pt idx="344">
                  <c:v>15.178835241331427</c:v>
                </c:pt>
                <c:pt idx="345">
                  <c:v>15.072708346646067</c:v>
                </c:pt>
                <c:pt idx="346">
                  <c:v>14.967949808635382</c:v>
                </c:pt>
                <c:pt idx="347">
                  <c:v>14.864533811710118</c:v>
                </c:pt>
                <c:pt idx="348">
                  <c:v>14.76243516807935</c:v>
                </c:pt>
                <c:pt idx="349">
                  <c:v>14.66162929944926</c:v>
                </c:pt>
                <c:pt idx="350">
                  <c:v>14.562092219331191</c:v>
                </c:pt>
                <c:pt idx="351">
                  <c:v>14.463800515936953</c:v>
                </c:pt>
                <c:pt idx="352">
                  <c:v>14.366731335640338</c:v>
                </c:pt>
                <c:pt idx="353">
                  <c:v>14.270862366983607</c:v>
                </c:pt>
                <c:pt idx="354">
                  <c:v>14.176171825209622</c:v>
                </c:pt>
                <c:pt idx="355">
                  <c:v>14.082638437300034</c:v>
                </c:pt>
                <c:pt idx="356">
                  <c:v>13.990241427502212</c:v>
                </c:pt>
                <c:pt idx="357">
                  <c:v>13.898960503325867</c:v>
                </c:pt>
                <c:pt idx="358">
                  <c:v>13.808775841993906</c:v>
                </c:pt>
                <c:pt idx="359">
                  <c:v>13.719668077330368</c:v>
                </c:pt>
                <c:pt idx="360">
                  <c:v>13.63161828706933</c:v>
                </c:pt>
                <c:pt idx="361">
                  <c:v>13.544607980571328</c:v>
                </c:pt>
                <c:pt idx="362">
                  <c:v>13.458619086931691</c:v>
                </c:pt>
                <c:pt idx="363">
                  <c:v>13.373633943465649</c:v>
                </c:pt>
                <c:pt idx="364">
                  <c:v>13.289635284560461</c:v>
                </c:pt>
                <c:pt idx="365">
                  <c:v>13.206606230877128</c:v>
                </c:pt>
                <c:pt idx="366">
                  <c:v>13.124530278893417</c:v>
                </c:pt>
                <c:pt idx="367">
                  <c:v>13.043391290772831</c:v>
                </c:pt>
                <c:pt idx="368">
                  <c:v>12.963173484551049</c:v>
                </c:pt>
                <c:pt idx="369">
                  <c:v>12.883861424626389</c:v>
                </c:pt>
                <c:pt idx="370">
                  <c:v>12.805440012545063</c:v>
                </c:pt>
                <c:pt idx="371">
                  <c:v>12.727894478070681</c:v>
                </c:pt>
                <c:pt idx="372">
                  <c:v>12.65121037052802</c:v>
                </c:pt>
                <c:pt idx="373">
                  <c:v>12.575373550411911</c:v>
                </c:pt>
                <c:pt idx="374">
                  <c:v>12.500370181251384</c:v>
                </c:pt>
                <c:pt idx="375">
                  <c:v>12.426186721721706</c:v>
                </c:pt>
                <c:pt idx="376">
                  <c:v>12.352809917994136</c:v>
                </c:pt>
                <c:pt idx="377">
                  <c:v>12.28022679631701</c:v>
                </c:pt>
                <c:pt idx="378">
                  <c:v>12.208424655818789</c:v>
                </c:pt>
                <c:pt idx="379">
                  <c:v>12.137391061526699</c:v>
                </c:pt>
                <c:pt idx="380">
                  <c:v>12.067113837593183</c:v>
                </c:pt>
                <c:pt idx="381">
                  <c:v>11.997581060723007</c:v>
                </c:pt>
                <c:pt idx="382">
                  <c:v>11.92878105379512</c:v>
                </c:pt>
                <c:pt idx="383">
                  <c:v>11.860702379671693</c:v>
                </c:pt>
                <c:pt idx="384">
                  <c:v>11.793333835188918</c:v>
                </c:pt>
                <c:pt idx="385">
                  <c:v>11.726664445322967</c:v>
                </c:pt>
                <c:pt idx="386">
                  <c:v>11.660683457526233</c:v>
                </c:pt>
                <c:pt idx="387">
                  <c:v>11.595380336227237</c:v>
                </c:pt>
                <c:pt idx="388">
                  <c:v>11.530744757488947</c:v>
                </c:pt>
                <c:pt idx="389">
                  <c:v>11.466766603821583</c:v>
                </c:pt>
                <c:pt idx="390">
                  <c:v>11.403435959143053</c:v>
                </c:pt>
                <c:pt idx="391">
                  <c:v>11.340743103883426</c:v>
                </c:pt>
                <c:pt idx="392">
                  <c:v>11.278678510228616</c:v>
                </c:pt>
                <c:pt idx="393">
                  <c:v>11.2172328374985</c:v>
                </c:pt>
                <c:pt idx="394">
                  <c:v>11.156396927655408</c:v>
                </c:pt>
                <c:pt idx="395">
                  <c:v>11.096161800938745</c:v>
                </c:pt>
                <c:pt idx="396">
                  <c:v>11.036518651621265</c:v>
                </c:pt>
                <c:pt idx="397">
                  <c:v>10.977458843884563</c:v>
                </c:pt>
                <c:pt idx="398">
                  <c:v>10.918973907807725</c:v>
                </c:pt>
                <c:pt idx="399">
                  <c:v>10.861055535468154</c:v>
                </c:pt>
                <c:pt idx="400">
                  <c:v>10.80369557714863</c:v>
                </c:pt>
                <c:pt idx="401">
                  <c:v>10.746886037649375</c:v>
                </c:pt>
                <c:pt idx="402">
                  <c:v>10.690619072700116</c:v>
                </c:pt>
                <c:pt idx="403">
                  <c:v>10.634886985470274</c:v>
                </c:pt>
                <c:pt idx="404">
                  <c:v>10.579682223173421</c:v>
                </c:pt>
                <c:pt idx="405">
                  <c:v>10.524997373763995</c:v>
                </c:pt>
                <c:pt idx="406">
                  <c:v>10.470825162722122</c:v>
                </c:pt>
                <c:pt idx="407">
                  <c:v>10.417158449925381</c:v>
                </c:pt>
                <c:pt idx="408">
                  <c:v>10.363990226603363</c:v>
                </c:pt>
                <c:pt idx="409">
                  <c:v>10.311313612373795</c:v>
                </c:pt>
                <c:pt idx="410">
                  <c:v>10.259121852356969</c:v>
                </c:pt>
                <c:pt idx="411">
                  <c:v>10.207408314366234</c:v>
                </c:pt>
                <c:pt idx="412">
                  <c:v>10.156166486172481</c:v>
                </c:pt>
                <c:pt idx="413">
                  <c:v>10.105389972840356</c:v>
                </c:pt>
                <c:pt idx="414">
                  <c:v>10.055072494133753</c:v>
                </c:pt>
                <c:pt idx="415">
                  <c:v>10.005207881988838</c:v>
                </c:pt>
                <c:pt idx="416">
                  <c:v>9.9557900780527575</c:v>
                </c:pt>
                <c:pt idx="417">
                  <c:v>9.9068131312853893</c:v>
                </c:pt>
                <c:pt idx="418">
                  <c:v>9.8582711956231606</c:v>
                </c:pt>
                <c:pt idx="419">
                  <c:v>9.8101585277024697</c:v>
                </c:pt>
                <c:pt idx="420">
                  <c:v>9.7624694846410307</c:v>
                </c:pt>
                <c:pt idx="421">
                  <c:v>9.7151985218761752</c:v>
                </c:pt>
                <c:pt idx="422">
                  <c:v>9.668340191057041</c:v>
                </c:pt>
                <c:pt idx="423">
                  <c:v>9.62188913799082</c:v>
                </c:pt>
                <c:pt idx="424">
                  <c:v>9.575840100639823</c:v>
                </c:pt>
                <c:pt idx="425">
                  <c:v>9.5301879071694202</c:v>
                </c:pt>
                <c:pt idx="426">
                  <c:v>9.4849274740439569</c:v>
                </c:pt>
                <c:pt idx="427">
                  <c:v>9.4400538041707875</c:v>
                </c:pt>
                <c:pt idx="428">
                  <c:v>9.3955619850893868</c:v>
                </c:pt>
                <c:pt idx="429">
                  <c:v>9.3514471872059346</c:v>
                </c:pt>
                <c:pt idx="430">
                  <c:v>9.3077046620708757</c:v>
                </c:pt>
                <c:pt idx="431">
                  <c:v>9.2643297406986278</c:v>
                </c:pt>
                <c:pt idx="432">
                  <c:v>9.2213178319285305</c:v>
                </c:pt>
                <c:pt idx="433">
                  <c:v>9.1786644208255836</c:v>
                </c:pt>
                <c:pt idx="434">
                  <c:v>9.1363650671197831</c:v>
                </c:pt>
                <c:pt idx="435">
                  <c:v>9.0944154036830867</c:v>
                </c:pt>
                <c:pt idx="436">
                  <c:v>9.0528111350436973</c:v>
                </c:pt>
                <c:pt idx="437">
                  <c:v>9.011548035934652</c:v>
                </c:pt>
                <c:pt idx="438">
                  <c:v>8.9706219498783639</c:v>
                </c:pt>
                <c:pt idx="439">
                  <c:v>8.9300287878040194</c:v>
                </c:pt>
                <c:pt idx="440">
                  <c:v>8.8897645266983716</c:v>
                </c:pt>
                <c:pt idx="441">
                  <c:v>8.8498252082876547</c:v>
                </c:pt>
                <c:pt idx="442">
                  <c:v>8.8102069377512748</c:v>
                </c:pt>
                <c:pt idx="443">
                  <c:v>8.770905882465172</c:v>
                </c:pt>
                <c:pt idx="444">
                  <c:v>8.7319182707748269</c:v>
                </c:pt>
                <c:pt idx="445">
                  <c:v>8.6932403907966034</c:v>
                </c:pt>
                <c:pt idx="446">
                  <c:v>8.6548685892473713</c:v>
                </c:pt>
                <c:pt idx="447">
                  <c:v>8.6167992703004757</c:v>
                </c:pt>
                <c:pt idx="448">
                  <c:v>8.5790288944688484</c:v>
                </c:pt>
                <c:pt idx="449">
                  <c:v>8.541553977513189</c:v>
                </c:pt>
                <c:pt idx="450">
                  <c:v>8.5043710893754678</c:v>
                </c:pt>
                <c:pt idx="451">
                  <c:v>8.4674768531365885</c:v>
                </c:pt>
                <c:pt idx="452">
                  <c:v>8.4308679439977539</c:v>
                </c:pt>
                <c:pt idx="453">
                  <c:v>8.3945410882851661</c:v>
                </c:pt>
                <c:pt idx="454">
                  <c:v>8.3584930624767253</c:v>
                </c:pt>
                <c:pt idx="455">
                  <c:v>8.3227206922509538</c:v>
                </c:pt>
                <c:pt idx="456">
                  <c:v>8.2872208515572936</c:v>
                </c:pt>
                <c:pt idx="457">
                  <c:v>8.2519904617068676</c:v>
                </c:pt>
                <c:pt idx="458">
                  <c:v>8.217026490483704</c:v>
                </c:pt>
                <c:pt idx="459">
                  <c:v>8.1823259512757716</c:v>
                </c:pt>
                <c:pt idx="460">
                  <c:v>8.1478859022250276</c:v>
                </c:pt>
                <c:pt idx="461">
                  <c:v>8.1137034453962826</c:v>
                </c:pt>
                <c:pt idx="462">
                  <c:v>8.0797757259642253</c:v>
                </c:pt>
                <c:pt idx="463">
                  <c:v>8.046099931418496</c:v>
                </c:pt>
                <c:pt idx="464">
                  <c:v>8.0126732907859832</c:v>
                </c:pt>
                <c:pt idx="465">
                  <c:v>7.9794930738697758</c:v>
                </c:pt>
                <c:pt idx="466">
                  <c:v>7.9465565905049971</c:v>
                </c:pt>
                <c:pt idx="467">
                  <c:v>7.9138611898306408</c:v>
                </c:pt>
                <c:pt idx="468">
                  <c:v>7.881404259576783</c:v>
                </c:pt>
                <c:pt idx="469">
                  <c:v>7.8491832253675113</c:v>
                </c:pt>
                <c:pt idx="470">
                  <c:v>7.8171955500383774</c:v>
                </c:pt>
                <c:pt idx="471">
                  <c:v>7.7854387329687427</c:v>
                </c:pt>
                <c:pt idx="472">
                  <c:v>7.753910309428079</c:v>
                </c:pt>
                <c:pt idx="473">
                  <c:v>7.7226078499362529</c:v>
                </c:pt>
                <c:pt idx="474">
                  <c:v>7.6915289596371395</c:v>
                </c:pt>
                <c:pt idx="475">
                  <c:v>7.6606712776855659</c:v>
                </c:pt>
                <c:pt idx="476">
                  <c:v>7.6300324766472727</c:v>
                </c:pt>
                <c:pt idx="477">
                  <c:v>7.5996102619109251</c:v>
                </c:pt>
                <c:pt idx="478">
                  <c:v>7.5694023711128864</c:v>
                </c:pt>
                <c:pt idx="479">
                  <c:v>7.5394065735735865</c:v>
                </c:pt>
                <c:pt idx="480">
                  <c:v>7.5096206697459422</c:v>
                </c:pt>
                <c:pt idx="481">
                  <c:v>7.4800424906746343</c:v>
                </c:pt>
                <c:pt idx="482">
                  <c:v>7.450669897467094</c:v>
                </c:pt>
                <c:pt idx="483">
                  <c:v>7.4215007807747213</c:v>
                </c:pt>
                <c:pt idx="484">
                  <c:v>7.3925330602853307</c:v>
                </c:pt>
                <c:pt idx="485">
                  <c:v>7.3637646842256004</c:v>
                </c:pt>
                <c:pt idx="486">
                  <c:v>7.335193628873526</c:v>
                </c:pt>
                <c:pt idx="487">
                  <c:v>7.3068178980808796</c:v>
                </c:pt>
                <c:pt idx="488">
                  <c:v>7.2786355228057289</c:v>
                </c:pt>
                <c:pt idx="489">
                  <c:v>7.2506445606534839</c:v>
                </c:pt>
                <c:pt idx="490">
                  <c:v>7.2228430954277485</c:v>
                </c:pt>
                <c:pt idx="491">
                  <c:v>7.1952292366903237</c:v>
                </c:pt>
                <c:pt idx="492">
                  <c:v>7.1678011193291979</c:v>
                </c:pt>
                <c:pt idx="493">
                  <c:v>7.1405569031362859</c:v>
                </c:pt>
                <c:pt idx="494">
                  <c:v>7.11349477239213</c:v>
                </c:pt>
                <c:pt idx="495">
                  <c:v>7.0866129354602094</c:v>
                </c:pt>
                <c:pt idx="496">
                  <c:v>7.0599096243880979</c:v>
                </c:pt>
                <c:pt idx="497">
                  <c:v>7.0333830945171485</c:v>
                </c:pt>
                <c:pt idx="498">
                  <c:v>7.0070316240997386</c:v>
                </c:pt>
                <c:pt idx="499">
                  <c:v>6.9808535139234209</c:v>
                </c:pt>
                <c:pt idx="500">
                  <c:v>6.9548470869433459</c:v>
                </c:pt>
                <c:pt idx="501">
                  <c:v>6.9290106879208793</c:v>
                </c:pt>
                <c:pt idx="502">
                  <c:v>6.9033426830697806</c:v>
                </c:pt>
                <c:pt idx="503">
                  <c:v>6.8778414597089466</c:v>
                </c:pt>
                <c:pt idx="504">
                  <c:v>6.8525054259220326</c:v>
                </c:pt>
                <c:pt idx="505">
                  <c:v>6.8273330102234695</c:v>
                </c:pt>
                <c:pt idx="506">
                  <c:v>6.8023226612306757</c:v>
                </c:pt>
                <c:pt idx="507">
                  <c:v>6.7774728473430628</c:v>
                </c:pt>
                <c:pt idx="508">
                  <c:v>6.7527820564264118</c:v>
                </c:pt>
                <c:pt idx="509">
                  <c:v>6.7282487955039301</c:v>
                </c:pt>
                <c:pt idx="510">
                  <c:v>6.7038715904525077</c:v>
                </c:pt>
                <c:pt idx="511">
                  <c:v>6.6796489857052563</c:v>
                </c:pt>
                <c:pt idx="512">
                  <c:v>6.6555795439592487</c:v>
                </c:pt>
                <c:pt idx="513">
                  <c:v>6.631661845888857</c:v>
                </c:pt>
                <c:pt idx="514">
                  <c:v>6.6078944898645204</c:v>
                </c:pt>
                <c:pt idx="515">
                  <c:v>6.5842760916765144</c:v>
                </c:pt>
                <c:pt idx="516">
                  <c:v>6.5608052842641484</c:v>
                </c:pt>
                <c:pt idx="517">
                  <c:v>6.5374807174496254</c:v>
                </c:pt>
                <c:pt idx="518">
                  <c:v>6.5143010576772724</c:v>
                </c:pt>
                <c:pt idx="519">
                  <c:v>6.4912649877571766</c:v>
                </c:pt>
                <c:pt idx="520">
                  <c:v>6.4683712066134262</c:v>
                </c:pt>
                <c:pt idx="521">
                  <c:v>6.4456184290374381</c:v>
                </c:pt>
                <c:pt idx="522">
                  <c:v>6.423005385445606</c:v>
                </c:pt>
                <c:pt idx="523">
                  <c:v>6.400530821640956</c:v>
                </c:pt>
                <c:pt idx="524">
                  <c:v>6.3781934985795203</c:v>
                </c:pt>
                <c:pt idx="525">
                  <c:v>6.3559921921410591</c:v>
                </c:pt>
                <c:pt idx="526">
                  <c:v>6.333925692903648</c:v>
                </c:pt>
                <c:pt idx="527">
                  <c:v>6.3119928059220456</c:v>
                </c:pt>
                <c:pt idx="528">
                  <c:v>6.2901923505108357</c:v>
                </c:pt>
                <c:pt idx="529">
                  <c:v>6.2685231600306111</c:v>
                </c:pt>
                <c:pt idx="530">
                  <c:v>6.2469840816787041</c:v>
                </c:pt>
                <c:pt idx="531">
                  <c:v>6.2255739762826749</c:v>
                </c:pt>
                <c:pt idx="532">
                  <c:v>6.2042917180989718</c:v>
                </c:pt>
                <c:pt idx="533">
                  <c:v>6.1831361946130983</c:v>
                </c:pt>
                <c:pt idx="534">
                  <c:v>6.162106306345521</c:v>
                </c:pt>
                <c:pt idx="535">
                  <c:v>6.14120096665917</c:v>
                </c:pt>
                <c:pt idx="536">
                  <c:v>6.1204191015712865</c:v>
                </c:pt>
                <c:pt idx="537">
                  <c:v>6.0997596495685684</c:v>
                </c:pt>
                <c:pt idx="538">
                  <c:v>6.079221561424788</c:v>
                </c:pt>
                <c:pt idx="539">
                  <c:v>6.058803800022531</c:v>
                </c:pt>
                <c:pt idx="540">
                  <c:v>6.0385053401773803</c:v>
                </c:pt>
                <c:pt idx="541">
                  <c:v>6.0183251684654238</c:v>
                </c:pt>
                <c:pt idx="542">
                  <c:v>5.998262283053549</c:v>
                </c:pt>
                <c:pt idx="543">
                  <c:v>5.9783156935328918</c:v>
                </c:pt>
                <c:pt idx="544">
                  <c:v>5.9584844207549281</c:v>
                </c:pt>
                <c:pt idx="545">
                  <c:v>5.9387674966706356</c:v>
                </c:pt>
                <c:pt idx="546">
                  <c:v>5.9191639641719007</c:v>
                </c:pt>
                <c:pt idx="547">
                  <c:v>5.8996728769361368</c:v>
                </c:pt>
                <c:pt idx="548">
                  <c:v>5.8802932992734327</c:v>
                </c:pt>
                <c:pt idx="549">
                  <c:v>5.8610243059759739</c:v>
                </c:pt>
                <c:pt idx="550">
                  <c:v>5.8418649821706197</c:v>
                </c:pt>
                <c:pt idx="551">
                  <c:v>5.8228144231730425</c:v>
                </c:pt>
                <c:pt idx="552">
                  <c:v>5.8038717343451935</c:v>
                </c:pt>
                <c:pt idx="553">
                  <c:v>5.7850360309549274</c:v>
                </c:pt>
                <c:pt idx="554">
                  <c:v>5.766306438037418</c:v>
                </c:pt>
                <c:pt idx="555">
                  <c:v>5.7476820902597296</c:v>
                </c:pt>
                <c:pt idx="556">
                  <c:v>5.7291621317871204</c:v>
                </c:pt>
                <c:pt idx="557">
                  <c:v>5.7107457161515072</c:v>
                </c:pt>
                <c:pt idx="558">
                  <c:v>5.6924320061224876</c:v>
                </c:pt>
                <c:pt idx="559">
                  <c:v>5.674220173580153</c:v>
                </c:pt>
                <c:pt idx="560">
                  <c:v>5.6561093993900045</c:v>
                </c:pt>
                <c:pt idx="561">
                  <c:v>5.6380988732803985</c:v>
                </c:pt>
                <c:pt idx="562">
                  <c:v>5.6201877937212146</c:v>
                </c:pt>
                <c:pt idx="563">
                  <c:v>5.6023753678049673</c:v>
                </c:pt>
                <c:pt idx="564">
                  <c:v>5.5846608111301066</c:v>
                </c:pt>
                <c:pt idx="565">
                  <c:v>5.5670433476854839</c:v>
                </c:pt>
                <c:pt idx="566">
                  <c:v>5.549522209737404</c:v>
                </c:pt>
                <c:pt idx="567">
                  <c:v>5.5320966377182401</c:v>
                </c:pt>
                <c:pt idx="568">
                  <c:v>5.5147658801163857</c:v>
                </c:pt>
                <c:pt idx="569">
                  <c:v>5.4975291933688197</c:v>
                </c:pt>
                <c:pt idx="570">
                  <c:v>5.4803858417548952</c:v>
                </c:pt>
                <c:pt idx="571">
                  <c:v>5.4633350972916901</c:v>
                </c:pt>
                <c:pt idx="572">
                  <c:v>5.4463762396314053</c:v>
                </c:pt>
                <c:pt idx="573">
                  <c:v>5.4295085559602967</c:v>
                </c:pt>
                <c:pt idx="574">
                  <c:v>5.4127313408989153</c:v>
                </c:pt>
                <c:pt idx="575">
                  <c:v>5.3960438964042226</c:v>
                </c:pt>
                <c:pt idx="576">
                  <c:v>5.3794455316732979</c:v>
                </c:pt>
                <c:pt idx="577">
                  <c:v>5.3629355630482394</c:v>
                </c:pt>
                <c:pt idx="578">
                  <c:v>5.3465133139230829</c:v>
                </c:pt>
                <c:pt idx="579">
                  <c:v>5.3301781146512894</c:v>
                </c:pt>
                <c:pt idx="580">
                  <c:v>5.313929302455989</c:v>
                </c:pt>
                <c:pt idx="581">
                  <c:v>5.2977662213401686</c:v>
                </c:pt>
                <c:pt idx="582">
                  <c:v>5.281688221999417</c:v>
                </c:pt>
                <c:pt idx="583">
                  <c:v>5.2656946617353242</c:v>
                </c:pt>
                <c:pt idx="584">
                  <c:v>5.2497849043707845</c:v>
                </c:pt>
                <c:pt idx="585">
                  <c:v>5.2339583201657547</c:v>
                </c:pt>
                <c:pt idx="586">
                  <c:v>5.2182142857353995</c:v>
                </c:pt>
                <c:pt idx="587">
                  <c:v>5.2025521839686917</c:v>
                </c:pt>
                <c:pt idx="588">
                  <c:v>5.1869714039484904</c:v>
                </c:pt>
                <c:pt idx="589">
                  <c:v>5.1714713408726709</c:v>
                </c:pt>
                <c:pt idx="590">
                  <c:v>5.1560513959771868</c:v>
                </c:pt>
                <c:pt idx="591">
                  <c:v>5.1407109764593031</c:v>
                </c:pt>
                <c:pt idx="592">
                  <c:v>5.1254494954024779</c:v>
                </c:pt>
                <c:pt idx="593">
                  <c:v>5.1102663717025507</c:v>
                </c:pt>
                <c:pt idx="594">
                  <c:v>5.0951610299946992</c:v>
                </c:pt>
                <c:pt idx="595">
                  <c:v>5.0801329005817308</c:v>
                </c:pt>
                <c:pt idx="596">
                  <c:v>5.0651814193631992</c:v>
                </c:pt>
                <c:pt idx="597">
                  <c:v>5.0503060277660836</c:v>
                </c:pt>
                <c:pt idx="598">
                  <c:v>5.0355061726756105</c:v>
                </c:pt>
                <c:pt idx="599">
                  <c:v>5.020781306368491</c:v>
                </c:pt>
                <c:pt idx="600">
                  <c:v>5.0061308864454475</c:v>
                </c:pt>
                <c:pt idx="601">
                  <c:v>4.9915543757660714</c:v>
                </c:pt>
                <c:pt idx="602">
                  <c:v>4.9770512423843911</c:v>
                </c:pt>
                <c:pt idx="603">
                  <c:v>4.9626209594846955</c:v>
                </c:pt>
                <c:pt idx="604">
                  <c:v>4.9482630053192338</c:v>
                </c:pt>
                <c:pt idx="605">
                  <c:v>4.9339768631460572</c:v>
                </c:pt>
                <c:pt idx="606">
                  <c:v>4.3011039367052888</c:v>
                </c:pt>
                <c:pt idx="607">
                  <c:v>3.7969130005696172</c:v>
                </c:pt>
                <c:pt idx="608">
                  <c:v>3.3875234037341215</c:v>
                </c:pt>
                <c:pt idx="609">
                  <c:v>3.0498863141686172</c:v>
                </c:pt>
                <c:pt idx="610">
                  <c:v>2.7677386486608953</c:v>
                </c:pt>
                <c:pt idx="611">
                  <c:v>2.5292653581013269</c:v>
                </c:pt>
                <c:pt idx="612">
                  <c:v>2.3256777596582765</c:v>
                </c:pt>
                <c:pt idx="613">
                  <c:v>2.1503103361003753</c:v>
                </c:pt>
                <c:pt idx="614">
                  <c:v>1.9980252051884975</c:v>
                </c:pt>
                <c:pt idx="615">
                  <c:v>1.8648069256073825</c:v>
                </c:pt>
                <c:pt idx="616">
                  <c:v>1.7474794171548922</c:v>
                </c:pt>
                <c:pt idx="617">
                  <c:v>1.6435037384801205</c:v>
                </c:pt>
                <c:pt idx="618">
                  <c:v>1.6051792130862452</c:v>
                </c:pt>
                <c:pt idx="619">
                  <c:v>1.5685460496685266</c:v>
                </c:pt>
                <c:pt idx="620">
                  <c:v>1.533500151559366</c:v>
                </c:pt>
                <c:pt idx="621">
                  <c:v>1.499945384537881</c:v>
                </c:pt>
                <c:pt idx="622">
                  <c:v>1.4677928600113717</c:v>
                </c:pt>
                <c:pt idx="623">
                  <c:v>1.4369602920665159</c:v>
                </c:pt>
                <c:pt idx="624">
                  <c:v>1.4073714197969025</c:v>
                </c:pt>
                <c:pt idx="625">
                  <c:v>1.3789554874324779</c:v>
                </c:pt>
                <c:pt idx="626">
                  <c:v>1.351646775756592</c:v>
                </c:pt>
                <c:pt idx="627">
                  <c:v>1.3253841791180889</c:v>
                </c:pt>
                <c:pt idx="628">
                  <c:v>1.3001108230484135</c:v>
                </c:pt>
                <c:pt idx="629">
                  <c:v>1.2757737181065636</c:v>
                </c:pt>
                <c:pt idx="630">
                  <c:v>1.2523234460962556</c:v>
                </c:pt>
                <c:pt idx="631">
                  <c:v>1.2297138752599324</c:v>
                </c:pt>
                <c:pt idx="632">
                  <c:v>1.2079019014463483</c:v>
                </c:pt>
                <c:pt idx="633">
                  <c:v>1.1868472125968879</c:v>
                </c:pt>
                <c:pt idx="634">
                  <c:v>1.1665120741949693</c:v>
                </c:pt>
                <c:pt idx="635">
                  <c:v>1.1468611335875494</c:v>
                </c:pt>
                <c:pt idx="636">
                  <c:v>1.127861241317845</c:v>
                </c:pt>
                <c:pt idx="637">
                  <c:v>1.1094812878127698</c:v>
                </c:pt>
                <c:pt idx="638">
                  <c:v>1.0916920539456214</c:v>
                </c:pt>
                <c:pt idx="639">
                  <c:v>1.0744660741532641</c:v>
                </c:pt>
                <c:pt idx="640">
                  <c:v>1.0577775109255185</c:v>
                </c:pt>
                <c:pt idx="641">
                  <c:v>1.0416020396074259</c:v>
                </c:pt>
                <c:pt idx="642">
                  <c:v>1.0259167425648172</c:v>
                </c:pt>
                <c:pt idx="643">
                  <c:v>1.0107000118588587</c:v>
                </c:pt>
                <c:pt idx="644">
                  <c:v>0.99593145966281327</c:v>
                </c:pt>
                <c:pt idx="645">
                  <c:v>0.98159183572980169</c:v>
                </c:pt>
                <c:pt idx="646">
                  <c:v>0.96766295128824709</c:v>
                </c:pt>
                <c:pt idx="647">
                  <c:v>0.95412760880330438</c:v>
                </c:pt>
                <c:pt idx="648">
                  <c:v>0.94096953709606623</c:v>
                </c:pt>
                <c:pt idx="649">
                  <c:v>0.92817333136204638</c:v>
                </c:pt>
                <c:pt idx="650">
                  <c:v>0.9157243976716245</c:v>
                </c:pt>
                <c:pt idx="651">
                  <c:v>0.90360890157771223</c:v>
                </c:pt>
                <c:pt idx="652">
                  <c:v>0.89181372048699359</c:v>
                </c:pt>
                <c:pt idx="653">
                  <c:v>0.88032639948548308</c:v>
                </c:pt>
                <c:pt idx="654">
                  <c:v>0.86913511033611712</c:v>
                </c:pt>
                <c:pt idx="655">
                  <c:v>0.85822861339173073</c:v>
                </c:pt>
                <c:pt idx="656">
                  <c:v>0.84759622218965092</c:v>
                </c:pt>
                <c:pt idx="657">
                  <c:v>0.83722777051542607</c:v>
                </c:pt>
                <c:pt idx="658">
                  <c:v>0.82711358174094585</c:v>
                </c:pt>
                <c:pt idx="659">
                  <c:v>0.81724444026033893</c:v>
                </c:pt>
                <c:pt idx="660">
                  <c:v>0.80761156486084928</c:v>
                </c:pt>
                <c:pt idx="661">
                  <c:v>0.79820658388146626</c:v>
                </c:pt>
                <c:pt idx="662">
                  <c:v>0.78902151202260029</c:v>
                </c:pt>
                <c:pt idx="663">
                  <c:v>0.78004872868430652</c:v>
                </c:pt>
                <c:pt idx="664">
                  <c:v>0.77128095771740846</c:v>
                </c:pt>
                <c:pt idx="665">
                  <c:v>0.76271124848420868</c:v>
                </c:pt>
                <c:pt idx="666">
                  <c:v>0.75433295813292034</c:v>
                </c:pt>
                <c:pt idx="667">
                  <c:v>0.74613973499728559</c:v>
                </c:pt>
              </c:numCache>
            </c:numRef>
          </c:yVal>
          <c:smooth val="0"/>
          <c:extLst>
            <c:ext xmlns:c16="http://schemas.microsoft.com/office/drawing/2014/chart" uri="{C3380CC4-5D6E-409C-BE32-E72D297353CC}">
              <c16:uniqueId val="{00000002-C07D-42E2-A0EE-08948D953CAF}"/>
            </c:ext>
          </c:extLst>
        </c:ser>
        <c:ser>
          <c:idx val="3"/>
          <c:order val="3"/>
          <c:tx>
            <c:v>Actual Phase</c:v>
          </c:tx>
          <c:spPr>
            <a:ln w="38100">
              <a:solidFill>
                <a:srgbClr val="660066"/>
              </a:solidFill>
              <a:prstDash val="solid"/>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Calculations'!$BI$9:$BI$676</c:f>
              <c:numCache>
                <c:formatCode>General</c:formatCode>
                <c:ptCount val="668"/>
                <c:pt idx="0">
                  <c:v>148.6683007867592</c:v>
                </c:pt>
                <c:pt idx="1">
                  <c:v>129.41964827415583</c:v>
                </c:pt>
                <c:pt idx="2">
                  <c:v>118.75418461857717</c:v>
                </c:pt>
                <c:pt idx="3">
                  <c:v>112.40617012212209</c:v>
                </c:pt>
                <c:pt idx="4">
                  <c:v>108.29489957417307</c:v>
                </c:pt>
                <c:pt idx="5">
                  <c:v>105.44619343338174</c:v>
                </c:pt>
                <c:pt idx="6">
                  <c:v>103.36822362597975</c:v>
                </c:pt>
                <c:pt idx="7">
                  <c:v>101.79154570532546</c:v>
                </c:pt>
                <c:pt idx="8">
                  <c:v>100.55781501870675</c:v>
                </c:pt>
                <c:pt idx="9">
                  <c:v>99.568438481014866</c:v>
                </c:pt>
                <c:pt idx="10">
                  <c:v>95.188650030748477</c:v>
                </c:pt>
                <c:pt idx="11">
                  <c:v>93.87786843343396</c:v>
                </c:pt>
                <c:pt idx="12">
                  <c:v>93.345033953478023</c:v>
                </c:pt>
                <c:pt idx="13">
                  <c:v>93.124437603037833</c:v>
                </c:pt>
                <c:pt idx="14">
                  <c:v>93.060166700232813</c:v>
                </c:pt>
                <c:pt idx="15">
                  <c:v>93.085273822421385</c:v>
                </c:pt>
                <c:pt idx="16">
                  <c:v>93.166249507124718</c:v>
                </c:pt>
                <c:pt idx="17">
                  <c:v>93.284464057693057</c:v>
                </c:pt>
                <c:pt idx="18">
                  <c:v>93.42873331081897</c:v>
                </c:pt>
                <c:pt idx="19">
                  <c:v>95.442153130176152</c:v>
                </c:pt>
                <c:pt idx="20">
                  <c:v>97.758817520527487</c:v>
                </c:pt>
                <c:pt idx="21">
                  <c:v>100.13883181921463</c:v>
                </c:pt>
                <c:pt idx="22">
                  <c:v>102.53048516912904</c:v>
                </c:pt>
                <c:pt idx="23">
                  <c:v>104.91364662949293</c:v>
                </c:pt>
                <c:pt idx="24">
                  <c:v>107.27742618594195</c:v>
                </c:pt>
                <c:pt idx="25">
                  <c:v>109.61461456669045</c:v>
                </c:pt>
                <c:pt idx="26">
                  <c:v>111.91984447387533</c:v>
                </c:pt>
                <c:pt idx="27">
                  <c:v>114.18886160309846</c:v>
                </c:pt>
                <c:pt idx="28">
                  <c:v>124.88876746819773</c:v>
                </c:pt>
                <c:pt idx="29">
                  <c:v>134.36814312517637</c:v>
                </c:pt>
                <c:pt idx="30">
                  <c:v>142.57523854199832</c:v>
                </c:pt>
                <c:pt idx="31">
                  <c:v>149.55865240813034</c:v>
                </c:pt>
                <c:pt idx="32">
                  <c:v>155.39731041069211</c:v>
                </c:pt>
                <c:pt idx="33">
                  <c:v>160.15815886963475</c:v>
                </c:pt>
                <c:pt idx="34">
                  <c:v>163.87129235904678</c:v>
                </c:pt>
                <c:pt idx="35">
                  <c:v>166.51074174511859</c:v>
                </c:pt>
                <c:pt idx="36">
                  <c:v>167.97034659421581</c:v>
                </c:pt>
                <c:pt idx="37">
                  <c:v>168.02364267149898</c:v>
                </c:pt>
                <c:pt idx="38">
                  <c:v>166.25384807427426</c:v>
                </c:pt>
                <c:pt idx="39">
                  <c:v>161.94315894912052</c:v>
                </c:pt>
                <c:pt idx="40">
                  <c:v>153.97136978419528</c:v>
                </c:pt>
                <c:pt idx="41">
                  <c:v>141.09040606785805</c:v>
                </c:pt>
                <c:pt idx="42">
                  <c:v>123.55173321075421</c:v>
                </c:pt>
                <c:pt idx="43">
                  <c:v>105.16382134232134</c:v>
                </c:pt>
                <c:pt idx="44">
                  <c:v>90.411064851167865</c:v>
                </c:pt>
                <c:pt idx="45">
                  <c:v>80.320763714510463</c:v>
                </c:pt>
                <c:pt idx="46">
                  <c:v>73.77496500615274</c:v>
                </c:pt>
                <c:pt idx="47">
                  <c:v>69.53958810114888</c:v>
                </c:pt>
                <c:pt idx="48">
                  <c:v>66.769225914122174</c:v>
                </c:pt>
                <c:pt idx="49">
                  <c:v>64.94052796622006</c:v>
                </c:pt>
                <c:pt idx="50">
                  <c:v>63.731801703040617</c:v>
                </c:pt>
                <c:pt idx="51">
                  <c:v>62.941124659032724</c:v>
                </c:pt>
                <c:pt idx="52">
                  <c:v>62.438167595686977</c:v>
                </c:pt>
                <c:pt idx="53">
                  <c:v>62.13645063282047</c:v>
                </c:pt>
                <c:pt idx="54">
                  <c:v>61.97713227558512</c:v>
                </c:pt>
                <c:pt idx="55">
                  <c:v>61.919289643064587</c:v>
                </c:pt>
                <c:pt idx="56">
                  <c:v>61.933922857286433</c:v>
                </c:pt>
                <c:pt idx="57">
                  <c:v>62.000152828059626</c:v>
                </c:pt>
                <c:pt idx="58">
                  <c:v>62.102747079857892</c:v>
                </c:pt>
                <c:pt idx="59">
                  <c:v>62.230471522085153</c:v>
                </c:pt>
                <c:pt idx="60">
                  <c:v>62.374968946800621</c:v>
                </c:pt>
                <c:pt idx="61">
                  <c:v>62.529981282124126</c:v>
                </c:pt>
                <c:pt idx="62">
                  <c:v>62.690800967754342</c:v>
                </c:pt>
                <c:pt idx="63">
                  <c:v>62.853878001244368</c:v>
                </c:pt>
                <c:pt idx="64">
                  <c:v>63.016534607088161</c:v>
                </c:pt>
                <c:pt idx="65">
                  <c:v>63.176755495573076</c:v>
                </c:pt>
                <c:pt idx="66">
                  <c:v>63.333031980248819</c:v>
                </c:pt>
                <c:pt idx="67">
                  <c:v>63.484244974492427</c:v>
                </c:pt>
                <c:pt idx="68">
                  <c:v>63.629576389378627</c:v>
                </c:pt>
                <c:pt idx="69">
                  <c:v>63.768441504761881</c:v>
                </c:pt>
                <c:pt idx="70">
                  <c:v>63.900436982073302</c:v>
                </c:pt>
                <c:pt idx="71">
                  <c:v>64.025300648415239</c:v>
                </c:pt>
                <c:pt idx="72">
                  <c:v>64.142880212623567</c:v>
                </c:pt>
                <c:pt idx="73">
                  <c:v>64.253108810141057</c:v>
                </c:pt>
                <c:pt idx="74">
                  <c:v>64.355985804871295</c:v>
                </c:pt>
                <c:pt idx="75">
                  <c:v>64.451561663541383</c:v>
                </c:pt>
                <c:pt idx="76">
                  <c:v>64.539926003149347</c:v>
                </c:pt>
                <c:pt idx="77">
                  <c:v>64.621198123672556</c:v>
                </c:pt>
                <c:pt idx="78">
                  <c:v>64.695519496568352</c:v>
                </c:pt>
                <c:pt idx="79">
                  <c:v>64.763047799009286</c:v>
                </c:pt>
                <c:pt idx="80">
                  <c:v>64.823952174481363</c:v>
                </c:pt>
                <c:pt idx="81">
                  <c:v>64.878409469698411</c:v>
                </c:pt>
                <c:pt idx="82">
                  <c:v>64.926601251115912</c:v>
                </c:pt>
                <c:pt idx="83">
                  <c:v>64.968711445586706</c:v>
                </c:pt>
                <c:pt idx="84">
                  <c:v>65.004924481798525</c:v>
                </c:pt>
                <c:pt idx="85">
                  <c:v>65.03542383423158</c:v>
                </c:pt>
                <c:pt idx="86">
                  <c:v>65.060390891089767</c:v>
                </c:pt>
                <c:pt idx="87">
                  <c:v>65.080004083220402</c:v>
                </c:pt>
                <c:pt idx="88">
                  <c:v>65.094438223367774</c:v>
                </c:pt>
                <c:pt idx="89">
                  <c:v>65.103864014915288</c:v>
                </c:pt>
                <c:pt idx="90">
                  <c:v>65.108447697105575</c:v>
                </c:pt>
                <c:pt idx="91">
                  <c:v>65.108350800003052</c:v>
                </c:pt>
                <c:pt idx="92">
                  <c:v>65.103729987509581</c:v>
                </c:pt>
                <c:pt idx="93">
                  <c:v>65.094736970809976</c:v>
                </c:pt>
                <c:pt idx="94">
                  <c:v>65.081518477912553</c:v>
                </c:pt>
                <c:pt idx="95">
                  <c:v>65.064216267614398</c:v>
                </c:pt>
                <c:pt idx="96">
                  <c:v>65.042967178384885</c:v>
                </c:pt>
                <c:pt idx="97">
                  <c:v>65.017903204424556</c:v>
                </c:pt>
                <c:pt idx="98">
                  <c:v>64.989151592591384</c:v>
                </c:pt>
                <c:pt idx="99">
                  <c:v>64.956834955062504</c:v>
                </c:pt>
                <c:pt idx="100">
                  <c:v>64.921071393558691</c:v>
                </c:pt>
                <c:pt idx="101">
                  <c:v>64.881974631747241</c:v>
                </c:pt>
                <c:pt idx="102">
                  <c:v>64.839654153082236</c:v>
                </c:pt>
                <c:pt idx="103">
                  <c:v>64.794215341873766</c:v>
                </c:pt>
                <c:pt idx="104">
                  <c:v>64.745759625809683</c:v>
                </c:pt>
                <c:pt idx="105">
                  <c:v>64.694384618513453</c:v>
                </c:pt>
                <c:pt idx="106">
                  <c:v>64.640184261013616</c:v>
                </c:pt>
                <c:pt idx="107">
                  <c:v>64.583248961241907</c:v>
                </c:pt>
                <c:pt idx="108">
                  <c:v>64.523665730875194</c:v>
                </c:pt>
                <c:pt idx="109">
                  <c:v>64.461518318998984</c:v>
                </c:pt>
                <c:pt idx="110">
                  <c:v>64.396887342201325</c:v>
                </c:pt>
                <c:pt idx="111">
                  <c:v>64.329850410817372</c:v>
                </c:pt>
                <c:pt idx="112">
                  <c:v>64.260482251129943</c:v>
                </c:pt>
                <c:pt idx="113">
                  <c:v>64.18885482340599</c:v>
                </c:pt>
                <c:pt idx="114">
                  <c:v>64.115037435705403</c:v>
                </c:pt>
                <c:pt idx="115">
                  <c:v>64.039096853445969</c:v>
                </c:pt>
                <c:pt idx="116">
                  <c:v>63.961097404744365</c:v>
                </c:pt>
                <c:pt idx="117">
                  <c:v>63.881101081584774</c:v>
                </c:pt>
                <c:pt idx="118">
                  <c:v>63.799167636888015</c:v>
                </c:pt>
                <c:pt idx="119">
                  <c:v>63.715354677571881</c:v>
                </c:pt>
                <c:pt idx="120">
                  <c:v>63.629717753708348</c:v>
                </c:pt>
                <c:pt idx="121">
                  <c:v>63.542310443891708</c:v>
                </c:pt>
                <c:pt idx="122">
                  <c:v>63.45318443693931</c:v>
                </c:pt>
                <c:pt idx="123">
                  <c:v>63.362389610050855</c:v>
                </c:pt>
                <c:pt idx="124">
                  <c:v>63.269974103555441</c:v>
                </c:pt>
                <c:pt idx="125">
                  <c:v>63.175984392375753</c:v>
                </c:pt>
                <c:pt idx="126">
                  <c:v>63.080465354338955</c:v>
                </c:pt>
                <c:pt idx="127">
                  <c:v>62.983460335463008</c:v>
                </c:pt>
                <c:pt idx="128">
                  <c:v>62.885011212344381</c:v>
                </c:pt>
                <c:pt idx="129">
                  <c:v>62.785158451770855</c:v>
                </c:pt>
                <c:pt idx="130">
                  <c:v>62.683941167680317</c:v>
                </c:pt>
                <c:pt idx="131">
                  <c:v>62.581397175582296</c:v>
                </c:pt>
                <c:pt idx="132">
                  <c:v>62.477563044555581</c:v>
                </c:pt>
                <c:pt idx="133">
                  <c:v>62.372474146931921</c:v>
                </c:pt>
                <c:pt idx="134">
                  <c:v>62.266164705770805</c:v>
                </c:pt>
                <c:pt idx="135">
                  <c:v>62.158667840226769</c:v>
                </c:pt>
                <c:pt idx="136">
                  <c:v>62.050015608906762</c:v>
                </c:pt>
                <c:pt idx="137">
                  <c:v>61.940239051311309</c:v>
                </c:pt>
                <c:pt idx="138">
                  <c:v>61.829368227447773</c:v>
                </c:pt>
                <c:pt idx="139">
                  <c:v>61.717432255702519</c:v>
                </c:pt>
                <c:pt idx="140">
                  <c:v>61.604459349052405</c:v>
                </c:pt>
                <c:pt idx="141">
                  <c:v>61.490476849694602</c:v>
                </c:pt>
                <c:pt idx="142">
                  <c:v>61.375511262168359</c:v>
                </c:pt>
                <c:pt idx="143">
                  <c:v>61.259588285039982</c:v>
                </c:pt>
                <c:pt idx="144">
                  <c:v>61.142732841218489</c:v>
                </c:pt>
                <c:pt idx="145">
                  <c:v>61.024969106966608</c:v>
                </c:pt>
                <c:pt idx="146">
                  <c:v>60.906320539667675</c:v>
                </c:pt>
                <c:pt idx="147">
                  <c:v>60.786809904407676</c:v>
                </c:pt>
                <c:pt idx="148">
                  <c:v>60.666459299427174</c:v>
                </c:pt>
                <c:pt idx="149">
                  <c:v>60.545290180496522</c:v>
                </c:pt>
                <c:pt idx="150">
                  <c:v>60.423323384263924</c:v>
                </c:pt>
                <c:pt idx="151">
                  <c:v>60.300579150624955</c:v>
                </c:pt>
                <c:pt idx="152">
                  <c:v>60.177077144158119</c:v>
                </c:pt>
                <c:pt idx="153">
                  <c:v>60.052836474670258</c:v>
                </c:pt>
                <c:pt idx="154">
                  <c:v>59.927875716892729</c:v>
                </c:pt>
                <c:pt idx="155">
                  <c:v>59.802212929366959</c:v>
                </c:pt>
                <c:pt idx="156">
                  <c:v>59.675865672557521</c:v>
                </c:pt>
                <c:pt idx="157">
                  <c:v>59.5488510262267</c:v>
                </c:pt>
                <c:pt idx="158">
                  <c:v>59.421185606105425</c:v>
                </c:pt>
                <c:pt idx="159">
                  <c:v>59.292885579891575</c:v>
                </c:pt>
                <c:pt idx="160">
                  <c:v>59.163966682606329</c:v>
                </c:pt>
                <c:pt idx="161">
                  <c:v>59.034444231337858</c:v>
                </c:pt>
                <c:pt idx="162">
                  <c:v>58.90433313939873</c:v>
                </c:pt>
                <c:pt idx="163">
                  <c:v>58.77364792992455</c:v>
                </c:pt>
                <c:pt idx="164">
                  <c:v>58.642402748937585</c:v>
                </c:pt>
                <c:pt idx="165">
                  <c:v>58.51061137789948</c:v>
                </c:pt>
                <c:pt idx="166">
                  <c:v>58.378287245775695</c:v>
                </c:pt>
                <c:pt idx="167">
                  <c:v>58.245443440632599</c:v>
                </c:pt>
                <c:pt idx="168">
                  <c:v>58.112092720788468</c:v>
                </c:pt>
                <c:pt idx="169">
                  <c:v>57.97824752553656</c:v>
                </c:pt>
                <c:pt idx="170">
                  <c:v>57.843919985460047</c:v>
                </c:pt>
                <c:pt idx="171">
                  <c:v>57.7091219323556</c:v>
                </c:pt>
                <c:pt idx="172">
                  <c:v>57.573864908782525</c:v>
                </c:pt>
                <c:pt idx="173">
                  <c:v>57.438160177253621</c:v>
                </c:pt>
                <c:pt idx="174">
                  <c:v>57.30201872908296</c:v>
                </c:pt>
                <c:pt idx="175">
                  <c:v>57.165451292904919</c:v>
                </c:pt>
                <c:pt idx="176">
                  <c:v>57.02846834287844</c:v>
                </c:pt>
                <c:pt idx="177">
                  <c:v>56.891080106589627</c:v>
                </c:pt>
                <c:pt idx="178">
                  <c:v>56.753296572665164</c:v>
                </c:pt>
                <c:pt idx="179">
                  <c:v>56.615127498109018</c:v>
                </c:pt>
                <c:pt idx="180">
                  <c:v>56.476582415373414</c:v>
                </c:pt>
                <c:pt idx="181">
                  <c:v>56.337670639174675</c:v>
                </c:pt>
                <c:pt idx="182">
                  <c:v>56.198401273065357</c:v>
                </c:pt>
                <c:pt idx="183">
                  <c:v>56.058783215771754</c:v>
                </c:pt>
                <c:pt idx="184">
                  <c:v>55.918825167306537</c:v>
                </c:pt>
                <c:pt idx="185">
                  <c:v>55.778535634865676</c:v>
                </c:pt>
                <c:pt idx="186">
                  <c:v>55.637922938518315</c:v>
                </c:pt>
                <c:pt idx="187">
                  <c:v>55.496995216697442</c:v>
                </c:pt>
                <c:pt idx="188">
                  <c:v>55.355760431500173</c:v>
                </c:pt>
                <c:pt idx="189">
                  <c:v>55.214226373803939</c:v>
                </c:pt>
                <c:pt idx="190">
                  <c:v>55.07240066820701</c:v>
                </c:pt>
                <c:pt idx="191">
                  <c:v>54.930290777799826</c:v>
                </c:pt>
                <c:pt idx="192">
                  <c:v>54.787904008772699</c:v>
                </c:pt>
                <c:pt idx="193">
                  <c:v>54.64524751486843</c:v>
                </c:pt>
                <c:pt idx="194">
                  <c:v>54.502328301683548</c:v>
                </c:pt>
                <c:pt idx="195">
                  <c:v>54.359153230825711</c:v>
                </c:pt>
                <c:pt idx="196">
                  <c:v>54.215729023931274</c:v>
                </c:pt>
                <c:pt idx="197">
                  <c:v>54.072062266550077</c:v>
                </c:pt>
                <c:pt idx="198">
                  <c:v>53.928159411900523</c:v>
                </c:pt>
                <c:pt idx="199">
                  <c:v>53.784026784501876</c:v>
                </c:pt>
                <c:pt idx="200">
                  <c:v>53.639670583686325</c:v>
                </c:pt>
                <c:pt idx="201">
                  <c:v>53.495096886996919</c:v>
                </c:pt>
                <c:pt idx="202">
                  <c:v>53.350311653475217</c:v>
                </c:pt>
                <c:pt idx="203">
                  <c:v>53.205320726841848</c:v>
                </c:pt>
                <c:pt idx="204">
                  <c:v>53.06012983857525</c:v>
                </c:pt>
                <c:pt idx="205">
                  <c:v>52.914744610891191</c:v>
                </c:pt>
                <c:pt idx="206">
                  <c:v>52.76917055962754</c:v>
                </c:pt>
                <c:pt idx="207">
                  <c:v>52.623413097037258</c:v>
                </c:pt>
                <c:pt idx="208">
                  <c:v>52.477477534492962</c:v>
                </c:pt>
                <c:pt idx="209">
                  <c:v>52.331369085106388</c:v>
                </c:pt>
                <c:pt idx="210">
                  <c:v>52.185092866265549</c:v>
                </c:pt>
                <c:pt idx="211">
                  <c:v>52.038653902092975</c:v>
                </c:pt>
                <c:pt idx="212">
                  <c:v>51.892057125827449</c:v>
                </c:pt>
                <c:pt idx="213">
                  <c:v>51.745307382131813</c:v>
                </c:pt>
                <c:pt idx="214">
                  <c:v>51.598409429330076</c:v>
                </c:pt>
                <c:pt idx="215">
                  <c:v>51.45136794157554</c:v>
                </c:pt>
                <c:pt idx="216">
                  <c:v>51.304187510952886</c:v>
                </c:pt>
                <c:pt idx="217">
                  <c:v>51.156872649516401</c:v>
                </c:pt>
                <c:pt idx="218">
                  <c:v>51.009427791266205</c:v>
                </c:pt>
                <c:pt idx="219">
                  <c:v>50.861857294065004</c:v>
                </c:pt>
                <c:pt idx="220">
                  <c:v>50.714165441497613</c:v>
                </c:pt>
                <c:pt idx="221">
                  <c:v>50.566356444674085</c:v>
                </c:pt>
                <c:pt idx="222">
                  <c:v>50.418434443980061</c:v>
                </c:pt>
                <c:pt idx="223">
                  <c:v>50.270403510774486</c:v>
                </c:pt>
                <c:pt idx="224">
                  <c:v>50.12226764903744</c:v>
                </c:pt>
                <c:pt idx="225">
                  <c:v>49.974030796969487</c:v>
                </c:pt>
                <c:pt idx="226">
                  <c:v>48.486930156829686</c:v>
                </c:pt>
                <c:pt idx="227">
                  <c:v>46.993628504733721</c:v>
                </c:pt>
                <c:pt idx="228">
                  <c:v>45.497184701835465</c:v>
                </c:pt>
                <c:pt idx="229">
                  <c:v>44.000252373262981</c:v>
                </c:pt>
                <c:pt idx="230">
                  <c:v>42.505154640056332</c:v>
                </c:pt>
                <c:pt idx="231">
                  <c:v>41.013941418381222</c:v>
                </c:pt>
                <c:pt idx="232">
                  <c:v>39.528433732752603</c:v>
                </c:pt>
                <c:pt idx="233">
                  <c:v>38.050258264698812</c:v>
                </c:pt>
                <c:pt idx="234">
                  <c:v>36.580874500033332</c:v>
                </c:pt>
                <c:pt idx="235">
                  <c:v>35.121596228331981</c:v>
                </c:pt>
                <c:pt idx="236">
                  <c:v>33.673608709499263</c:v>
                </c:pt>
                <c:pt idx="237">
                  <c:v>32.237982502539467</c:v>
                </c:pt>
                <c:pt idx="238">
                  <c:v>30.815684715735017</c:v>
                </c:pt>
                <c:pt idx="239">
                  <c:v>29.407588261364282</c:v>
                </c:pt>
                <c:pt idx="240">
                  <c:v>28.014479565246745</c:v>
                </c:pt>
                <c:pt idx="241">
                  <c:v>26.637065080143657</c:v>
                </c:pt>
                <c:pt idx="242">
                  <c:v>25.275976874143709</c:v>
                </c:pt>
                <c:pt idx="243">
                  <c:v>23.931777504731969</c:v>
                </c:pt>
                <c:pt idx="244">
                  <c:v>22.604964342037732</c:v>
                </c:pt>
                <c:pt idx="245">
                  <c:v>21.295973467671757</c:v>
                </c:pt>
                <c:pt idx="246">
                  <c:v>20.00518324631642</c:v>
                </c:pt>
                <c:pt idx="247">
                  <c:v>18.732917644106266</c:v>
                </c:pt>
                <c:pt idx="248">
                  <c:v>17.479449349552112</c:v>
                </c:pt>
                <c:pt idx="249">
                  <c:v>16.245002738324189</c:v>
                </c:pt>
                <c:pt idx="250">
                  <c:v>15.029756711859818</c:v>
                </c:pt>
                <c:pt idx="251">
                  <c:v>13.833847430898203</c:v>
                </c:pt>
                <c:pt idx="252">
                  <c:v>12.657370958189887</c:v>
                </c:pt>
                <c:pt idx="253">
                  <c:v>11.500385819403448</c:v>
                </c:pt>
                <c:pt idx="254">
                  <c:v>10.36291548734124</c:v>
                </c:pt>
                <c:pt idx="255">
                  <c:v>9.2449507917236531</c:v>
                </c:pt>
                <c:pt idx="256">
                  <c:v>8.1464522548041316</c:v>
                </c:pt>
                <c:pt idx="257">
                  <c:v>7.0673523517512535</c:v>
                </c:pt>
                <c:pt idx="258">
                  <c:v>6.0075576939408393</c:v>
                </c:pt>
                <c:pt idx="259">
                  <c:v>4.9669511329208547</c:v>
                </c:pt>
                <c:pt idx="260">
                  <c:v>3.9453937827384493</c:v>
                </c:pt>
                <c:pt idx="261">
                  <c:v>2.9427269584798523</c:v>
                </c:pt>
                <c:pt idx="262">
                  <c:v>1.958774029193421</c:v>
                </c:pt>
                <c:pt idx="263">
                  <c:v>0.99334218379669892</c:v>
                </c:pt>
                <c:pt idx="264">
                  <c:v>4.6224109061284935E-2</c:v>
                </c:pt>
                <c:pt idx="265">
                  <c:v>-0.88280042070519471</c:v>
                </c:pt>
                <c:pt idx="266">
                  <c:v>-1.7939630421353456</c:v>
                </c:pt>
                <c:pt idx="267">
                  <c:v>-2.6875053887777938</c:v>
                </c:pt>
                <c:pt idx="268">
                  <c:v>-3.5636777634353223</c:v>
                </c:pt>
                <c:pt idx="269">
                  <c:v>-4.4227378952888614</c:v>
                </c:pt>
                <c:pt idx="270">
                  <c:v>-5.2649497798379059</c:v>
                </c:pt>
                <c:pt idx="271">
                  <c:v>-6.0905825993489486</c:v>
                </c:pt>
                <c:pt idx="272">
                  <c:v>-6.8999097212130209</c:v>
                </c:pt>
                <c:pt idx="273">
                  <c:v>-7.6932077713779563</c:v>
                </c:pt>
                <c:pt idx="274">
                  <c:v>-8.4707557798335813</c:v>
                </c:pt>
                <c:pt idx="275">
                  <c:v>-9.2328343949851899</c:v>
                </c:pt>
                <c:pt idx="276">
                  <c:v>-9.9797251636566955</c:v>
                </c:pt>
                <c:pt idx="277">
                  <c:v>-10.711709873403606</c:v>
                </c:pt>
                <c:pt idx="278">
                  <c:v>-11.429069953794652</c:v>
                </c:pt>
                <c:pt idx="279">
                  <c:v>-12.132085933327659</c:v>
                </c:pt>
                <c:pt idx="280">
                  <c:v>-12.821036948680643</c:v>
                </c:pt>
                <c:pt idx="281">
                  <c:v>-13.496200303056753</c:v>
                </c:pt>
                <c:pt idx="282">
                  <c:v>-14.157851070456672</c:v>
                </c:pt>
                <c:pt idx="283">
                  <c:v>-14.806261742807578</c:v>
                </c:pt>
                <c:pt idx="284">
                  <c:v>-15.441701916978928</c:v>
                </c:pt>
                <c:pt idx="285">
                  <c:v>-16.064438018833783</c:v>
                </c:pt>
                <c:pt idx="286">
                  <c:v>-16.674733061582884</c:v>
                </c:pt>
                <c:pt idx="287">
                  <c:v>-17.272846435838034</c:v>
                </c:pt>
                <c:pt idx="288">
                  <c:v>-17.859033728889415</c:v>
                </c:pt>
                <c:pt idx="289">
                  <c:v>-18.43354657086357</c:v>
                </c:pt>
                <c:pt idx="290">
                  <c:v>-18.996632505548462</c:v>
                </c:pt>
                <c:pt idx="291">
                  <c:v>-19.548534883803228</c:v>
                </c:pt>
                <c:pt idx="292">
                  <c:v>-20.089492777596064</c:v>
                </c:pt>
                <c:pt idx="293">
                  <c:v>-20.619740912837472</c:v>
                </c:pt>
                <c:pt idx="294">
                  <c:v>-21.139509619298337</c:v>
                </c:pt>
                <c:pt idx="295">
                  <c:v>-21.649024796015681</c:v>
                </c:pt>
                <c:pt idx="296">
                  <c:v>-22.148507890701552</c:v>
                </c:pt>
                <c:pt idx="297">
                  <c:v>-22.638175891776797</c:v>
                </c:pt>
                <c:pt idx="298">
                  <c:v>-23.11824133175196</c:v>
                </c:pt>
                <c:pt idx="299">
                  <c:v>-23.588912300774325</c:v>
                </c:pt>
                <c:pt idx="300">
                  <c:v>-24.050392469249516</c:v>
                </c:pt>
                <c:pt idx="301">
                  <c:v>-24.502881118533764</c:v>
                </c:pt>
                <c:pt idx="302">
                  <c:v>-24.946573178770592</c:v>
                </c:pt>
                <c:pt idx="303">
                  <c:v>-25.381659273024098</c:v>
                </c:pt>
                <c:pt idx="304">
                  <c:v>-25.8083257669293</c:v>
                </c:pt>
                <c:pt idx="305">
                  <c:v>-26.22675482314699</c:v>
                </c:pt>
                <c:pt idx="306">
                  <c:v>-26.637124459971858</c:v>
                </c:pt>
                <c:pt idx="307">
                  <c:v>-27.039608613500604</c:v>
                </c:pt>
                <c:pt idx="308">
                  <c:v>-27.434377202817473</c:v>
                </c:pt>
                <c:pt idx="309">
                  <c:v>-27.821596197707208</c:v>
                </c:pt>
                <c:pt idx="310">
                  <c:v>-28.201427688448547</c:v>
                </c:pt>
                <c:pt idx="311">
                  <c:v>-28.57402995728404</c:v>
                </c:pt>
                <c:pt idx="312">
                  <c:v>-28.939557551201858</c:v>
                </c:pt>
                <c:pt idx="313">
                  <c:v>-29.298161355699733</c:v>
                </c:pt>
                <c:pt idx="314">
                  <c:v>-29.649988669234602</c:v>
                </c:pt>
                <c:pt idx="315">
                  <c:v>-29.99518327809335</c:v>
                </c:pt>
                <c:pt idx="316">
                  <c:v>-30.333885531444309</c:v>
                </c:pt>
                <c:pt idx="317">
                  <c:v>-30.666232416359378</c:v>
                </c:pt>
                <c:pt idx="318">
                  <c:v>-30.992357632615693</c:v>
                </c:pt>
                <c:pt idx="319">
                  <c:v>-31.312391667109864</c:v>
                </c:pt>
                <c:pt idx="320">
                  <c:v>-31.626461867736737</c:v>
                </c:pt>
                <c:pt idx="321">
                  <c:v>-31.934692516601388</c:v>
                </c:pt>
                <c:pt idx="322">
                  <c:v>-32.237204902450685</c:v>
                </c:pt>
                <c:pt idx="323">
                  <c:v>-32.53411739222517</c:v>
                </c:pt>
                <c:pt idx="324">
                  <c:v>-32.825545501644513</c:v>
                </c:pt>
                <c:pt idx="325">
                  <c:v>-33.111601964753248</c:v>
                </c:pt>
                <c:pt idx="326">
                  <c:v>-33.392396802364118</c:v>
                </c:pt>
                <c:pt idx="327">
                  <c:v>-33.668037389345216</c:v>
                </c:pt>
                <c:pt idx="328">
                  <c:v>-33.938628520708932</c:v>
                </c:pt>
                <c:pt idx="329">
                  <c:v>-34.204272476465462</c:v>
                </c:pt>
                <c:pt idx="330">
                  <c:v>-34.465069085212974</c:v>
                </c:pt>
                <c:pt idx="331">
                  <c:v>-34.721115786444017</c:v>
                </c:pt>
                <c:pt idx="332">
                  <c:v>-34.972507691549964</c:v>
                </c:pt>
                <c:pt idx="333">
                  <c:v>-35.219337643515985</c:v>
                </c:pt>
                <c:pt idx="334">
                  <c:v>-35.461696275298209</c:v>
                </c:pt>
                <c:pt idx="335">
                  <c:v>-35.699672066883068</c:v>
                </c:pt>
                <c:pt idx="336">
                  <c:v>-35.933351401030791</c:v>
                </c:pt>
                <c:pt idx="337">
                  <c:v>-36.162818617708155</c:v>
                </c:pt>
                <c:pt idx="338">
                  <c:v>-36.388156067219342</c:v>
                </c:pt>
                <c:pt idx="339">
                  <c:v>-36.60944416204606</c:v>
                </c:pt>
                <c:pt idx="340">
                  <c:v>-36.82676142740948</c:v>
                </c:pt>
                <c:pt idx="341">
                  <c:v>-37.040184550570501</c:v>
                </c:pt>
                <c:pt idx="342">
                  <c:v>-37.249788428883363</c:v>
                </c:pt>
                <c:pt idx="343">
                  <c:v>-37.455646216623308</c:v>
                </c:pt>
                <c:pt idx="344">
                  <c:v>-37.65782937060581</c:v>
                </c:pt>
                <c:pt idx="345">
                  <c:v>-37.856407694619236</c:v>
                </c:pt>
                <c:pt idx="346">
                  <c:v>-38.051449382691914</c:v>
                </c:pt>
                <c:pt idx="347">
                  <c:v>-38.243021061215927</c:v>
                </c:pt>
                <c:pt idx="348">
                  <c:v>-38.431187829950574</c:v>
                </c:pt>
                <c:pt idx="349">
                  <c:v>-38.616013301928348</c:v>
                </c:pt>
                <c:pt idx="350">
                  <c:v>-38.797559642286956</c:v>
                </c:pt>
                <c:pt idx="351">
                  <c:v>-38.975887606051657</c:v>
                </c:pt>
                <c:pt idx="352">
                  <c:v>-39.15105657489076</c:v>
                </c:pt>
                <c:pt idx="353">
                  <c:v>-39.323124592869192</c:v>
                </c:pt>
                <c:pt idx="354">
                  <c:v>-39.492148401223176</c:v>
                </c:pt>
                <c:pt idx="355">
                  <c:v>-39.65818347218007</c:v>
                </c:pt>
                <c:pt idx="356">
                  <c:v>-39.821284041847377</c:v>
                </c:pt>
                <c:pt idx="357">
                  <c:v>-39.981503142193475</c:v>
                </c:pt>
                <c:pt idx="358">
                  <c:v>-40.138892632143779</c:v>
                </c:pt>
                <c:pt idx="359">
                  <c:v>-40.293503227815563</c:v>
                </c:pt>
                <c:pt idx="360">
                  <c:v>-40.44538453191285</c:v>
                </c:pt>
                <c:pt idx="361">
                  <c:v>-40.594585062304873</c:v>
                </c:pt>
                <c:pt idx="362">
                  <c:v>-40.741152279809143</c:v>
                </c:pt>
                <c:pt idx="363">
                  <c:v>-40.885132615200973</c:v>
                </c:pt>
                <c:pt idx="364">
                  <c:v>-41.026571495470535</c:v>
                </c:pt>
                <c:pt idx="365">
                  <c:v>-41.165513369347792</c:v>
                </c:pt>
                <c:pt idx="366">
                  <c:v>-41.302001732116054</c:v>
                </c:pt>
                <c:pt idx="367">
                  <c:v>-41.436079149733672</c:v>
                </c:pt>
                <c:pt idx="368">
                  <c:v>-41.567787282283263</c:v>
                </c:pt>
                <c:pt idx="369">
                  <c:v>-41.697166906767535</c:v>
                </c:pt>
                <c:pt idx="370">
                  <c:v>-41.824257939270041</c:v>
                </c:pt>
                <c:pt idx="371">
                  <c:v>-41.949099456499368</c:v>
                </c:pt>
                <c:pt idx="372">
                  <c:v>-42.071729716733614</c:v>
                </c:pt>
                <c:pt idx="373">
                  <c:v>-42.192186180183057</c:v>
                </c:pt>
                <c:pt idx="374">
                  <c:v>-42.31050552878736</c:v>
                </c:pt>
                <c:pt idx="375">
                  <c:v>-42.426723685463998</c:v>
                </c:pt>
                <c:pt idx="376">
                  <c:v>-42.540875832823104</c:v>
                </c:pt>
                <c:pt idx="377">
                  <c:v>-42.65299643136504</c:v>
                </c:pt>
                <c:pt idx="378">
                  <c:v>-42.763119237174749</c:v>
                </c:pt>
                <c:pt idx="379">
                  <c:v>-42.871277319129149</c:v>
                </c:pt>
                <c:pt idx="380">
                  <c:v>-42.977503075629329</c:v>
                </c:pt>
                <c:pt idx="381">
                  <c:v>-43.081828250874082</c:v>
                </c:pt>
                <c:pt idx="382">
                  <c:v>-43.184283950686023</c:v>
                </c:pt>
                <c:pt idx="383">
                  <c:v>-43.284900657904529</c:v>
                </c:pt>
                <c:pt idx="384">
                  <c:v>-43.383708247358186</c:v>
                </c:pt>
                <c:pt idx="385">
                  <c:v>-43.480736000428351</c:v>
                </c:pt>
                <c:pt idx="386">
                  <c:v>-43.576012619216414</c:v>
                </c:pt>
                <c:pt idx="387">
                  <c:v>-43.669566240326219</c:v>
                </c:pt>
                <c:pt idx="388">
                  <c:v>-43.761424448272891</c:v>
                </c:pt>
                <c:pt idx="389">
                  <c:v>-43.85161428852868</c:v>
                </c:pt>
                <c:pt idx="390">
                  <c:v>-43.940162280217407</c:v>
                </c:pt>
                <c:pt idx="391">
                  <c:v>-44.02709442846654</c:v>
                </c:pt>
                <c:pt idx="392">
                  <c:v>-44.112436236427868</c:v>
                </c:pt>
                <c:pt idx="393">
                  <c:v>-44.196212716976078</c:v>
                </c:pt>
                <c:pt idx="394">
                  <c:v>-44.278448404094604</c:v>
                </c:pt>
                <c:pt idx="395">
                  <c:v>-44.359167363958136</c:v>
                </c:pt>
                <c:pt idx="396">
                  <c:v>-44.438393205720388</c:v>
                </c:pt>
                <c:pt idx="397">
                  <c:v>-44.516149092015581</c:v>
                </c:pt>
                <c:pt idx="398">
                  <c:v>-44.592457749182785</c:v>
                </c:pt>
                <c:pt idx="399">
                  <c:v>-44.667341477219537</c:v>
                </c:pt>
                <c:pt idx="400">
                  <c:v>-44.740822159474789</c:v>
                </c:pt>
                <c:pt idx="401">
                  <c:v>-44.812921272086896</c:v>
                </c:pt>
                <c:pt idx="402">
                  <c:v>-44.883659893174496</c:v>
                </c:pt>
                <c:pt idx="403">
                  <c:v>-44.953058711788316</c:v>
                </c:pt>
                <c:pt idx="404">
                  <c:v>-45.021138036629452</c:v>
                </c:pt>
                <c:pt idx="405">
                  <c:v>-45.087917804542087</c:v>
                </c:pt>
                <c:pt idx="406">
                  <c:v>-45.153417588785629</c:v>
                </c:pt>
                <c:pt idx="407">
                  <c:v>-45.21765660709471</c:v>
                </c:pt>
                <c:pt idx="408">
                  <c:v>-45.280653729530883</c:v>
                </c:pt>
                <c:pt idx="409">
                  <c:v>-45.342427486133658</c:v>
                </c:pt>
                <c:pt idx="410">
                  <c:v>-45.402996074375494</c:v>
                </c:pt>
                <c:pt idx="411">
                  <c:v>-45.462377366426978</c:v>
                </c:pt>
                <c:pt idx="412">
                  <c:v>-45.520588916237671</c:v>
                </c:pt>
                <c:pt idx="413">
                  <c:v>-45.577647966437013</c:v>
                </c:pt>
                <c:pt idx="414">
                  <c:v>-45.633571455061087</c:v>
                </c:pt>
                <c:pt idx="415">
                  <c:v>-45.68837602211039</c:v>
                </c:pt>
                <c:pt idx="416">
                  <c:v>-45.742078015942582</c:v>
                </c:pt>
                <c:pt idx="417">
                  <c:v>-45.794693499505229</c:v>
                </c:pt>
                <c:pt idx="418">
                  <c:v>-45.846238256413073</c:v>
                </c:pt>
                <c:pt idx="419">
                  <c:v>-45.896727796874472</c:v>
                </c:pt>
                <c:pt idx="420">
                  <c:v>-45.94617736347044</c:v>
                </c:pt>
                <c:pt idx="421">
                  <c:v>-45.994601936791014</c:v>
                </c:pt>
                <c:pt idx="422">
                  <c:v>-46.042016240932838</c:v>
                </c:pt>
                <c:pt idx="423">
                  <c:v>-46.088434748861488</c:v>
                </c:pt>
                <c:pt idx="424">
                  <c:v>-46.13387168764271</c:v>
                </c:pt>
                <c:pt idx="425">
                  <c:v>-46.178341043545743</c:v>
                </c:pt>
                <c:pt idx="426">
                  <c:v>-46.221856567022797</c:v>
                </c:pt>
                <c:pt idx="427">
                  <c:v>-46.264431777567182</c:v>
                </c:pt>
                <c:pt idx="428">
                  <c:v>-46.306079968454725</c:v>
                </c:pt>
                <c:pt idx="429">
                  <c:v>-46.34681421137023</c:v>
                </c:pt>
                <c:pt idx="430">
                  <c:v>-46.386647360923206</c:v>
                </c:pt>
                <c:pt idx="431">
                  <c:v>-46.425592059055219</c:v>
                </c:pt>
                <c:pt idx="432">
                  <c:v>-46.463660739342288</c:v>
                </c:pt>
                <c:pt idx="433">
                  <c:v>-46.500865631194557</c:v>
                </c:pt>
                <c:pt idx="434">
                  <c:v>-46.537218763956616</c:v>
                </c:pt>
                <c:pt idx="435">
                  <c:v>-46.572731970910951</c:v>
                </c:pt>
                <c:pt idx="436">
                  <c:v>-46.607416893186553</c:v>
                </c:pt>
                <c:pt idx="437">
                  <c:v>-46.64128498357644</c:v>
                </c:pt>
                <c:pt idx="438">
                  <c:v>-46.674347510265108</c:v>
                </c:pt>
                <c:pt idx="439">
                  <c:v>-46.706615560469515</c:v>
                </c:pt>
                <c:pt idx="440">
                  <c:v>-46.73810004399482</c:v>
                </c:pt>
                <c:pt idx="441">
                  <c:v>-46.768811696708212</c:v>
                </c:pt>
                <c:pt idx="442">
                  <c:v>-46.798761083932078</c:v>
                </c:pt>
                <c:pt idx="443">
                  <c:v>-46.827958603759072</c:v>
                </c:pt>
                <c:pt idx="444">
                  <c:v>-46.856414490291201</c:v>
                </c:pt>
                <c:pt idx="445">
                  <c:v>-46.884138816804523</c:v>
                </c:pt>
                <c:pt idx="446">
                  <c:v>-46.911141498841602</c:v>
                </c:pt>
                <c:pt idx="447">
                  <c:v>-46.937432297234125</c:v>
                </c:pt>
                <c:pt idx="448">
                  <c:v>-46.963020821056233</c:v>
                </c:pt>
                <c:pt idx="449">
                  <c:v>-46.987916530511882</c:v>
                </c:pt>
                <c:pt idx="450">
                  <c:v>-47.012128739756434</c:v>
                </c:pt>
                <c:pt idx="451">
                  <c:v>-47.035666619655473</c:v>
                </c:pt>
                <c:pt idx="452">
                  <c:v>-47.058539200481675</c:v>
                </c:pt>
                <c:pt idx="453">
                  <c:v>-47.080755374551302</c:v>
                </c:pt>
                <c:pt idx="454">
                  <c:v>-47.10232389880241</c:v>
                </c:pt>
                <c:pt idx="455">
                  <c:v>-47.123253397315835</c:v>
                </c:pt>
                <c:pt idx="456">
                  <c:v>-47.143552363780202</c:v>
                </c:pt>
                <c:pt idx="457">
                  <c:v>-47.163229163903168</c:v>
                </c:pt>
                <c:pt idx="458">
                  <c:v>-47.182292037769059</c:v>
                </c:pt>
                <c:pt idx="459">
                  <c:v>-47.200749102145579</c:v>
                </c:pt>
                <c:pt idx="460">
                  <c:v>-47.218608352739921</c:v>
                </c:pt>
                <c:pt idx="461">
                  <c:v>-47.235877666405599</c:v>
                </c:pt>
                <c:pt idx="462">
                  <c:v>-47.252564803302022</c:v>
                </c:pt>
                <c:pt idx="463">
                  <c:v>-47.268677409006756</c:v>
                </c:pt>
                <c:pt idx="464">
                  <c:v>-47.284223016582928</c:v>
                </c:pt>
                <c:pt idx="465">
                  <c:v>-47.299209048601881</c:v>
                </c:pt>
                <c:pt idx="466">
                  <c:v>-47.313642819122549</c:v>
                </c:pt>
                <c:pt idx="467">
                  <c:v>-47.327531535628964</c:v>
                </c:pt>
                <c:pt idx="468">
                  <c:v>-47.340882300925898</c:v>
                </c:pt>
                <c:pt idx="469">
                  <c:v>-47.3537021149954</c:v>
                </c:pt>
                <c:pt idx="470">
                  <c:v>-47.365997876812969</c:v>
                </c:pt>
                <c:pt idx="471">
                  <c:v>-47.377776386126328</c:v>
                </c:pt>
                <c:pt idx="472">
                  <c:v>-47.389044345196425</c:v>
                </c:pt>
                <c:pt idx="473">
                  <c:v>-47.399808360502192</c:v>
                </c:pt>
                <c:pt idx="474">
                  <c:v>-47.4100749444097</c:v>
                </c:pt>
                <c:pt idx="475">
                  <c:v>-47.419850516806719</c:v>
                </c:pt>
                <c:pt idx="476">
                  <c:v>-47.429141406703081</c:v>
                </c:pt>
                <c:pt idx="477">
                  <c:v>-47.437953853798518</c:v>
                </c:pt>
                <c:pt idx="478">
                  <c:v>-47.446294010017709</c:v>
                </c:pt>
                <c:pt idx="479">
                  <c:v>-47.454167941014219</c:v>
                </c:pt>
                <c:pt idx="480">
                  <c:v>-47.461581627643227</c:v>
                </c:pt>
                <c:pt idx="481">
                  <c:v>-47.468540967404834</c:v>
                </c:pt>
                <c:pt idx="482">
                  <c:v>-47.475051775857196</c:v>
                </c:pt>
                <c:pt idx="483">
                  <c:v>-47.481119788001962</c:v>
                </c:pt>
                <c:pt idx="484">
                  <c:v>-47.486750659641018</c:v>
                </c:pt>
                <c:pt idx="485">
                  <c:v>-47.491949968706052</c:v>
                </c:pt>
                <c:pt idx="486">
                  <c:v>-47.496723216561776</c:v>
                </c:pt>
                <c:pt idx="487">
                  <c:v>-47.501075829282428</c:v>
                </c:pt>
                <c:pt idx="488">
                  <c:v>-47.50501315890358</c:v>
                </c:pt>
                <c:pt idx="489">
                  <c:v>-47.508540484648393</c:v>
                </c:pt>
                <c:pt idx="490">
                  <c:v>-47.511663014129823</c:v>
                </c:pt>
                <c:pt idx="491">
                  <c:v>-47.514385884529247</c:v>
                </c:pt>
                <c:pt idx="492">
                  <c:v>-47.516714163751374</c:v>
                </c:pt>
                <c:pt idx="493">
                  <c:v>-47.518652851556993</c:v>
                </c:pt>
                <c:pt idx="494">
                  <c:v>-47.520206880673413</c:v>
                </c:pt>
                <c:pt idx="495">
                  <c:v>-47.521381117882811</c:v>
                </c:pt>
                <c:pt idx="496">
                  <c:v>-47.522180365089923</c:v>
                </c:pt>
                <c:pt idx="497">
                  <c:v>-47.522609360368961</c:v>
                </c:pt>
                <c:pt idx="498">
                  <c:v>-47.522672778989744</c:v>
                </c:pt>
                <c:pt idx="499">
                  <c:v>-47.522375234424914</c:v>
                </c:pt>
                <c:pt idx="500">
                  <c:v>-47.521721279337044</c:v>
                </c:pt>
                <c:pt idx="501">
                  <c:v>-47.52071540654714</c:v>
                </c:pt>
                <c:pt idx="502">
                  <c:v>-47.519362049984665</c:v>
                </c:pt>
                <c:pt idx="503">
                  <c:v>-47.517665585619483</c:v>
                </c:pt>
                <c:pt idx="504">
                  <c:v>-47.515630332375935</c:v>
                </c:pt>
                <c:pt idx="505">
                  <c:v>-47.513260553029795</c:v>
                </c:pt>
                <c:pt idx="506">
                  <c:v>-47.510560455088182</c:v>
                </c:pt>
                <c:pt idx="507">
                  <c:v>-47.507534191653036</c:v>
                </c:pt>
                <c:pt idx="508">
                  <c:v>-47.504185862268542</c:v>
                </c:pt>
                <c:pt idx="509">
                  <c:v>-47.50051951375184</c:v>
                </c:pt>
                <c:pt idx="510">
                  <c:v>-47.49653914100972</c:v>
                </c:pt>
                <c:pt idx="511">
                  <c:v>-47.492248687838867</c:v>
                </c:pt>
                <c:pt idx="512">
                  <c:v>-47.487652047711862</c:v>
                </c:pt>
                <c:pt idx="513">
                  <c:v>-47.482753064548518</c:v>
                </c:pt>
                <c:pt idx="514">
                  <c:v>-47.477555533473179</c:v>
                </c:pt>
                <c:pt idx="515">
                  <c:v>-47.472063201557717</c:v>
                </c:pt>
                <c:pt idx="516">
                  <c:v>-47.466279768551516</c:v>
                </c:pt>
                <c:pt idx="517">
                  <c:v>-47.460208887597616</c:v>
                </c:pt>
                <c:pt idx="518">
                  <c:v>-47.453854165936036</c:v>
                </c:pt>
                <c:pt idx="519">
                  <c:v>-47.447219165594419</c:v>
                </c:pt>
                <c:pt idx="520">
                  <c:v>-47.440307404065948</c:v>
                </c:pt>
                <c:pt idx="521">
                  <c:v>-47.433122354975325</c:v>
                </c:pt>
                <c:pt idx="522">
                  <c:v>-47.425667448732611</c:v>
                </c:pt>
                <c:pt idx="523">
                  <c:v>-47.41794607317533</c:v>
                </c:pt>
                <c:pt idx="524">
                  <c:v>-47.40996157419923</c:v>
                </c:pt>
                <c:pt idx="525">
                  <c:v>-47.401717256377509</c:v>
                </c:pt>
                <c:pt idx="526">
                  <c:v>-47.393216383569552</c:v>
                </c:pt>
                <c:pt idx="527">
                  <c:v>-47.384462179518351</c:v>
                </c:pt>
                <c:pt idx="528">
                  <c:v>-47.375457828437675</c:v>
                </c:pt>
                <c:pt idx="529">
                  <c:v>-47.366206475589053</c:v>
                </c:pt>
                <c:pt idx="530">
                  <c:v>-47.35671122784791</c:v>
                </c:pt>
                <c:pt idx="531">
                  <c:v>-47.346975154260946</c:v>
                </c:pt>
                <c:pt idx="532">
                  <c:v>-47.337001286592567</c:v>
                </c:pt>
                <c:pt idx="533">
                  <c:v>-47.326792619862744</c:v>
                </c:pt>
                <c:pt idx="534">
                  <c:v>-47.316352112875023</c:v>
                </c:pt>
                <c:pt idx="535">
                  <c:v>-47.305682688735573</c:v>
                </c:pt>
                <c:pt idx="536">
                  <c:v>-47.294787235363458</c:v>
                </c:pt>
                <c:pt idx="537">
                  <c:v>-47.283668605991551</c:v>
                </c:pt>
                <c:pt idx="538">
                  <c:v>-47.272329619659672</c:v>
                </c:pt>
                <c:pt idx="539">
                  <c:v>-47.260773061698615</c:v>
                </c:pt>
                <c:pt idx="540">
                  <c:v>-47.249001684206291</c:v>
                </c:pt>
                <c:pt idx="541">
                  <c:v>-47.237018206515671</c:v>
                </c:pt>
                <c:pt idx="542">
                  <c:v>-47.224825315654812</c:v>
                </c:pt>
                <c:pt idx="543">
                  <c:v>-47.212425666799049</c:v>
                </c:pt>
                <c:pt idx="544">
                  <c:v>-47.199821883715515</c:v>
                </c:pt>
                <c:pt idx="545">
                  <c:v>-47.187016559200714</c:v>
                </c:pt>
                <c:pt idx="546">
                  <c:v>-47.174012255509837</c:v>
                </c:pt>
                <c:pt idx="547">
                  <c:v>-47.160811504779815</c:v>
                </c:pt>
                <c:pt idx="548">
                  <c:v>-47.147416809444621</c:v>
                </c:pt>
                <c:pt idx="549">
                  <c:v>-47.133830642644313</c:v>
                </c:pt>
                <c:pt idx="550">
                  <c:v>-47.120055448626573</c:v>
                </c:pt>
                <c:pt idx="551">
                  <c:v>-47.10609364314243</c:v>
                </c:pt>
                <c:pt idx="552">
                  <c:v>-47.091947613834833</c:v>
                </c:pt>
                <c:pt idx="553">
                  <c:v>-47.077619720621044</c:v>
                </c:pt>
                <c:pt idx="554">
                  <c:v>-47.063112296068908</c:v>
                </c:pt>
                <c:pt idx="555">
                  <c:v>-47.04842764576685</c:v>
                </c:pt>
                <c:pt idx="556">
                  <c:v>-47.033568048687783</c:v>
                </c:pt>
                <c:pt idx="557">
                  <c:v>-47.018535757547284</c:v>
                </c:pt>
                <c:pt idx="558">
                  <c:v>-47.003332999155816</c:v>
                </c:pt>
                <c:pt idx="559">
                  <c:v>-46.987961974765454</c:v>
                </c:pt>
                <c:pt idx="560">
                  <c:v>-46.97242486041074</c:v>
                </c:pt>
                <c:pt idx="561">
                  <c:v>-46.956723807244344</c:v>
                </c:pt>
                <c:pt idx="562">
                  <c:v>-46.940860941867356</c:v>
                </c:pt>
                <c:pt idx="563">
                  <c:v>-46.924838366653887</c:v>
                </c:pt>
                <c:pt idx="564">
                  <c:v>-46.908658160071184</c:v>
                </c:pt>
                <c:pt idx="565">
                  <c:v>-46.892322376994002</c:v>
                </c:pt>
                <c:pt idx="566">
                  <c:v>-46.875833049014545</c:v>
                </c:pt>
                <c:pt idx="567">
                  <c:v>-46.85919218474703</c:v>
                </c:pt>
                <c:pt idx="568">
                  <c:v>-46.842401770127822</c:v>
                </c:pt>
                <c:pt idx="569">
                  <c:v>-46.825463768710989</c:v>
                </c:pt>
                <c:pt idx="570">
                  <c:v>-46.808380121958379</c:v>
                </c:pt>
                <c:pt idx="571">
                  <c:v>-46.791152749526361</c:v>
                </c:pt>
                <c:pt idx="572">
                  <c:v>-46.773783549547232</c:v>
                </c:pt>
                <c:pt idx="573">
                  <c:v>-46.756274398906612</c:v>
                </c:pt>
                <c:pt idx="574">
                  <c:v>-46.738627153516376</c:v>
                </c:pt>
                <c:pt idx="575">
                  <c:v>-46.720843648583696</c:v>
                </c:pt>
                <c:pt idx="576">
                  <c:v>-46.702925698875475</c:v>
                </c:pt>
                <c:pt idx="577">
                  <c:v>-46.684875098979148</c:v>
                </c:pt>
                <c:pt idx="578">
                  <c:v>-46.66669362355924</c:v>
                </c:pt>
                <c:pt idx="579">
                  <c:v>-46.648383027610038</c:v>
                </c:pt>
                <c:pt idx="580">
                  <c:v>-46.62994504670462</c:v>
                </c:pt>
                <c:pt idx="581">
                  <c:v>-46.611381397239796</c:v>
                </c:pt>
                <c:pt idx="582">
                  <c:v>-46.592693776677493</c:v>
                </c:pt>
                <c:pt idx="583">
                  <c:v>-46.573883863782697</c:v>
                </c:pt>
                <c:pt idx="584">
                  <c:v>-46.554953318857315</c:v>
                </c:pt>
                <c:pt idx="585">
                  <c:v>-46.535903783971008</c:v>
                </c:pt>
                <c:pt idx="586">
                  <c:v>-46.516736883188457</c:v>
                </c:pt>
                <c:pt idx="587">
                  <c:v>-46.497454222792783</c:v>
                </c:pt>
                <c:pt idx="588">
                  <c:v>-46.47805739150661</c:v>
                </c:pt>
                <c:pt idx="589">
                  <c:v>-46.458547960708756</c:v>
                </c:pt>
                <c:pt idx="590">
                  <c:v>-46.438927484648303</c:v>
                </c:pt>
                <c:pt idx="591">
                  <c:v>-46.419197500655713</c:v>
                </c:pt>
                <c:pt idx="592">
                  <c:v>-46.399359529350164</c:v>
                </c:pt>
                <c:pt idx="593">
                  <c:v>-46.379415074844474</c:v>
                </c:pt>
                <c:pt idx="594">
                  <c:v>-46.359365624946491</c:v>
                </c:pt>
                <c:pt idx="595">
                  <c:v>-46.339212651358167</c:v>
                </c:pt>
                <c:pt idx="596">
                  <c:v>-46.31895760987112</c:v>
                </c:pt>
                <c:pt idx="597">
                  <c:v>-46.298601940559507</c:v>
                </c:pt>
                <c:pt idx="598">
                  <c:v>-46.278147067970622</c:v>
                </c:pt>
                <c:pt idx="599">
                  <c:v>-46.25759440131182</c:v>
                </c:pt>
                <c:pt idx="600">
                  <c:v>-46.236945334635664</c:v>
                </c:pt>
                <c:pt idx="601">
                  <c:v>-46.216201247021672</c:v>
                </c:pt>
                <c:pt idx="602">
                  <c:v>-46.195363502755953</c:v>
                </c:pt>
                <c:pt idx="603">
                  <c:v>-46.174433451508065</c:v>
                </c:pt>
                <c:pt idx="604">
                  <c:v>-46.153412428505334</c:v>
                </c:pt>
                <c:pt idx="605">
                  <c:v>-46.132301754704713</c:v>
                </c:pt>
                <c:pt idx="606">
                  <c:v>-44.987958044459219</c:v>
                </c:pt>
                <c:pt idx="607">
                  <c:v>-43.744847421168629</c:v>
                </c:pt>
                <c:pt idx="608">
                  <c:v>-42.479969630315168</c:v>
                </c:pt>
                <c:pt idx="609">
                  <c:v>-41.239309065409515</c:v>
                </c:pt>
                <c:pt idx="610">
                  <c:v>-40.049832988036229</c:v>
                </c:pt>
                <c:pt idx="611">
                  <c:v>-38.926584545311982</c:v>
                </c:pt>
                <c:pt idx="612">
                  <c:v>-37.877047128366513</c:v>
                </c:pt>
                <c:pt idx="613">
                  <c:v>-36.903906764282794</c:v>
                </c:pt>
                <c:pt idx="614">
                  <c:v>-36.006834143824619</c:v>
                </c:pt>
                <c:pt idx="615">
                  <c:v>-35.183647754849233</c:v>
                </c:pt>
                <c:pt idx="616">
                  <c:v>-34.431077355184556</c:v>
                </c:pt>
                <c:pt idx="617">
                  <c:v>-33.74526516988999</c:v>
                </c:pt>
                <c:pt idx="618">
                  <c:v>-33.508175808306362</c:v>
                </c:pt>
                <c:pt idx="619">
                  <c:v>-33.280133158117962</c:v>
                </c:pt>
                <c:pt idx="620">
                  <c:v>-33.060913483634579</c:v>
                </c:pt>
                <c:pt idx="621">
                  <c:v>-32.850291495398295</c:v>
                </c:pt>
                <c:pt idx="622">
                  <c:v>-32.648041692781192</c:v>
                </c:pt>
                <c:pt idx="623">
                  <c:v>-32.453939481115015</c:v>
                </c:pt>
                <c:pt idx="624">
                  <c:v>-32.267762096113216</c:v>
                </c:pt>
                <c:pt idx="625">
                  <c:v>-32.089289363635885</c:v>
                </c:pt>
                <c:pt idx="626">
                  <c:v>-31.918304318839631</c:v>
                </c:pt>
                <c:pt idx="627">
                  <c:v>-31.754593705330848</c:v>
                </c:pt>
                <c:pt idx="628">
                  <c:v>-31.597948372018465</c:v>
                </c:pt>
                <c:pt idx="629">
                  <c:v>-31.448163582860445</c:v>
                </c:pt>
                <c:pt idx="630">
                  <c:v>-31.305039252556469</c:v>
                </c:pt>
                <c:pt idx="631">
                  <c:v>-31.168380119401689</c:v>
                </c:pt>
                <c:pt idx="632">
                  <c:v>-31.037995864940456</c:v>
                </c:pt>
                <c:pt idx="633">
                  <c:v>-30.913701188702845</c:v>
                </c:pt>
                <c:pt idx="634">
                  <c:v>-30.795315845144358</c:v>
                </c:pt>
                <c:pt idx="635">
                  <c:v>-30.682664648904336</c:v>
                </c:pt>
                <c:pt idx="636">
                  <c:v>-30.57557745363826</c:v>
                </c:pt>
                <c:pt idx="637">
                  <c:v>-30.473889108933861</c:v>
                </c:pt>
                <c:pt idx="638">
                  <c:v>-30.377439399182009</c:v>
                </c:pt>
                <c:pt idx="639">
                  <c:v>-30.286072967719264</c:v>
                </c:pt>
                <c:pt idx="640">
                  <c:v>-30.199639229083971</c:v>
                </c:pt>
                <c:pt idx="641">
                  <c:v>-30.117992271815666</c:v>
                </c:pt>
                <c:pt idx="642">
                  <c:v>-30.040990753873672</c:v>
                </c:pt>
                <c:pt idx="643">
                  <c:v>-29.96849779244377</c:v>
                </c:pt>
                <c:pt idx="644">
                  <c:v>-29.900380849638566</c:v>
                </c:pt>
                <c:pt idx="645">
                  <c:v>-29.836511615368465</c:v>
                </c:pt>
                <c:pt idx="646">
                  <c:v>-29.776765888463785</c:v>
                </c:pt>
                <c:pt idx="647">
                  <c:v>-29.721023456959415</c:v>
                </c:pt>
                <c:pt idx="648">
                  <c:v>-29.66916797830595</c:v>
                </c:pt>
                <c:pt idx="649">
                  <c:v>-29.621086860146391</c:v>
                </c:pt>
                <c:pt idx="650">
                  <c:v>-29.576671142189326</c:v>
                </c:pt>
                <c:pt idx="651">
                  <c:v>-29.535815379613354</c:v>
                </c:pt>
                <c:pt idx="652">
                  <c:v>-29.498417528361983</c:v>
                </c:pt>
                <c:pt idx="653">
                  <c:v>-29.464378832614756</c:v>
                </c:pt>
                <c:pt idx="654">
                  <c:v>-29.43360371466423</c:v>
                </c:pt>
                <c:pt idx="655">
                  <c:v>-29.405999667376477</c:v>
                </c:pt>
                <c:pt idx="656">
                  <c:v>-29.381477149371221</c:v>
                </c:pt>
                <c:pt idx="657">
                  <c:v>-29.359949483017715</c:v>
                </c:pt>
                <c:pt idx="658">
                  <c:v>-29.341332755316159</c:v>
                </c:pt>
                <c:pt idx="659">
                  <c:v>-29.325545721702525</c:v>
                </c:pt>
                <c:pt idx="660">
                  <c:v>-29.31250971279718</c:v>
                </c:pt>
                <c:pt idx="661">
                  <c:v>-29.302148544095076</c:v>
                </c:pt>
                <c:pt idx="662">
                  <c:v>-29.294388428582408</c:v>
                </c:pt>
                <c:pt idx="663">
                  <c:v>-29.289157892249705</c:v>
                </c:pt>
                <c:pt idx="664">
                  <c:v>-29.286387692461886</c:v>
                </c:pt>
                <c:pt idx="665">
                  <c:v>-29.286010739136316</c:v>
                </c:pt>
                <c:pt idx="666">
                  <c:v>-29.287962018672943</c:v>
                </c:pt>
                <c:pt idx="667">
                  <c:v>-29.29217852057522</c:v>
                </c:pt>
              </c:numCache>
            </c:numRef>
          </c:yVal>
          <c:smooth val="0"/>
          <c:extLst>
            <c:ext xmlns:c16="http://schemas.microsoft.com/office/drawing/2014/chart" uri="{C3380CC4-5D6E-409C-BE32-E72D297353CC}">
              <c16:uniqueId val="{00000003-C07D-42E2-A0EE-08948D953CAF}"/>
            </c:ext>
          </c:extLst>
        </c:ser>
        <c:dLbls>
          <c:showLegendKey val="0"/>
          <c:showVal val="0"/>
          <c:showCatName val="0"/>
          <c:showSerName val="0"/>
          <c:showPercent val="0"/>
          <c:showBubbleSize val="0"/>
        </c:dLbls>
        <c:axId val="156917120"/>
        <c:axId val="156923008"/>
      </c:scatterChart>
      <c:valAx>
        <c:axId val="156908928"/>
        <c:scaling>
          <c:logBase val="10"/>
          <c:orientation val="minMax"/>
          <c:max val="10000000"/>
          <c:min val="1000"/>
        </c:scaling>
        <c:delete val="0"/>
        <c:axPos val="b"/>
        <c:title>
          <c:tx>
            <c:rich>
              <a:bodyPr/>
              <a:lstStyle/>
              <a:p>
                <a:pPr>
                  <a:defRPr sz="800" b="1" i="0" u="none" strike="noStrike" baseline="0">
                    <a:solidFill>
                      <a:srgbClr val="000000"/>
                    </a:solidFill>
                    <a:latin typeface="Arial"/>
                    <a:ea typeface="Arial"/>
                    <a:cs typeface="Arial"/>
                  </a:defRPr>
                </a:pPr>
                <a:r>
                  <a:rPr lang="en-US"/>
                  <a:t>Frequency (Hz)</a:t>
                </a:r>
              </a:p>
            </c:rich>
          </c:tx>
          <c:layout>
            <c:manualLayout>
              <c:xMode val="edge"/>
              <c:yMode val="edge"/>
              <c:x val="0.438566911218015"/>
              <c:y val="0.88189196822838745"/>
            </c:manualLayout>
          </c:layout>
          <c:overlay val="0"/>
          <c:spPr>
            <a:noFill/>
            <a:ln w="25400">
              <a:noFill/>
            </a:ln>
          </c:spPr>
        </c:title>
        <c:numFmt formatCode="General" sourceLinked="1"/>
        <c:majorTickMark val="out"/>
        <c:minorTickMark val="in"/>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56915200"/>
        <c:crossesAt val="-80"/>
        <c:crossBetween val="midCat"/>
      </c:valAx>
      <c:valAx>
        <c:axId val="156915200"/>
        <c:scaling>
          <c:orientation val="minMax"/>
          <c:min val="-60"/>
        </c:scaling>
        <c:delete val="0"/>
        <c:axPos val="l"/>
        <c:majorGridlines>
          <c:spPr>
            <a:ln w="3175">
              <a:solidFill>
                <a:srgbClr val="000000"/>
              </a:solidFill>
              <a:prstDash val="solid"/>
            </a:ln>
          </c:spPr>
        </c:majorGridlines>
        <c:title>
          <c:tx>
            <c:rich>
              <a:bodyPr/>
              <a:lstStyle/>
              <a:p>
                <a:pPr>
                  <a:defRPr sz="800" b="1" i="0" u="none" strike="noStrike" baseline="0">
                    <a:solidFill>
                      <a:srgbClr val="000000"/>
                    </a:solidFill>
                    <a:latin typeface="Arial"/>
                    <a:ea typeface="Arial"/>
                    <a:cs typeface="Arial"/>
                  </a:defRPr>
                </a:pPr>
                <a:r>
                  <a:rPr lang="en-US"/>
                  <a:t>Gain (db)</a:t>
                </a:r>
              </a:p>
            </c:rich>
          </c:tx>
          <c:layout>
            <c:manualLayout>
              <c:xMode val="edge"/>
              <c:yMode val="edge"/>
              <c:x val="2.9010238907849841E-2"/>
              <c:y val="0.4409459841141904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56908928"/>
        <c:crosses val="autoZero"/>
        <c:crossBetween val="midCat"/>
      </c:valAx>
      <c:valAx>
        <c:axId val="156917120"/>
        <c:scaling>
          <c:logBase val="10"/>
          <c:orientation val="minMax"/>
        </c:scaling>
        <c:delete val="1"/>
        <c:axPos val="b"/>
        <c:numFmt formatCode="General" sourceLinked="1"/>
        <c:majorTickMark val="out"/>
        <c:minorTickMark val="none"/>
        <c:tickLblPos val="none"/>
        <c:crossAx val="156923008"/>
        <c:crosses val="autoZero"/>
        <c:crossBetween val="midCat"/>
      </c:valAx>
      <c:valAx>
        <c:axId val="156923008"/>
        <c:scaling>
          <c:orientation val="minMax"/>
        </c:scaling>
        <c:delete val="0"/>
        <c:axPos val="r"/>
        <c:title>
          <c:tx>
            <c:rich>
              <a:bodyPr/>
              <a:lstStyle/>
              <a:p>
                <a:pPr>
                  <a:defRPr sz="800" b="1" i="0" u="none" strike="noStrike" baseline="0">
                    <a:solidFill>
                      <a:srgbClr val="000000"/>
                    </a:solidFill>
                    <a:latin typeface="Arial"/>
                    <a:ea typeface="Arial"/>
                    <a:cs typeface="Arial"/>
                  </a:defRPr>
                </a:pPr>
                <a:r>
                  <a:rPr lang="en-US"/>
                  <a:t>Phase Margin (Deg)</a:t>
                </a:r>
              </a:p>
            </c:rich>
          </c:tx>
          <c:layout>
            <c:manualLayout>
              <c:xMode val="edge"/>
              <c:yMode val="edge"/>
              <c:x val="0.95733860059302123"/>
              <c:y val="0.36483022299377932"/>
            </c:manualLayout>
          </c:layout>
          <c:overlay val="0"/>
          <c:spPr>
            <a:noFill/>
            <a:ln w="25400">
              <a:noFill/>
            </a:ln>
          </c:spPr>
        </c:title>
        <c:numFmt formatCode="General" sourceLinked="1"/>
        <c:majorTickMark val="cross"/>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56917120"/>
        <c:crosses val="max"/>
        <c:crossBetween val="midCat"/>
      </c:valAx>
      <c:spPr>
        <a:noFill/>
        <a:ln w="12700">
          <a:solidFill>
            <a:srgbClr val="808080"/>
          </a:solidFill>
          <a:prstDash val="solid"/>
        </a:ln>
      </c:spPr>
    </c:plotArea>
    <c:legend>
      <c:legendPos val="t"/>
      <c:layout>
        <c:manualLayout>
          <c:xMode val="edge"/>
          <c:yMode val="edge"/>
          <c:x val="0.78157068250427764"/>
          <c:y val="1.3123359580052583E-2"/>
          <c:w val="0.20307185151344131"/>
          <c:h val="0.14698190285269724"/>
        </c:manualLayout>
      </c:layout>
      <c:overlay val="0"/>
      <c:spPr>
        <a:solidFill>
          <a:srgbClr val="FFFFFF"/>
        </a:solidFill>
        <a:ln w="3175">
          <a:solidFill>
            <a:srgbClr val="000000"/>
          </a:solidFill>
          <a:prstDash val="solid"/>
        </a:ln>
      </c:spPr>
      <c:txPr>
        <a:bodyPr/>
        <a:lstStyle/>
        <a:p>
          <a:pPr>
            <a:defRPr sz="67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50" b="1" i="0" u="none" strike="noStrike" baseline="0">
                <a:solidFill>
                  <a:srgbClr val="000000"/>
                </a:solidFill>
                <a:latin typeface="Arial"/>
                <a:ea typeface="Arial"/>
                <a:cs typeface="Arial"/>
              </a:defRPr>
            </a:pPr>
            <a:r>
              <a:rPr lang="en-US"/>
              <a:t>FeedBack To Comp</a:t>
            </a:r>
          </a:p>
        </c:rich>
      </c:tx>
      <c:layout>
        <c:manualLayout>
          <c:xMode val="edge"/>
          <c:yMode val="edge"/>
          <c:x val="0.40108892921960942"/>
          <c:y val="3.3854166666666671E-2"/>
        </c:manualLayout>
      </c:layout>
      <c:overlay val="0"/>
      <c:spPr>
        <a:noFill/>
        <a:ln w="25400">
          <a:noFill/>
        </a:ln>
      </c:spPr>
    </c:title>
    <c:autoTitleDeleted val="0"/>
    <c:plotArea>
      <c:layout>
        <c:manualLayout>
          <c:layoutTarget val="inner"/>
          <c:xMode val="edge"/>
          <c:yMode val="edge"/>
          <c:x val="0.11615245009074388"/>
          <c:y val="0.20833386315374539"/>
          <c:w val="0.79128856624319865"/>
          <c:h val="0.60416820314586173"/>
        </c:manualLayout>
      </c:layout>
      <c:scatterChart>
        <c:scatterStyle val="smoothMarker"/>
        <c:varyColors val="0"/>
        <c:ser>
          <c:idx val="2"/>
          <c:order val="0"/>
          <c:tx>
            <c:v>Actual gain</c:v>
          </c:tx>
          <c:spPr>
            <a:ln w="38100">
              <a:solidFill>
                <a:srgbClr val="FF0000"/>
              </a:solidFill>
              <a:prstDash val="solid"/>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Calculations'!$BB$9:$BB$676</c:f>
              <c:numCache>
                <c:formatCode>General</c:formatCode>
                <c:ptCount val="668"/>
                <c:pt idx="0">
                  <c:v>55.106776095077954</c:v>
                </c:pt>
                <c:pt idx="1">
                  <c:v>52.52439918188044</c:v>
                </c:pt>
                <c:pt idx="2">
                  <c:v>50.101370096297188</c:v>
                </c:pt>
                <c:pt idx="3">
                  <c:v>48.063853297523515</c:v>
                </c:pt>
                <c:pt idx="4">
                  <c:v>46.356953845377333</c:v>
                </c:pt>
                <c:pt idx="5">
                  <c:v>44.904339455040926</c:v>
                </c:pt>
                <c:pt idx="6">
                  <c:v>43.646355753045889</c:v>
                </c:pt>
                <c:pt idx="7">
                  <c:v>42.53988076251094</c:v>
                </c:pt>
                <c:pt idx="8">
                  <c:v>41.553802902257374</c:v>
                </c:pt>
                <c:pt idx="9">
                  <c:v>40.665297737761563</c:v>
                </c:pt>
                <c:pt idx="10">
                  <c:v>34.731144801195448</c:v>
                </c:pt>
                <c:pt idx="11">
                  <c:v>31.225780715088433</c:v>
                </c:pt>
                <c:pt idx="12">
                  <c:v>28.733091802070167</c:v>
                </c:pt>
                <c:pt idx="13">
                  <c:v>26.798051201928992</c:v>
                </c:pt>
                <c:pt idx="14">
                  <c:v>25.216504282502115</c:v>
                </c:pt>
                <c:pt idx="15">
                  <c:v>23.879197732551511</c:v>
                </c:pt>
                <c:pt idx="16">
                  <c:v>22.720803817545065</c:v>
                </c:pt>
                <c:pt idx="17">
                  <c:v>21.699140578630338</c:v>
                </c:pt>
                <c:pt idx="18">
                  <c:v>20.785386724214547</c:v>
                </c:pt>
                <c:pt idx="19">
                  <c:v>14.7833450542353</c:v>
                </c:pt>
                <c:pt idx="20">
                  <c:v>11.291027508613906</c:v>
                </c:pt>
                <c:pt idx="21">
                  <c:v>8.8331365984429961</c:v>
                </c:pt>
                <c:pt idx="22">
                  <c:v>6.9470220619716887</c:v>
                </c:pt>
                <c:pt idx="23">
                  <c:v>5.4263923237217373</c:v>
                </c:pt>
                <c:pt idx="24">
                  <c:v>4.1610015034551564</c:v>
                </c:pt>
                <c:pt idx="25">
                  <c:v>3.0848463170036271</c:v>
                </c:pt>
                <c:pt idx="26">
                  <c:v>2.1551663022359784</c:v>
                </c:pt>
                <c:pt idx="27">
                  <c:v>1.3425893705341254</c:v>
                </c:pt>
                <c:pt idx="28">
                  <c:v>-1.5465121887945772</c:v>
                </c:pt>
                <c:pt idx="29">
                  <c:v>-3.2604845887116078</c:v>
                </c:pt>
                <c:pt idx="30">
                  <c:v>-4.3195405828626701</c:v>
                </c:pt>
                <c:pt idx="31">
                  <c:v>-4.9734062061195026</c:v>
                </c:pt>
                <c:pt idx="32">
                  <c:v>-5.3618983897052885</c:v>
                </c:pt>
                <c:pt idx="33">
                  <c:v>-5.5698680694218794</c:v>
                </c:pt>
                <c:pt idx="34">
                  <c:v>-5.6515303060654629</c:v>
                </c:pt>
                <c:pt idx="35">
                  <c:v>-5.6429047560325518</c:v>
                </c:pt>
                <c:pt idx="36">
                  <c:v>-5.5687117937963793</c:v>
                </c:pt>
                <c:pt idx="37">
                  <c:v>-5.4463945002514915</c:v>
                </c:pt>
                <c:pt idx="38">
                  <c:v>-5.2885552786197536</c:v>
                </c:pt>
                <c:pt idx="39">
                  <c:v>-5.1044811608855714</c:v>
                </c:pt>
                <c:pt idx="40">
                  <c:v>-4.9011280396454113</c:v>
                </c:pt>
                <c:pt idx="41">
                  <c:v>-4.6837742204993535</c:v>
                </c:pt>
                <c:pt idx="42">
                  <c:v>-4.4564662170325944</c:v>
                </c:pt>
                <c:pt idx="43">
                  <c:v>-4.2223304515047069</c:v>
                </c:pt>
                <c:pt idx="44">
                  <c:v>-3.9837961122482395</c:v>
                </c:pt>
                <c:pt idx="45">
                  <c:v>-3.742757660914942</c:v>
                </c:pt>
                <c:pt idx="46">
                  <c:v>-3.5006953781531847</c:v>
                </c:pt>
                <c:pt idx="47">
                  <c:v>-3.2587661058301509</c:v>
                </c:pt>
                <c:pt idx="48">
                  <c:v>-3.0178724140261699</c:v>
                </c:pt>
                <c:pt idx="49">
                  <c:v>-2.778715885030234</c:v>
                </c:pt>
                <c:pt idx="50">
                  <c:v>-2.5418385327218189</c:v>
                </c:pt>
                <c:pt idx="51">
                  <c:v>-2.3076552465251252</c:v>
                </c:pt>
                <c:pt idx="52">
                  <c:v>-2.0764793714005805</c:v>
                </c:pt>
                <c:pt idx="53">
                  <c:v>-1.8485429892833398</c:v>
                </c:pt>
                <c:pt idx="54">
                  <c:v>-1.62401307718932</c:v>
                </c:pt>
                <c:pt idx="55">
                  <c:v>-1.4030044339607146</c:v>
                </c:pt>
                <c:pt idx="56">
                  <c:v>-1.1855900591022086</c:v>
                </c:pt>
                <c:pt idx="57">
                  <c:v>-0.9718095117413148</c:v>
                </c:pt>
                <c:pt idx="58">
                  <c:v>-0.76167566064389236</c:v>
                </c:pt>
                <c:pt idx="59">
                  <c:v>-0.55518014713856023</c:v>
                </c:pt>
                <c:pt idx="60">
                  <c:v>-0.35229781447472108</c:v>
                </c:pt>
                <c:pt idx="61">
                  <c:v>-0.15299030433678812</c:v>
                </c:pt>
                <c:pt idx="62">
                  <c:v>4.279101983513775E-2</c:v>
                </c:pt>
                <c:pt idx="63">
                  <c:v>0.23510269520371679</c:v>
                </c:pt>
                <c:pt idx="64">
                  <c:v>0.42400722533508178</c:v>
                </c:pt>
                <c:pt idx="65">
                  <c:v>0.60957150718252628</c:v>
                </c:pt>
                <c:pt idx="66">
                  <c:v>0.79186555285326155</c:v>
                </c:pt>
                <c:pt idx="67">
                  <c:v>0.97096145239785825</c:v>
                </c:pt>
                <c:pt idx="68">
                  <c:v>1.1469325339746939</c:v>
                </c:pt>
                <c:pt idx="69">
                  <c:v>1.3198526858593029</c:v>
                </c:pt>
                <c:pt idx="70">
                  <c:v>1.4897958113072973</c:v>
                </c:pt>
                <c:pt idx="71">
                  <c:v>1.6568353925612413</c:v>
                </c:pt>
                <c:pt idx="72">
                  <c:v>1.8210441445719108</c:v>
                </c:pt>
                <c:pt idx="73">
                  <c:v>1.9824937424806908</c:v>
                </c:pt>
                <c:pt idx="74">
                  <c:v>2.1412546097416909</c:v>
                </c:pt>
                <c:pt idx="75">
                  <c:v>2.2973957560740597</c:v>
                </c:pt>
                <c:pt idx="76">
                  <c:v>2.4509846563268369</c:v>
                </c:pt>
                <c:pt idx="77">
                  <c:v>2.6020871628901041</c:v>
                </c:pt>
                <c:pt idx="78">
                  <c:v>2.7507674455611877</c:v>
                </c:pt>
                <c:pt idx="79">
                  <c:v>2.897087953824395</c:v>
                </c:pt>
                <c:pt idx="80">
                  <c:v>3.0411093973684227</c:v>
                </c:pt>
                <c:pt idx="81">
                  <c:v>3.1828907413810308</c:v>
                </c:pt>
                <c:pt idx="82">
                  <c:v>3.3224892137525748</c:v>
                </c:pt>
                <c:pt idx="83">
                  <c:v>3.4599603218102297</c:v>
                </c:pt>
                <c:pt idx="84">
                  <c:v>3.5953578766122112</c:v>
                </c:pt>
                <c:pt idx="85">
                  <c:v>3.7287340231690331</c:v>
                </c:pt>
                <c:pt idx="86">
                  <c:v>3.8601392752405523</c:v>
                </c:pt>
                <c:pt idx="87">
                  <c:v>3.989622553591214</c:v>
                </c:pt>
                <c:pt idx="88">
                  <c:v>4.1172312267815085</c:v>
                </c:pt>
                <c:pt idx="89">
                  <c:v>4.2430111537358126</c:v>
                </c:pt>
                <c:pt idx="90">
                  <c:v>4.3670067274627966</c:v>
                </c:pt>
                <c:pt idx="91">
                  <c:v>4.4892609194176822</c:v>
                </c:pt>
                <c:pt idx="92">
                  <c:v>4.6098153240899356</c:v>
                </c:pt>
                <c:pt idx="93">
                  <c:v>4.7287102034791735</c:v>
                </c:pt>
                <c:pt idx="94">
                  <c:v>4.8459845311874776</c:v>
                </c:pt>
                <c:pt idx="95">
                  <c:v>4.9616760359113954</c:v>
                </c:pt>
                <c:pt idx="96">
                  <c:v>5.0758212441625217</c:v>
                </c:pt>
                <c:pt idx="97">
                  <c:v>5.18845552208359</c:v>
                </c:pt>
                <c:pt idx="98">
                  <c:v>5.2996131162586728</c:v>
                </c:pt>
                <c:pt idx="99">
                  <c:v>5.4093271934422607</c:v>
                </c:pt>
                <c:pt idx="100">
                  <c:v>5.5176298791537857</c:v>
                </c:pt>
                <c:pt idx="101">
                  <c:v>5.6245522951020055</c:v>
                </c:pt>
                <c:pt idx="102">
                  <c:v>5.7301245954183697</c:v>
                </c:pt>
                <c:pt idx="103">
                  <c:v>5.834376001690722</c:v>
                </c:pt>
                <c:pt idx="104">
                  <c:v>5.9373348367983914</c:v>
                </c:pt>
                <c:pt idx="105">
                  <c:v>6.0390285575576206</c:v>
                </c:pt>
                <c:pt idx="106">
                  <c:v>6.1394837861928764</c:v>
                </c:pt>
                <c:pt idx="107">
                  <c:v>6.238726340654388</c:v>
                </c:pt>
                <c:pt idx="108">
                  <c:v>6.3367812638064329</c:v>
                </c:pt>
                <c:pt idx="109">
                  <c:v>6.4336728515137853</c:v>
                </c:pt>
                <c:pt idx="110">
                  <c:v>6.5294246796561168</c:v>
                </c:pt>
                <c:pt idx="111">
                  <c:v>6.6240596301016357</c:v>
                </c:pt>
                <c:pt idx="112">
                  <c:v>6.7175999156725927</c:v>
                </c:pt>
                <c:pt idx="113">
                  <c:v>6.8100671041356726</c:v>
                </c:pt>
                <c:pt idx="114">
                  <c:v>6.9014821412508462</c:v>
                </c:pt>
                <c:pt idx="115">
                  <c:v>6.9918653729121392</c:v>
                </c:pt>
                <c:pt idx="116">
                  <c:v>7.0812365664136134</c:v>
                </c:pt>
                <c:pt idx="117">
                  <c:v>7.1696149308734238</c:v>
                </c:pt>
                <c:pt idx="118">
                  <c:v>7.2570191368483217</c:v>
                </c:pt>
                <c:pt idx="119">
                  <c:v>7.3434673351701649</c:v>
                </c:pt>
                <c:pt idx="120">
                  <c:v>7.4289771750353992</c:v>
                </c:pt>
                <c:pt idx="121">
                  <c:v>7.5135658213774557</c:v>
                </c:pt>
                <c:pt idx="122">
                  <c:v>7.5972499715512516</c:v>
                </c:pt>
                <c:pt idx="123">
                  <c:v>7.6800458713580131</c:v>
                </c:pt>
                <c:pt idx="124">
                  <c:v>7.7619693304376245</c:v>
                </c:pt>
                <c:pt idx="125">
                  <c:v>7.8430357370548691</c:v>
                </c:pt>
                <c:pt idx="126">
                  <c:v>7.9232600723048874</c:v>
                </c:pt>
                <c:pt idx="127">
                  <c:v>8.0026569237621885</c:v>
                </c:pt>
                <c:pt idx="128">
                  <c:v>8.0812404985967454</c:v>
                </c:pt>
                <c:pt idx="129">
                  <c:v>8.159024636179554</c:v>
                </c:pt>
                <c:pt idx="130">
                  <c:v>8.2360228201994126</c:v>
                </c:pt>
                <c:pt idx="131">
                  <c:v>8.3122481903114824</c:v>
                </c:pt>
                <c:pt idx="132">
                  <c:v>8.387713553337516</c:v>
                </c:pt>
                <c:pt idx="133">
                  <c:v>8.4624313940368374</c:v>
                </c:pt>
                <c:pt idx="134">
                  <c:v>8.5364138854661693</c:v>
                </c:pt>
                <c:pt idx="135">
                  <c:v>8.6096728989457016</c:v>
                </c:pt>
                <c:pt idx="136">
                  <c:v>8.6822200136481928</c:v>
                </c:pt>
                <c:pt idx="137">
                  <c:v>8.754066525826854</c:v>
                </c:pt>
                <c:pt idx="138">
                  <c:v>8.8252234576973478</c:v>
                </c:pt>
                <c:pt idx="139">
                  <c:v>8.8957015659884373</c:v>
                </c:pt>
                <c:pt idx="140">
                  <c:v>8.9655113501751735</c:v>
                </c:pt>
                <c:pt idx="141">
                  <c:v>9.0346630604079028</c:v>
                </c:pt>
                <c:pt idx="142">
                  <c:v>9.103166705149853</c:v>
                </c:pt>
                <c:pt idx="143">
                  <c:v>9.1710320585353404</c:v>
                </c:pt>
                <c:pt idx="144">
                  <c:v>9.2382686674602539</c:v>
                </c:pt>
                <c:pt idx="145">
                  <c:v>9.3048858584158971</c:v>
                </c:pt>
                <c:pt idx="146">
                  <c:v>9.3708927440766789</c:v>
                </c:pt>
                <c:pt idx="147">
                  <c:v>9.4362982296519</c:v>
                </c:pt>
                <c:pt idx="148">
                  <c:v>9.5011110190111037</c:v>
                </c:pt>
                <c:pt idx="149">
                  <c:v>9.5653396205924572</c:v>
                </c:pt>
                <c:pt idx="150">
                  <c:v>9.6289923531027153</c:v>
                </c:pt>
                <c:pt idx="151">
                  <c:v>9.6920773510173781</c:v>
                </c:pt>
                <c:pt idx="152">
                  <c:v>9.7546025698890162</c:v>
                </c:pt>
                <c:pt idx="153">
                  <c:v>9.8165757914714575</c:v>
                </c:pt>
                <c:pt idx="154">
                  <c:v>9.8780046286672274</c:v>
                </c:pt>
                <c:pt idx="155">
                  <c:v>9.9388965303051506</c:v>
                </c:pt>
                <c:pt idx="156">
                  <c:v>9.9992587857550248</c:v>
                </c:pt>
                <c:pt idx="157">
                  <c:v>10.059098529385615</c:v>
                </c:pt>
                <c:pt idx="158">
                  <c:v>10.118422744872182</c:v>
                </c:pt>
                <c:pt idx="159">
                  <c:v>10.177238269359448</c:v>
                </c:pt>
                <c:pt idx="160">
                  <c:v>10.235551797485558</c:v>
                </c:pt>
                <c:pt idx="161">
                  <c:v>10.293369885272449</c:v>
                </c:pt>
                <c:pt idx="162">
                  <c:v>10.350698953887768</c:v>
                </c:pt>
                <c:pt idx="163">
                  <c:v>10.407545293283242</c:v>
                </c:pt>
                <c:pt idx="164">
                  <c:v>10.463915065714225</c:v>
                </c:pt>
                <c:pt idx="165">
                  <c:v>10.519814309144957</c:v>
                </c:pt>
                <c:pt idx="166">
                  <c:v>10.575248940543773</c:v>
                </c:pt>
                <c:pt idx="167">
                  <c:v>10.630224759072508</c:v>
                </c:pt>
                <c:pt idx="168">
                  <c:v>10.684747449173964</c:v>
                </c:pt>
                <c:pt idx="169">
                  <c:v>10.738822583561248</c:v>
                </c:pt>
                <c:pt idx="170">
                  <c:v>10.7924556261127</c:v>
                </c:pt>
                <c:pt idx="171">
                  <c:v>10.845651934675777</c:v>
                </c:pt>
                <c:pt idx="172">
                  <c:v>10.898416763783272</c:v>
                </c:pt>
                <c:pt idx="173">
                  <c:v>10.950755267285125</c:v>
                </c:pt>
                <c:pt idx="174">
                  <c:v>11.002672500898797</c:v>
                </c:pt>
                <c:pt idx="175">
                  <c:v>11.054173424681233</c:v>
                </c:pt>
                <c:pt idx="176">
                  <c:v>11.105262905425203</c:v>
                </c:pt>
                <c:pt idx="177">
                  <c:v>11.15594571898264</c:v>
                </c:pt>
                <c:pt idx="178">
                  <c:v>11.2062265525178</c:v>
                </c:pt>
                <c:pt idx="179">
                  <c:v>11.256110006692449</c:v>
                </c:pt>
                <c:pt idx="180">
                  <c:v>11.30560059778573</c:v>
                </c:pt>
                <c:pt idx="181">
                  <c:v>11.354702759750765</c:v>
                </c:pt>
                <c:pt idx="182">
                  <c:v>11.403420846210444</c:v>
                </c:pt>
                <c:pt idx="183">
                  <c:v>11.451759132394294</c:v>
                </c:pt>
                <c:pt idx="184">
                  <c:v>11.499721817018616</c:v>
                </c:pt>
                <c:pt idx="185">
                  <c:v>11.547313024111737</c:v>
                </c:pt>
                <c:pt idx="186">
                  <c:v>11.594536804786387</c:v>
                </c:pt>
                <c:pt idx="187">
                  <c:v>11.641397138960812</c:v>
                </c:pt>
                <c:pt idx="188">
                  <c:v>11.687897937030559</c:v>
                </c:pt>
                <c:pt idx="189">
                  <c:v>11.734043041492466</c:v>
                </c:pt>
                <c:pt idx="190">
                  <c:v>11.779836228522489</c:v>
                </c:pt>
                <c:pt idx="191">
                  <c:v>11.825281209508955</c:v>
                </c:pt>
                <c:pt idx="192">
                  <c:v>11.870381632542655</c:v>
                </c:pt>
                <c:pt idx="193">
                  <c:v>11.915141083865262</c:v>
                </c:pt>
                <c:pt idx="194">
                  <c:v>11.959563089277394</c:v>
                </c:pt>
                <c:pt idx="195">
                  <c:v>12.003651115507687</c:v>
                </c:pt>
                <c:pt idx="196">
                  <c:v>12.047408571544139</c:v>
                </c:pt>
                <c:pt idx="197">
                  <c:v>12.090838809928906</c:v>
                </c:pt>
                <c:pt idx="198">
                  <c:v>12.133945128017816</c:v>
                </c:pt>
                <c:pt idx="199">
                  <c:v>12.17673076920563</c:v>
                </c:pt>
                <c:pt idx="200">
                  <c:v>12.219198924118235</c:v>
                </c:pt>
                <c:pt idx="201">
                  <c:v>12.261352731772774</c:v>
                </c:pt>
                <c:pt idx="202">
                  <c:v>12.303195280706731</c:v>
                </c:pt>
                <c:pt idx="203">
                  <c:v>12.344729610076964</c:v>
                </c:pt>
                <c:pt idx="204">
                  <c:v>12.385958710729605</c:v>
                </c:pt>
                <c:pt idx="205">
                  <c:v>12.42688552624179</c:v>
                </c:pt>
                <c:pt idx="206">
                  <c:v>12.467512953936023</c:v>
                </c:pt>
                <c:pt idx="207">
                  <c:v>12.507843845868031</c:v>
                </c:pt>
                <c:pt idx="208">
                  <c:v>12.547881009789039</c:v>
                </c:pt>
                <c:pt idx="209">
                  <c:v>12.587627210083028</c:v>
                </c:pt>
                <c:pt idx="210">
                  <c:v>12.627085168679999</c:v>
                </c:pt>
                <c:pt idx="211">
                  <c:v>12.666257565945715</c:v>
                </c:pt>
                <c:pt idx="212">
                  <c:v>12.705147041548877</c:v>
                </c:pt>
                <c:pt idx="213">
                  <c:v>12.743756195306199</c:v>
                </c:pt>
                <c:pt idx="214">
                  <c:v>12.78208758800616</c:v>
                </c:pt>
                <c:pt idx="215">
                  <c:v>12.820143742212069</c:v>
                </c:pt>
                <c:pt idx="216">
                  <c:v>12.857927143045007</c:v>
                </c:pt>
                <c:pt idx="217">
                  <c:v>12.895440238947284</c:v>
                </c:pt>
                <c:pt idx="218">
                  <c:v>12.93268544242691</c:v>
                </c:pt>
                <c:pt idx="219">
                  <c:v>12.969665130783753</c:v>
                </c:pt>
                <c:pt idx="220">
                  <c:v>13.006381646817813</c:v>
                </c:pt>
                <c:pt idx="221">
                  <c:v>13.042837299520185</c:v>
                </c:pt>
                <c:pt idx="222">
                  <c:v>13.079034364747173</c:v>
                </c:pt>
                <c:pt idx="223">
                  <c:v>13.114975085878076</c:v>
                </c:pt>
                <c:pt idx="224">
                  <c:v>13.150661674457094</c:v>
                </c:pt>
                <c:pt idx="225">
                  <c:v>13.186096310819806</c:v>
                </c:pt>
                <c:pt idx="226">
                  <c:v>13.527043844024053</c:v>
                </c:pt>
                <c:pt idx="227">
                  <c:v>13.844984599324206</c:v>
                </c:pt>
                <c:pt idx="228">
                  <c:v>14.141667568611227</c:v>
                </c:pt>
                <c:pt idx="229">
                  <c:v>14.418634610793532</c:v>
                </c:pt>
                <c:pt idx="230">
                  <c:v>14.677254200235641</c:v>
                </c:pt>
                <c:pt idx="231">
                  <c:v>14.918748686746657</c:v>
                </c:pt>
                <c:pt idx="232">
                  <c:v>15.144216481748128</c:v>
                </c:pt>
                <c:pt idx="233">
                  <c:v>15.354650238559362</c:v>
                </c:pt>
                <c:pt idx="234">
                  <c:v>15.550951841869818</c:v>
                </c:pt>
                <c:pt idx="235">
                  <c:v>15.733944834923921</c:v>
                </c:pt>
                <c:pt idx="236">
                  <c:v>15.904384773843905</c:v>
                </c:pt>
                <c:pt idx="237">
                  <c:v>16.062967893732655</c:v>
                </c:pt>
                <c:pt idx="238">
                  <c:v>16.210338391495881</c:v>
                </c:pt>
                <c:pt idx="239">
                  <c:v>16.347094569128821</c:v>
                </c:pt>
                <c:pt idx="240">
                  <c:v>16.473794033805422</c:v>
                </c:pt>
                <c:pt idx="241">
                  <c:v>16.590958114058235</c:v>
                </c:pt>
                <c:pt idx="242">
                  <c:v>16.699075622135823</c:v>
                </c:pt>
                <c:pt idx="243">
                  <c:v>16.798606069417371</c:v>
                </c:pt>
                <c:pt idx="244">
                  <c:v>16.889982423172661</c:v>
                </c:pt>
                <c:pt idx="245">
                  <c:v>16.973613477945264</c:v>
                </c:pt>
                <c:pt idx="246">
                  <c:v>17.049885902628308</c:v>
                </c:pt>
                <c:pt idx="247">
                  <c:v>17.11916601430206</c:v>
                </c:pt>
                <c:pt idx="248">
                  <c:v>17.18180132165805</c:v>
                </c:pt>
                <c:pt idx="249">
                  <c:v>17.238121873996334</c:v>
                </c:pt>
                <c:pt idx="250">
                  <c:v>17.288441446080917</c:v>
                </c:pt>
                <c:pt idx="251">
                  <c:v>17.333058584361524</c:v>
                </c:pt>
                <c:pt idx="252">
                  <c:v>17.37225753605323</c:v>
                </c:pt>
                <c:pt idx="253">
                  <c:v>17.406309079176172</c:v>
                </c:pt>
                <c:pt idx="254">
                  <c:v>17.435471268791847</c:v>
                </c:pt>
                <c:pt idx="255">
                  <c:v>17.45999011224486</c:v>
                </c:pt>
                <c:pt idx="256">
                  <c:v>17.480100184161067</c:v>
                </c:pt>
                <c:pt idx="257">
                  <c:v>17.496025190208154</c:v>
                </c:pt>
                <c:pt idx="258">
                  <c:v>17.507978487145948</c:v>
                </c:pt>
                <c:pt idx="259">
                  <c:v>17.516163565441893</c:v>
                </c:pt>
                <c:pt idx="260">
                  <c:v>17.520774499669415</c:v>
                </c:pt>
                <c:pt idx="261">
                  <c:v>17.521996371015334</c:v>
                </c:pt>
                <c:pt idx="262">
                  <c:v>17.520005665472521</c:v>
                </c:pt>
                <c:pt idx="263">
                  <c:v>17.514970650666246</c:v>
                </c:pt>
                <c:pt idx="264">
                  <c:v>17.507051733738283</c:v>
                </c:pt>
                <c:pt idx="265">
                  <c:v>17.496401802277507</c:v>
                </c:pt>
                <c:pt idx="266">
                  <c:v>17.483166549925407</c:v>
                </c:pt>
                <c:pt idx="267">
                  <c:v>17.467484787988951</c:v>
                </c:pt>
                <c:pt idx="268">
                  <c:v>17.44948874415115</c:v>
                </c:pt>
                <c:pt idx="269">
                  <c:v>17.42930434917313</c:v>
                </c:pt>
                <c:pt idx="270">
                  <c:v>17.407051512323196</c:v>
                </c:pt>
                <c:pt idx="271">
                  <c:v>17.382844386141759</c:v>
                </c:pt>
                <c:pt idx="272">
                  <c:v>17.35679162105086</c:v>
                </c:pt>
                <c:pt idx="273">
                  <c:v>17.328996610238462</c:v>
                </c:pt>
                <c:pt idx="274">
                  <c:v>17.299557725186958</c:v>
                </c:pt>
                <c:pt idx="275">
                  <c:v>17.268568542168868</c:v>
                </c:pt>
                <c:pt idx="276">
                  <c:v>17.236118059997999</c:v>
                </c:pt>
                <c:pt idx="277">
                  <c:v>17.20229090929854</c:v>
                </c:pt>
                <c:pt idx="278">
                  <c:v>17.167167553536196</c:v>
                </c:pt>
                <c:pt idx="279">
                  <c:v>17.130824482042485</c:v>
                </c:pt>
                <c:pt idx="280">
                  <c:v>17.093334395254708</c:v>
                </c:pt>
                <c:pt idx="281">
                  <c:v>17.0547663823885</c:v>
                </c:pt>
                <c:pt idx="282">
                  <c:v>17.015186091756377</c:v>
                </c:pt>
                <c:pt idx="283">
                  <c:v>16.974655893944227</c:v>
                </c:pt>
                <c:pt idx="284">
                  <c:v>16.933235038056456</c:v>
                </c:pt>
                <c:pt idx="285">
                  <c:v>16.89097980124037</c:v>
                </c:pt>
                <c:pt idx="286">
                  <c:v>16.847943631700232</c:v>
                </c:pt>
                <c:pt idx="287">
                  <c:v>16.804177285411274</c:v>
                </c:pt>
                <c:pt idx="288">
                  <c:v>16.75972895674342</c:v>
                </c:pt>
                <c:pt idx="289">
                  <c:v>16.714644403203906</c:v>
                </c:pt>
                <c:pt idx="290">
                  <c:v>16.668967064506692</c:v>
                </c:pt>
                <c:pt idx="291">
                  <c:v>16.622738176174913</c:v>
                </c:pt>
                <c:pt idx="292">
                  <c:v>16.575996877880684</c:v>
                </c:pt>
                <c:pt idx="293">
                  <c:v>16.528780316723605</c:v>
                </c:pt>
                <c:pt idx="294">
                  <c:v>16.48112374564667</c:v>
                </c:pt>
                <c:pt idx="295">
                  <c:v>16.433060617184513</c:v>
                </c:pt>
                <c:pt idx="296">
                  <c:v>16.384622672735109</c:v>
                </c:pt>
                <c:pt idx="297">
                  <c:v>16.335840027541881</c:v>
                </c:pt>
                <c:pt idx="298">
                  <c:v>16.286741251568586</c:v>
                </c:pt>
                <c:pt idx="299">
                  <c:v>16.237353446444548</c:v>
                </c:pt>
                <c:pt idx="300">
                  <c:v>16.187702318652853</c:v>
                </c:pt>
                <c:pt idx="301">
                  <c:v>16.137812249128938</c:v>
                </c:pt>
                <c:pt idx="302">
                  <c:v>16.087706359431643</c:v>
                </c:pt>
                <c:pt idx="303">
                  <c:v>16.037406574643548</c:v>
                </c:pt>
                <c:pt idx="304">
                  <c:v>15.986933683151864</c:v>
                </c:pt>
                <c:pt idx="305">
                  <c:v>15.936307393455673</c:v>
                </c:pt>
                <c:pt idx="306">
                  <c:v>15.885546388140021</c:v>
                </c:pt>
                <c:pt idx="307">
                  <c:v>15.834668375151717</c:v>
                </c:pt>
                <c:pt idx="308">
                  <c:v>15.783690136506561</c:v>
                </c:pt>
                <c:pt idx="309">
                  <c:v>15.732627574552264</c:v>
                </c:pt>
                <c:pt idx="310">
                  <c:v>15.681495755906219</c:v>
                </c:pt>
                <c:pt idx="311">
                  <c:v>15.630308953182166</c:v>
                </c:pt>
                <c:pt idx="312">
                  <c:v>15.579080684614922</c:v>
                </c:pt>
                <c:pt idx="313">
                  <c:v>15.52782375168729</c:v>
                </c:pt>
                <c:pt idx="314">
                  <c:v>15.476550274858882</c:v>
                </c:pt>
                <c:pt idx="315">
                  <c:v>15.425271727491763</c:v>
                </c:pt>
                <c:pt idx="316">
                  <c:v>15.373998968063534</c:v>
                </c:pt>
                <c:pt idx="317">
                  <c:v>15.32274227075429</c:v>
                </c:pt>
                <c:pt idx="318">
                  <c:v>15.271511354489625</c:v>
                </c:pt>
                <c:pt idx="319">
                  <c:v>15.220315410518069</c:v>
                </c:pt>
                <c:pt idx="320">
                  <c:v>15.169163128597415</c:v>
                </c:pt>
                <c:pt idx="321">
                  <c:v>15.118062721860909</c:v>
                </c:pt>
                <c:pt idx="322">
                  <c:v>15.067021950430616</c:v>
                </c:pt>
                <c:pt idx="323">
                  <c:v>15.016048143842029</c:v>
                </c:pt>
                <c:pt idx="324">
                  <c:v>14.965148222340819</c:v>
                </c:pt>
                <c:pt idx="325">
                  <c:v>14.914328717109511</c:v>
                </c:pt>
                <c:pt idx="326">
                  <c:v>14.863595789478886</c:v>
                </c:pt>
                <c:pt idx="327">
                  <c:v>14.81295524917633</c:v>
                </c:pt>
                <c:pt idx="328">
                  <c:v>14.762412571660487</c:v>
                </c:pt>
                <c:pt idx="329">
                  <c:v>14.711972914589147</c:v>
                </c:pt>
                <c:pt idx="330">
                  <c:v>14.661641133464851</c:v>
                </c:pt>
                <c:pt idx="331">
                  <c:v>14.611421796500494</c:v>
                </c:pt>
                <c:pt idx="332">
                  <c:v>14.561319198744858</c:v>
                </c:pt>
                <c:pt idx="333">
                  <c:v>14.511337375506084</c:v>
                </c:pt>
                <c:pt idx="334">
                  <c:v>14.46148011510909</c:v>
                </c:pt>
                <c:pt idx="335">
                  <c:v>14.411750971020986</c:v>
                </c:pt>
                <c:pt idx="336">
                  <c:v>14.362153273376897</c:v>
                </c:pt>
                <c:pt idx="337">
                  <c:v>14.312690139936773</c:v>
                </c:pt>
                <c:pt idx="338">
                  <c:v>14.263364486502342</c:v>
                </c:pt>
                <c:pt idx="339">
                  <c:v>14.214179036821633</c:v>
                </c:pt>
                <c:pt idx="340">
                  <c:v>14.165136332007215</c:v>
                </c:pt>
                <c:pt idx="341">
                  <c:v>14.116238739492939</c:v>
                </c:pt>
                <c:pt idx="342">
                  <c:v>14.067488461552495</c:v>
                </c:pt>
                <c:pt idx="343">
                  <c:v>14.018887543402156</c:v>
                </c:pt>
                <c:pt idx="344">
                  <c:v>13.970437880908619</c:v>
                </c:pt>
                <c:pt idx="345">
                  <c:v>13.922141227921996</c:v>
                </c:pt>
                <c:pt idx="346">
                  <c:v>13.873999203252808</c:v>
                </c:pt>
                <c:pt idx="347">
                  <c:v>13.826013297310944</c:v>
                </c:pt>
                <c:pt idx="348">
                  <c:v>13.778184878423563</c:v>
                </c:pt>
                <c:pt idx="349">
                  <c:v>13.730515198848005</c:v>
                </c:pt>
                <c:pt idx="350">
                  <c:v>13.683005400495059</c:v>
                </c:pt>
                <c:pt idx="351">
                  <c:v>13.63565652037696</c:v>
                </c:pt>
                <c:pt idx="352">
                  <c:v>13.588469495793916</c:v>
                </c:pt>
                <c:pt idx="353">
                  <c:v>13.541445169272148</c:v>
                </c:pt>
                <c:pt idx="354">
                  <c:v>13.494584293265728</c:v>
                </c:pt>
                <c:pt idx="355">
                  <c:v>13.447887534634015</c:v>
                </c:pt>
                <c:pt idx="356">
                  <c:v>13.401355478905678</c:v>
                </c:pt>
                <c:pt idx="357">
                  <c:v>13.354988634339884</c:v>
                </c:pt>
                <c:pt idx="358">
                  <c:v>13.30878743579461</c:v>
                </c:pt>
                <c:pt idx="359">
                  <c:v>13.262752248411566</c:v>
                </c:pt>
                <c:pt idx="360">
                  <c:v>13.216883371126686</c:v>
                </c:pt>
                <c:pt idx="361">
                  <c:v>13.171181040014712</c:v>
                </c:pt>
                <c:pt idx="362">
                  <c:v>13.125645431475995</c:v>
                </c:pt>
                <c:pt idx="363">
                  <c:v>13.08027666527307</c:v>
                </c:pt>
                <c:pt idx="364">
                  <c:v>13.035074807424527</c:v>
                </c:pt>
                <c:pt idx="365">
                  <c:v>12.990039872962765</c:v>
                </c:pt>
                <c:pt idx="366">
                  <c:v>12.945171828562493</c:v>
                </c:pt>
                <c:pt idx="367">
                  <c:v>12.900470595046038</c:v>
                </c:pt>
                <c:pt idx="368">
                  <c:v>12.855936049771408</c:v>
                </c:pt>
                <c:pt idx="369">
                  <c:v>12.811568028908782</c:v>
                </c:pt>
                <c:pt idx="370">
                  <c:v>12.767366329610702</c:v>
                </c:pt>
                <c:pt idx="371">
                  <c:v>12.72333071208109</c:v>
                </c:pt>
                <c:pt idx="372">
                  <c:v>12.679460901547831</c:v>
                </c:pt>
                <c:pt idx="373">
                  <c:v>12.635756590143632</c:v>
                </c:pt>
                <c:pt idx="374">
                  <c:v>12.59221743869935</c:v>
                </c:pt>
                <c:pt idx="375">
                  <c:v>12.548843078454047</c:v>
                </c:pt>
                <c:pt idx="376">
                  <c:v>12.50563311268559</c:v>
                </c:pt>
                <c:pt idx="377">
                  <c:v>12.462587118265709</c:v>
                </c:pt>
                <c:pt idx="378">
                  <c:v>12.419704647142822</c:v>
                </c:pt>
                <c:pt idx="379">
                  <c:v>12.37698522775622</c:v>
                </c:pt>
                <c:pt idx="380">
                  <c:v>12.334428366384698</c:v>
                </c:pt>
                <c:pt idx="381">
                  <c:v>12.292033548432729</c:v>
                </c:pt>
                <c:pt idx="382">
                  <c:v>12.249800239657091</c:v>
                </c:pt>
                <c:pt idx="383">
                  <c:v>12.207727887336739</c:v>
                </c:pt>
                <c:pt idx="384">
                  <c:v>12.165815921388411</c:v>
                </c:pt>
                <c:pt idx="385">
                  <c:v>12.124063755430722</c:v>
                </c:pt>
                <c:pt idx="386">
                  <c:v>12.082470787798879</c:v>
                </c:pt>
                <c:pt idx="387">
                  <c:v>12.041036402512407</c:v>
                </c:pt>
                <c:pt idx="388">
                  <c:v>11.999759970198109</c:v>
                </c:pt>
                <c:pt idx="389">
                  <c:v>11.958640848970122</c:v>
                </c:pt>
                <c:pt idx="390">
                  <c:v>11.917678385269234</c:v>
                </c:pt>
                <c:pt idx="391">
                  <c:v>11.87687191466318</c:v>
                </c:pt>
                <c:pt idx="392">
                  <c:v>11.836220762609786</c:v>
                </c:pt>
                <c:pt idx="393">
                  <c:v>11.795724245184564</c:v>
                </c:pt>
                <c:pt idx="394">
                  <c:v>11.75538166977449</c:v>
                </c:pt>
                <c:pt idx="395">
                  <c:v>11.715192335739355</c:v>
                </c:pt>
                <c:pt idx="396">
                  <c:v>11.675155535042306</c:v>
                </c:pt>
                <c:pt idx="397">
                  <c:v>11.635270552850825</c:v>
                </c:pt>
                <c:pt idx="398">
                  <c:v>11.595536668109581</c:v>
                </c:pt>
                <c:pt idx="399">
                  <c:v>11.555953154086406</c:v>
                </c:pt>
                <c:pt idx="400">
                  <c:v>11.516519278892531</c:v>
                </c:pt>
                <c:pt idx="401">
                  <c:v>11.477234305978346</c:v>
                </c:pt>
                <c:pt idx="402">
                  <c:v>11.438097494605676</c:v>
                </c:pt>
                <c:pt idx="403">
                  <c:v>11.399108100297717</c:v>
                </c:pt>
                <c:pt idx="404">
                  <c:v>11.360265375267547</c:v>
                </c:pt>
                <c:pt idx="405">
                  <c:v>11.321568568826239</c:v>
                </c:pt>
                <c:pt idx="406">
                  <c:v>11.283016927771424</c:v>
                </c:pt>
                <c:pt idx="407">
                  <c:v>11.24460969675722</c:v>
                </c:pt>
                <c:pt idx="408">
                  <c:v>11.206346118646323</c:v>
                </c:pt>
                <c:pt idx="409">
                  <c:v>11.168225434845088</c:v>
                </c:pt>
                <c:pt idx="410">
                  <c:v>11.130246885622306</c:v>
                </c:pt>
                <c:pt idx="411">
                  <c:v>11.092409710412452</c:v>
                </c:pt>
                <c:pt idx="412">
                  <c:v>11.054713148104021</c:v>
                </c:pt>
                <c:pt idx="413">
                  <c:v>11.017156437313727</c:v>
                </c:pt>
                <c:pt idx="414">
                  <c:v>10.979738816647039</c:v>
                </c:pt>
                <c:pt idx="415">
                  <c:v>10.942459524945789</c:v>
                </c:pt>
                <c:pt idx="416">
                  <c:v>10.905317801523342</c:v>
                </c:pt>
                <c:pt idx="417">
                  <c:v>10.868312886387912</c:v>
                </c:pt>
                <c:pt idx="418">
                  <c:v>10.831444020454553</c:v>
                </c:pt>
                <c:pt idx="419">
                  <c:v>10.794710445746267</c:v>
                </c:pt>
                <c:pt idx="420">
                  <c:v>10.758111405584785</c:v>
                </c:pt>
                <c:pt idx="421">
                  <c:v>10.721646144771439</c:v>
                </c:pt>
                <c:pt idx="422">
                  <c:v>10.685313909758525</c:v>
                </c:pt>
                <c:pt idx="423">
                  <c:v>10.649113948811648</c:v>
                </c:pt>
                <c:pt idx="424">
                  <c:v>10.613045512163406</c:v>
                </c:pt>
                <c:pt idx="425">
                  <c:v>10.577107852158765</c:v>
                </c:pt>
                <c:pt idx="426">
                  <c:v>10.541300223392545</c:v>
                </c:pt>
                <c:pt idx="427">
                  <c:v>10.505621882839362</c:v>
                </c:pt>
                <c:pt idx="428">
                  <c:v>10.470072089976284</c:v>
                </c:pt>
                <c:pt idx="429">
                  <c:v>10.434650106898609</c:v>
                </c:pt>
                <c:pt idx="430">
                  <c:v>10.399355198429035</c:v>
                </c:pt>
                <c:pt idx="431">
                  <c:v>10.364186632220493</c:v>
                </c:pt>
                <c:pt idx="432">
                  <c:v>10.329143678852946</c:v>
                </c:pt>
                <c:pt idx="433">
                  <c:v>10.294225611924414</c:v>
                </c:pt>
                <c:pt idx="434">
                  <c:v>10.2594317081365</c:v>
                </c:pt>
                <c:pt idx="435">
                  <c:v>10.224761247374586</c:v>
                </c:pt>
                <c:pt idx="436">
                  <c:v>10.190213512783057</c:v>
                </c:pt>
                <c:pt idx="437">
                  <c:v>10.155787790835651</c:v>
                </c:pt>
                <c:pt idx="438">
                  <c:v>10.121483371401228</c:v>
                </c:pt>
                <c:pt idx="439">
                  <c:v>10.087299547805138</c:v>
                </c:pt>
                <c:pt idx="440">
                  <c:v>10.053235616886372</c:v>
                </c:pt>
                <c:pt idx="441">
                  <c:v>10.019290879050704</c:v>
                </c:pt>
                <c:pt idx="442">
                  <c:v>9.9854646383200087</c:v>
                </c:pt>
                <c:pt idx="443">
                  <c:v>9.9517562023778616</c:v>
                </c:pt>
                <c:pt idx="444">
                  <c:v>9.9181648826117215</c:v>
                </c:pt>
                <c:pt idx="445">
                  <c:v>9.8846899941516622</c:v>
                </c:pt>
                <c:pt idx="446">
                  <c:v>9.8513308559060047</c:v>
                </c:pt>
                <c:pt idx="447">
                  <c:v>9.818086790593842</c:v>
                </c:pt>
                <c:pt idx="448">
                  <c:v>9.7849571247746709</c:v>
                </c:pt>
                <c:pt idx="449">
                  <c:v>9.7519411888752376</c:v>
                </c:pt>
                <c:pt idx="450">
                  <c:v>9.7190383172137391</c:v>
                </c:pt>
                <c:pt idx="451">
                  <c:v>9.6862478480214751</c:v>
                </c:pt>
                <c:pt idx="452">
                  <c:v>9.6535691234621073</c:v>
                </c:pt>
                <c:pt idx="453">
                  <c:v>9.6210014896485916</c:v>
                </c:pt>
                <c:pt idx="454">
                  <c:v>9.5885442966579113</c:v>
                </c:pt>
                <c:pt idx="455">
                  <c:v>9.556196898543746</c:v>
                </c:pt>
                <c:pt idx="456">
                  <c:v>9.5239586533470995</c:v>
                </c:pt>
                <c:pt idx="457">
                  <c:v>9.4918289231050466</c:v>
                </c:pt>
                <c:pt idx="458">
                  <c:v>9.4598070738576503</c:v>
                </c:pt>
                <c:pt idx="459">
                  <c:v>9.427892475653179</c:v>
                </c:pt>
                <c:pt idx="460">
                  <c:v>9.3960845025516235</c:v>
                </c:pt>
                <c:pt idx="461">
                  <c:v>9.3643825326267027</c:v>
                </c:pt>
                <c:pt idx="462">
                  <c:v>9.3327859479663413</c:v>
                </c:pt>
                <c:pt idx="463">
                  <c:v>9.3012941346717248</c:v>
                </c:pt>
                <c:pt idx="464">
                  <c:v>9.2699064828550259</c:v>
                </c:pt>
                <c:pt idx="465">
                  <c:v>9.2386223866358161</c:v>
                </c:pt>
                <c:pt idx="466">
                  <c:v>9.2074412441362838</c:v>
                </c:pt>
                <c:pt idx="467">
                  <c:v>9.1763624574752765</c:v>
                </c:pt>
                <c:pt idx="468">
                  <c:v>9.1453854327612465</c:v>
                </c:pt>
                <c:pt idx="469">
                  <c:v>9.1145095800841265</c:v>
                </c:pt>
                <c:pt idx="470">
                  <c:v>9.08373431350625</c:v>
                </c:pt>
                <c:pt idx="471">
                  <c:v>9.053059051052303</c:v>
                </c:pt>
                <c:pt idx="472">
                  <c:v>9.0224832146983953</c:v>
                </c:pt>
                <c:pt idx="473">
                  <c:v>8.9920062303602677</c:v>
                </c:pt>
                <c:pt idx="474">
                  <c:v>8.9616275278807329</c:v>
                </c:pt>
                <c:pt idx="475">
                  <c:v>8.9313465410162998</c:v>
                </c:pt>
                <c:pt idx="476">
                  <c:v>8.9011627074231718</c:v>
                </c:pt>
                <c:pt idx="477">
                  <c:v>8.8710754686424611</c:v>
                </c:pt>
                <c:pt idx="478">
                  <c:v>8.8410842700848544</c:v>
                </c:pt>
                <c:pt idx="479">
                  <c:v>8.8111885610146246</c:v>
                </c:pt>
                <c:pt idx="480">
                  <c:v>8.7813877945330781</c:v>
                </c:pt>
                <c:pt idx="481">
                  <c:v>8.7516814275615094</c:v>
                </c:pt>
                <c:pt idx="482">
                  <c:v>8.7220689208235829</c:v>
                </c:pt>
                <c:pt idx="483">
                  <c:v>8.6925497388273207</c:v>
                </c:pt>
                <c:pt idx="484">
                  <c:v>8.6631233498465718</c:v>
                </c:pt>
                <c:pt idx="485">
                  <c:v>8.6337892259021256</c:v>
                </c:pt>
                <c:pt idx="486">
                  <c:v>8.6045468427424048</c:v>
                </c:pt>
                <c:pt idx="487">
                  <c:v>8.5753956798238136</c:v>
                </c:pt>
                <c:pt idx="488">
                  <c:v>8.5463352202907199</c:v>
                </c:pt>
                <c:pt idx="489">
                  <c:v>8.5173649509551517</c:v>
                </c:pt>
                <c:pt idx="490">
                  <c:v>8.4884843622762034</c:v>
                </c:pt>
                <c:pt idx="491">
                  <c:v>8.4596929483391357</c:v>
                </c:pt>
                <c:pt idx="492">
                  <c:v>8.4309902068342453</c:v>
                </c:pt>
                <c:pt idx="493">
                  <c:v>8.4023756390355491</c:v>
                </c:pt>
                <c:pt idx="494">
                  <c:v>8.3738487497791549</c:v>
                </c:pt>
                <c:pt idx="495">
                  <c:v>8.3454090474415406</c:v>
                </c:pt>
                <c:pt idx="496">
                  <c:v>8.3170560439175905</c:v>
                </c:pt>
                <c:pt idx="497">
                  <c:v>8.2887892545985018</c:v>
                </c:pt>
                <c:pt idx="498">
                  <c:v>8.2606081983495372</c:v>
                </c:pt>
                <c:pt idx="499">
                  <c:v>8.2325123974876444</c:v>
                </c:pt>
                <c:pt idx="500">
                  <c:v>8.2045013777589819</c:v>
                </c:pt>
                <c:pt idx="501">
                  <c:v>8.1765746683162881</c:v>
                </c:pt>
                <c:pt idx="502">
                  <c:v>8.1487318016962398</c:v>
                </c:pt>
                <c:pt idx="503">
                  <c:v>8.1209723137966812</c:v>
                </c:pt>
                <c:pt idx="504">
                  <c:v>8.0932957438537851</c:v>
                </c:pt>
                <c:pt idx="505">
                  <c:v>8.065701634419197</c:v>
                </c:pt>
                <c:pt idx="506">
                  <c:v>8.0381895313371157</c:v>
                </c:pt>
                <c:pt idx="507">
                  <c:v>8.0107589837213258</c:v>
                </c:pt>
                <c:pt idx="508">
                  <c:v>7.9834095439322583</c:v>
                </c:pt>
                <c:pt idx="509">
                  <c:v>7.9561407675539764</c:v>
                </c:pt>
                <c:pt idx="510">
                  <c:v>7.9289522133712058</c:v>
                </c:pt>
                <c:pt idx="511">
                  <c:v>7.9018434433463449</c:v>
                </c:pt>
                <c:pt idx="512">
                  <c:v>7.8748140225965111</c:v>
                </c:pt>
                <c:pt idx="513">
                  <c:v>7.8478635193705761</c:v>
                </c:pt>
                <c:pt idx="514">
                  <c:v>7.8209915050262415</c:v>
                </c:pt>
                <c:pt idx="515">
                  <c:v>7.7941975540071802</c:v>
                </c:pt>
                <c:pt idx="516">
                  <c:v>7.7674812438201695</c:v>
                </c:pt>
                <c:pt idx="517">
                  <c:v>7.7408421550123041</c:v>
                </c:pt>
                <c:pt idx="518">
                  <c:v>7.7142798711482694</c:v>
                </c:pt>
                <c:pt idx="519">
                  <c:v>7.6877939787876306</c:v>
                </c:pt>
                <c:pt idx="520">
                  <c:v>7.6613840674622544</c:v>
                </c:pt>
                <c:pt idx="521">
                  <c:v>7.6350497296537387</c:v>
                </c:pt>
                <c:pt idx="522">
                  <c:v>7.6087905607709505</c:v>
                </c:pt>
                <c:pt idx="523">
                  <c:v>7.582606159127641</c:v>
                </c:pt>
                <c:pt idx="524">
                  <c:v>7.5564961259201322</c:v>
                </c:pt>
                <c:pt idx="525">
                  <c:v>7.5304600652051104</c:v>
                </c:pt>
                <c:pt idx="526">
                  <c:v>7.5044975838774981</c:v>
                </c:pt>
                <c:pt idx="527">
                  <c:v>7.4786082916484178</c:v>
                </c:pt>
                <c:pt idx="528">
                  <c:v>7.4527918010232819</c:v>
                </c:pt>
                <c:pt idx="529">
                  <c:v>7.4270477272799393</c:v>
                </c:pt>
                <c:pt idx="530">
                  <c:v>7.4013756884469748</c:v>
                </c:pt>
                <c:pt idx="531">
                  <c:v>7.3757753052820965</c:v>
                </c:pt>
                <c:pt idx="532">
                  <c:v>7.3502462012506262</c:v>
                </c:pt>
                <c:pt idx="533">
                  <c:v>7.324788002504123</c:v>
                </c:pt>
                <c:pt idx="534">
                  <c:v>7.2994003378590939</c:v>
                </c:pt>
                <c:pt idx="535">
                  <c:v>7.2740828387758718</c:v>
                </c:pt>
                <c:pt idx="536">
                  <c:v>7.2488351393375563</c:v>
                </c:pt>
                <c:pt idx="537">
                  <c:v>7.2236568762291133</c:v>
                </c:pt>
                <c:pt idx="538">
                  <c:v>7.1985476887166024</c:v>
                </c:pt>
                <c:pt idx="539">
                  <c:v>7.1735072186264937</c:v>
                </c:pt>
                <c:pt idx="540">
                  <c:v>7.1485351103251595</c:v>
                </c:pt>
                <c:pt idx="541">
                  <c:v>7.1236310106984622</c:v>
                </c:pt>
                <c:pt idx="542">
                  <c:v>7.0987945691314795</c:v>
                </c:pt>
                <c:pt idx="543">
                  <c:v>7.074025437488368</c:v>
                </c:pt>
                <c:pt idx="544">
                  <c:v>7.0493232700923505</c:v>
                </c:pt>
                <c:pt idx="545">
                  <c:v>7.0246877237058456</c:v>
                </c:pt>
                <c:pt idx="546">
                  <c:v>7.0001184575107258</c:v>
                </c:pt>
                <c:pt idx="547">
                  <c:v>6.9756151330887048</c:v>
                </c:pt>
                <c:pt idx="548">
                  <c:v>6.9511774144018732</c:v>
                </c:pt>
                <c:pt idx="549">
                  <c:v>6.9268049677733785</c:v>
                </c:pt>
                <c:pt idx="550">
                  <c:v>6.9024974618681965</c:v>
                </c:pt>
                <c:pt idx="551">
                  <c:v>6.8782545676741034</c:v>
                </c:pt>
                <c:pt idx="552">
                  <c:v>6.8540759584827429</c:v>
                </c:pt>
                <c:pt idx="553">
                  <c:v>6.8299613098708409</c:v>
                </c:pt>
                <c:pt idx="554">
                  <c:v>6.8059102996815639</c:v>
                </c:pt>
                <c:pt idx="555">
                  <c:v>6.7819226080060098</c:v>
                </c:pt>
                <c:pt idx="556">
                  <c:v>6.7579979171648539</c:v>
                </c:pt>
                <c:pt idx="557">
                  <c:v>6.7341359116901032</c:v>
                </c:pt>
                <c:pt idx="558">
                  <c:v>6.7103362783070208</c:v>
                </c:pt>
                <c:pt idx="559">
                  <c:v>6.68659870591617</c:v>
                </c:pt>
                <c:pt idx="560">
                  <c:v>6.6629228855755906</c:v>
                </c:pt>
                <c:pt idx="561">
                  <c:v>6.6393085104831604</c:v>
                </c:pt>
                <c:pt idx="562">
                  <c:v>6.6157552759590299</c:v>
                </c:pt>
                <c:pt idx="563">
                  <c:v>6.5922628794282234</c:v>
                </c:pt>
                <c:pt idx="564">
                  <c:v>6.5688310204034046</c:v>
                </c:pt>
                <c:pt idx="565">
                  <c:v>6.5454594004677489</c:v>
                </c:pt>
                <c:pt idx="566">
                  <c:v>6.5221477232579437</c:v>
                </c:pt>
                <c:pt idx="567">
                  <c:v>6.4988956944473575</c:v>
                </c:pt>
                <c:pt idx="568">
                  <c:v>6.4757030217293332</c:v>
                </c:pt>
                <c:pt idx="569">
                  <c:v>6.4525694148005917</c:v>
                </c:pt>
                <c:pt idx="570">
                  <c:v>6.4294945853448233</c:v>
                </c:pt>
                <c:pt idx="571">
                  <c:v>6.4064782470163752</c:v>
                </c:pt>
                <c:pt idx="572">
                  <c:v>6.3835201154240604</c:v>
                </c:pt>
                <c:pt idx="573">
                  <c:v>6.3606199081151518</c:v>
                </c:pt>
                <c:pt idx="574">
                  <c:v>6.3377773445594752</c:v>
                </c:pt>
                <c:pt idx="575">
                  <c:v>6.3149921461336325</c:v>
                </c:pt>
                <c:pt idx="576">
                  <c:v>6.2922640361053794</c:v>
                </c:pt>
                <c:pt idx="577">
                  <c:v>6.2695927396180924</c:v>
                </c:pt>
                <c:pt idx="578">
                  <c:v>6.2469779836754471</c:v>
                </c:pt>
                <c:pt idx="579">
                  <c:v>6.224419497126112</c:v>
                </c:pt>
                <c:pt idx="580">
                  <c:v>6.2019170106486872</c:v>
                </c:pt>
                <c:pt idx="581">
                  <c:v>6.1794702567366961</c:v>
                </c:pt>
                <c:pt idx="582">
                  <c:v>6.1570789696837283</c:v>
                </c:pt>
                <c:pt idx="583">
                  <c:v>6.1347428855687181</c:v>
                </c:pt>
                <c:pt idx="584">
                  <c:v>6.1124617422413383</c:v>
                </c:pt>
                <c:pt idx="585">
                  <c:v>6.0902352793075192</c:v>
                </c:pt>
                <c:pt idx="586">
                  <c:v>6.068063238115105</c:v>
                </c:pt>
                <c:pt idx="587">
                  <c:v>6.0459453617396264</c:v>
                </c:pt>
                <c:pt idx="588">
                  <c:v>6.0238813949701839</c:v>
                </c:pt>
                <c:pt idx="589">
                  <c:v>6.0018710842954848</c:v>
                </c:pt>
                <c:pt idx="590">
                  <c:v>5.9799141778899774</c:v>
                </c:pt>
                <c:pt idx="591">
                  <c:v>5.9580104256000936</c:v>
                </c:pt>
                <c:pt idx="592">
                  <c:v>5.9361595789306554</c:v>
                </c:pt>
                <c:pt idx="593">
                  <c:v>5.9143613910313784</c:v>
                </c:pt>
                <c:pt idx="594">
                  <c:v>5.8926156166834689</c:v>
                </c:pt>
                <c:pt idx="595">
                  <c:v>5.870922012286373</c:v>
                </c:pt>
                <c:pt idx="596">
                  <c:v>5.8492803358446324</c:v>
                </c:pt>
                <c:pt idx="597">
                  <c:v>5.8276903469548635</c:v>
                </c:pt>
                <c:pt idx="598">
                  <c:v>5.8061518067928199</c:v>
                </c:pt>
                <c:pt idx="599">
                  <c:v>5.7846644781006002</c:v>
                </c:pt>
                <c:pt idx="600">
                  <c:v>5.7632281251739714</c:v>
                </c:pt>
                <c:pt idx="601">
                  <c:v>5.7418425138497931</c:v>
                </c:pt>
                <c:pt idx="602">
                  <c:v>5.7205074114935357</c:v>
                </c:pt>
                <c:pt idx="603">
                  <c:v>5.6992225869869504</c:v>
                </c:pt>
                <c:pt idx="604">
                  <c:v>5.6779878107158153</c:v>
                </c:pt>
                <c:pt idx="605">
                  <c:v>5.6568028545577986</c:v>
                </c:pt>
                <c:pt idx="606">
                  <c:v>4.6564356401455331</c:v>
                </c:pt>
                <c:pt idx="607">
                  <c:v>3.7563654546182934</c:v>
                </c:pt>
                <c:pt idx="608">
                  <c:v>2.9385051470100532</c:v>
                </c:pt>
                <c:pt idx="609">
                  <c:v>2.1891568680888733</c:v>
                </c:pt>
                <c:pt idx="610">
                  <c:v>1.4977242710456609</c:v>
                </c:pt>
                <c:pt idx="611">
                  <c:v>0.85585526722883931</c:v>
                </c:pt>
                <c:pt idx="612">
                  <c:v>0.25685736851311269</c:v>
                </c:pt>
                <c:pt idx="613">
                  <c:v>-0.30471046778287036</c:v>
                </c:pt>
                <c:pt idx="614">
                  <c:v>-0.83332898831516755</c:v>
                </c:pt>
                <c:pt idx="615">
                  <c:v>-1.3327304518823802</c:v>
                </c:pt>
                <c:pt idx="616">
                  <c:v>-1.8060554872108856</c:v>
                </c:pt>
                <c:pt idx="617">
                  <c:v>-2.2559711452459834</c:v>
                </c:pt>
                <c:pt idx="618">
                  <c:v>-2.4296278657544605</c:v>
                </c:pt>
                <c:pt idx="619">
                  <c:v>-2.5999579343787067</c:v>
                </c:pt>
                <c:pt idx="620">
                  <c:v>-2.7670924357631237</c:v>
                </c:pt>
                <c:pt idx="621">
                  <c:v>-2.9311549073250989</c:v>
                </c:pt>
                <c:pt idx="622">
                  <c:v>-3.0922619110355702</c:v>
                </c:pt>
                <c:pt idx="623">
                  <c:v>-3.2505235517395032</c:v>
                </c:pt>
                <c:pt idx="624">
                  <c:v>-3.4060439479328575</c:v>
                </c:pt>
                <c:pt idx="625">
                  <c:v>-3.5589216601598599</c:v>
                </c:pt>
                <c:pt idx="626">
                  <c:v>-3.7092500815487819</c:v>
                </c:pt>
                <c:pt idx="627">
                  <c:v>-3.8571177944503763</c:v>
                </c:pt>
                <c:pt idx="628">
                  <c:v>-4.002608896665202</c:v>
                </c:pt>
                <c:pt idx="629">
                  <c:v>-4.1458033003333252</c:v>
                </c:pt>
                <c:pt idx="630">
                  <c:v>-4.2867770062020369</c:v>
                </c:pt>
                <c:pt idx="631">
                  <c:v>-4.4256023556766184</c:v>
                </c:pt>
                <c:pt idx="632">
                  <c:v>-4.5623482627883414</c:v>
                </c:pt>
                <c:pt idx="633">
                  <c:v>-4.6970804279778076</c:v>
                </c:pt>
                <c:pt idx="634">
                  <c:v>-4.8298615353847634</c:v>
                </c:pt>
                <c:pt idx="635">
                  <c:v>-4.9607514351542736</c:v>
                </c:pt>
                <c:pt idx="636">
                  <c:v>-5.0898073121098726</c:v>
                </c:pt>
                <c:pt idx="637">
                  <c:v>-5.2170838420036176</c:v>
                </c:pt>
                <c:pt idx="638">
                  <c:v>-5.342633336429417</c:v>
                </c:pt>
                <c:pt idx="639">
                  <c:v>-5.4665058773761599</c:v>
                </c:pt>
                <c:pt idx="640">
                  <c:v>-5.5887494423002293</c:v>
                </c:pt>
                <c:pt idx="641">
                  <c:v>-5.7094100205108225</c:v>
                </c:pt>
                <c:pt idx="642">
                  <c:v>-5.828531721584671</c:v>
                </c:pt>
                <c:pt idx="643">
                  <c:v>-5.9461568764588186</c:v>
                </c:pt>
                <c:pt idx="644">
                  <c:v>-6.0623261317888595</c:v>
                </c:pt>
                <c:pt idx="645">
                  <c:v>-6.1770785381058335</c:v>
                </c:pt>
                <c:pt idx="646">
                  <c:v>-6.2904516322561257</c:v>
                </c:pt>
                <c:pt idx="647">
                  <c:v>-6.4024815145650562</c:v>
                </c:pt>
                <c:pt idx="648">
                  <c:v>-6.5132029211255489</c:v>
                </c:pt>
                <c:pt idx="649">
                  <c:v>-6.622649291578143</c:v>
                </c:pt>
                <c:pt idx="650">
                  <c:v>-6.7308528327165593</c:v>
                </c:pt>
                <c:pt idx="651">
                  <c:v>-6.8378445782246988</c:v>
                </c:pt>
                <c:pt idx="652">
                  <c:v>-6.9436544448248219</c:v>
                </c:pt>
                <c:pt idx="653">
                  <c:v>-7.0483112850933569</c:v>
                </c:pt>
                <c:pt idx="654">
                  <c:v>-7.1518429371796808</c:v>
                </c:pt>
                <c:pt idx="655">
                  <c:v>-7.2542762716438123</c:v>
                </c:pt>
                <c:pt idx="656">
                  <c:v>-7.3556372356117787</c:v>
                </c:pt>
                <c:pt idx="657">
                  <c:v>-7.4559508944313624</c:v>
                </c:pt>
                <c:pt idx="658">
                  <c:v>-7.5552414709966822</c:v>
                </c:pt>
                <c:pt idx="659">
                  <c:v>-7.653532382896822</c:v>
                </c:pt>
                <c:pt idx="660">
                  <c:v>-7.750846277531914</c:v>
                </c:pt>
                <c:pt idx="661">
                  <c:v>-7.8472050653289935</c:v>
                </c:pt>
                <c:pt idx="662">
                  <c:v>-7.9426299511800478</c:v>
                </c:pt>
                <c:pt idx="663">
                  <c:v>-8.037141464215626</c:v>
                </c:pt>
                <c:pt idx="664">
                  <c:v>-8.1307594860188512</c:v>
                </c:pt>
                <c:pt idx="665">
                  <c:v>-8.2235032773772243</c:v>
                </c:pt>
                <c:pt idx="666">
                  <c:v>-8.3153915036624131</c:v>
                </c:pt>
                <c:pt idx="667">
                  <c:v>-8.4064422589218548</c:v>
                </c:pt>
              </c:numCache>
            </c:numRef>
          </c:yVal>
          <c:smooth val="1"/>
          <c:extLst>
            <c:ext xmlns:c16="http://schemas.microsoft.com/office/drawing/2014/chart" uri="{C3380CC4-5D6E-409C-BE32-E72D297353CC}">
              <c16:uniqueId val="{00000000-1E67-4BE6-A307-85FBD3F4DF6A}"/>
            </c:ext>
          </c:extLst>
        </c:ser>
        <c:dLbls>
          <c:showLegendKey val="0"/>
          <c:showVal val="0"/>
          <c:showCatName val="0"/>
          <c:showSerName val="0"/>
          <c:showPercent val="0"/>
          <c:showBubbleSize val="0"/>
        </c:dLbls>
        <c:axId val="156941696"/>
        <c:axId val="156972544"/>
      </c:scatterChart>
      <c:scatterChart>
        <c:scatterStyle val="lineMarker"/>
        <c:varyColors val="0"/>
        <c:ser>
          <c:idx val="3"/>
          <c:order val="1"/>
          <c:tx>
            <c:v>Actual Phase</c:v>
          </c:tx>
          <c:spPr>
            <a:ln w="38100">
              <a:solidFill>
                <a:srgbClr val="660066"/>
              </a:solidFill>
              <a:prstDash val="solid"/>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Calculations'!$BD$9:$BD$676</c:f>
              <c:numCache>
                <c:formatCode>General</c:formatCode>
                <c:ptCount val="668"/>
                <c:pt idx="0">
                  <c:v>-211.32966540973041</c:v>
                </c:pt>
                <c:pt idx="1">
                  <c:v>-230.57628411866477</c:v>
                </c:pt>
                <c:pt idx="2">
                  <c:v>-241.23971397025716</c:v>
                </c:pt>
                <c:pt idx="3">
                  <c:v>-247.58569466225006</c:v>
                </c:pt>
                <c:pt idx="4">
                  <c:v>-251.69493140510241</c:v>
                </c:pt>
                <c:pt idx="5">
                  <c:v>-254.54160374000389</c:v>
                </c:pt>
                <c:pt idx="6">
                  <c:v>-256.61753974056421</c:v>
                </c:pt>
                <c:pt idx="7">
                  <c:v>-258.1921838532665</c:v>
                </c:pt>
                <c:pt idx="8">
                  <c:v>-259.42388073066411</c:v>
                </c:pt>
                <c:pt idx="9">
                  <c:v>-260.41122345770725</c:v>
                </c:pt>
                <c:pt idx="10">
                  <c:v>-264.77067368806445</c:v>
                </c:pt>
                <c:pt idx="11">
                  <c:v>-266.06111674820318</c:v>
                </c:pt>
                <c:pt idx="12">
                  <c:v>-266.57361221507364</c:v>
                </c:pt>
                <c:pt idx="13">
                  <c:v>-266.77386891786369</c:v>
                </c:pt>
                <c:pt idx="14">
                  <c:v>-266.81779937978303</c:v>
                </c:pt>
                <c:pt idx="15">
                  <c:v>-266.77235086478265</c:v>
                </c:pt>
                <c:pt idx="16">
                  <c:v>-266.67103267662714</c:v>
                </c:pt>
                <c:pt idx="17">
                  <c:v>-266.53247435322425</c:v>
                </c:pt>
                <c:pt idx="18">
                  <c:v>-266.36785989910783</c:v>
                </c:pt>
                <c:pt idx="19">
                  <c:v>-264.15087456052981</c:v>
                </c:pt>
                <c:pt idx="20">
                  <c:v>-261.63032679684534</c:v>
                </c:pt>
                <c:pt idx="21">
                  <c:v>-259.04595135211463</c:v>
                </c:pt>
                <c:pt idx="22">
                  <c:v>-256.44929796938357</c:v>
                </c:pt>
                <c:pt idx="23">
                  <c:v>-253.86033487200768</c:v>
                </c:pt>
                <c:pt idx="24">
                  <c:v>-251.28978733751066</c:v>
                </c:pt>
                <c:pt idx="25">
                  <c:v>-248.74469745502819</c:v>
                </c:pt>
                <c:pt idx="26">
                  <c:v>-246.23026245498579</c:v>
                </c:pt>
                <c:pt idx="27">
                  <c:v>-243.75056323562885</c:v>
                </c:pt>
                <c:pt idx="28">
                  <c:v>-231.96872785305578</c:v>
                </c:pt>
                <c:pt idx="29">
                  <c:v>-221.34167511713457</c:v>
                </c:pt>
                <c:pt idx="30">
                  <c:v>-211.89239658755258</c:v>
                </c:pt>
                <c:pt idx="31">
                  <c:v>-203.53644517354439</c:v>
                </c:pt>
                <c:pt idx="32">
                  <c:v>-196.14831472099928</c:v>
                </c:pt>
                <c:pt idx="33">
                  <c:v>-189.59819994749236</c:v>
                </c:pt>
                <c:pt idx="34">
                  <c:v>-183.76808017917375</c:v>
                </c:pt>
                <c:pt idx="35">
                  <c:v>-178.55650491334271</c:v>
                </c:pt>
                <c:pt idx="36">
                  <c:v>-173.87830060246284</c:v>
                </c:pt>
                <c:pt idx="37">
                  <c:v>-169.66247260729688</c:v>
                </c:pt>
                <c:pt idx="38">
                  <c:v>-165.8497746168126</c:v>
                </c:pt>
                <c:pt idx="39">
                  <c:v>-162.39050512304749</c:v>
                </c:pt>
                <c:pt idx="40">
                  <c:v>-159.24268259208338</c:v>
                </c:pt>
                <c:pt idx="41">
                  <c:v>-156.37059059728665</c:v>
                </c:pt>
                <c:pt idx="42">
                  <c:v>-153.74363376466448</c:v>
                </c:pt>
                <c:pt idx="43">
                  <c:v>-151.33543909481324</c:v>
                </c:pt>
                <c:pt idx="44">
                  <c:v>-149.12314596989719</c:v>
                </c:pt>
                <c:pt idx="45">
                  <c:v>-147.08684007331416</c:v>
                </c:pt>
                <c:pt idx="46">
                  <c:v>-145.20909729462221</c:v>
                </c:pt>
                <c:pt idx="47">
                  <c:v>-143.474612348025</c:v>
                </c:pt>
                <c:pt idx="48">
                  <c:v>-141.86989335007189</c:v>
                </c:pt>
                <c:pt idx="49">
                  <c:v>-140.38300837774813</c:v>
                </c:pt>
                <c:pt idx="50">
                  <c:v>-139.00337349038585</c:v>
                </c:pt>
                <c:pt idx="51">
                  <c:v>-137.72157420761101</c:v>
                </c:pt>
                <c:pt idx="52">
                  <c:v>-136.52921426432914</c:v>
                </c:pt>
                <c:pt idx="53">
                  <c:v>-135.41878681053439</c:v>
                </c:pt>
                <c:pt idx="54">
                  <c:v>-134.38356422829048</c:v>
                </c:pt>
                <c:pt idx="55">
                  <c:v>-133.4175034981435</c:v>
                </c:pt>
                <c:pt idx="56">
                  <c:v>-132.51516463036577</c:v>
                </c:pt>
                <c:pt idx="57">
                  <c:v>-131.67164013016631</c:v>
                </c:pt>
                <c:pt idx="58">
                  <c:v>-130.88249382364046</c:v>
                </c:pt>
                <c:pt idx="59">
                  <c:v>-130.14370765643204</c:v>
                </c:pt>
                <c:pt idx="60">
                  <c:v>-129.45163530687691</c:v>
                </c:pt>
                <c:pt idx="61">
                  <c:v>-128.80296164222295</c:v>
                </c:pt>
                <c:pt idx="62">
                  <c:v>-128.19466719960286</c:v>
                </c:pt>
                <c:pt idx="63">
                  <c:v>-127.62399699970067</c:v>
                </c:pt>
                <c:pt idx="64">
                  <c:v>-127.08843310580684</c:v>
                </c:pt>
                <c:pt idx="65">
                  <c:v>-126.58567042829397</c:v>
                </c:pt>
                <c:pt idx="66">
                  <c:v>-126.11359534767686</c:v>
                </c:pt>
                <c:pt idx="67">
                  <c:v>-125.67026679089383</c:v>
                </c:pt>
                <c:pt idx="68">
                  <c:v>-125.25389944729318</c:v>
                </c:pt>
                <c:pt idx="69">
                  <c:v>-124.86284885467026</c:v>
                </c:pt>
                <c:pt idx="70">
                  <c:v>-124.49559812291297</c:v>
                </c:pt>
                <c:pt idx="71">
                  <c:v>-124.15074609446316</c:v>
                </c:pt>
                <c:pt idx="72">
                  <c:v>-123.82699676778635</c:v>
                </c:pt>
                <c:pt idx="73">
                  <c:v>-123.52314983310237</c:v>
                </c:pt>
                <c:pt idx="74">
                  <c:v>-123.23809218937757</c:v>
                </c:pt>
                <c:pt idx="75">
                  <c:v>-122.97079032852682</c:v>
                </c:pt>
                <c:pt idx="76">
                  <c:v>-122.72028348734526</c:v>
                </c:pt>
                <c:pt idx="77">
                  <c:v>-122.48567748024536</c:v>
                </c:pt>
                <c:pt idx="78">
                  <c:v>-122.26613913671159</c:v>
                </c:pt>
                <c:pt idx="79">
                  <c:v>-122.06089127675509</c:v>
                </c:pt>
                <c:pt idx="80">
                  <c:v>-121.86920816576989</c:v>
                </c:pt>
                <c:pt idx="81">
                  <c:v>-121.69041139723686</c:v>
                </c:pt>
                <c:pt idx="82">
                  <c:v>-121.52386615784445</c:v>
                </c:pt>
                <c:pt idx="83">
                  <c:v>-121.36897783492986</c:v>
                </c:pt>
                <c:pt idx="84">
                  <c:v>-121.22518893079442</c:v>
                </c:pt>
                <c:pt idx="85">
                  <c:v>-121.09197625250974</c:v>
                </c:pt>
                <c:pt idx="86">
                  <c:v>-120.96884834938842</c:v>
                </c:pt>
                <c:pt idx="87">
                  <c:v>-120.85534317340826</c:v>
                </c:pt>
                <c:pt idx="88">
                  <c:v>-120.7510259406134</c:v>
                </c:pt>
                <c:pt idx="89">
                  <c:v>-120.65548717392264</c:v>
                </c:pt>
                <c:pt idx="90">
                  <c:v>-120.56834090988934</c:v>
                </c:pt>
                <c:pt idx="91">
                  <c:v>-120.48922305382607</c:v>
                </c:pt>
                <c:pt idx="92">
                  <c:v>-120.41778986935412</c:v>
                </c:pt>
                <c:pt idx="93">
                  <c:v>-120.35371658989575</c:v>
                </c:pt>
                <c:pt idx="94">
                  <c:v>-120.29669614091685</c:v>
                </c:pt>
                <c:pt idx="95">
                  <c:v>-120.24643796287307</c:v>
                </c:pt>
                <c:pt idx="96">
                  <c:v>-120.20266692582689</c:v>
                </c:pt>
                <c:pt idx="97">
                  <c:v>-120.16512232760789</c:v>
                </c:pt>
                <c:pt idx="98">
                  <c:v>-120.1335569681905</c:v>
                </c:pt>
                <c:pt idx="99">
                  <c:v>-120.10773629368286</c:v>
                </c:pt>
                <c:pt idx="100">
                  <c:v>-120.08743760395733</c:v>
                </c:pt>
                <c:pt idx="101">
                  <c:v>-120.07244931852665</c:v>
                </c:pt>
                <c:pt idx="102">
                  <c:v>-120.06257029578074</c:v>
                </c:pt>
                <c:pt idx="103">
                  <c:v>-120.05760920115624</c:v>
                </c:pt>
                <c:pt idx="104">
                  <c:v>-120.05738392022312</c:v>
                </c:pt>
                <c:pt idx="105">
                  <c:v>-120.06172101304051</c:v>
                </c:pt>
                <c:pt idx="106">
                  <c:v>-120.07045520646579</c:v>
                </c:pt>
                <c:pt idx="107">
                  <c:v>-120.0834289213991</c:v>
                </c:pt>
                <c:pt idx="108">
                  <c:v>-120.10049183221454</c:v>
                </c:pt>
                <c:pt idx="109">
                  <c:v>-120.12150045587127</c:v>
                </c:pt>
                <c:pt idx="110">
                  <c:v>-120.14631776841664</c:v>
                </c:pt>
                <c:pt idx="111">
                  <c:v>-120.17481284679144</c:v>
                </c:pt>
                <c:pt idx="112">
                  <c:v>-120.20686053402565</c:v>
                </c:pt>
                <c:pt idx="113">
                  <c:v>-120.24234112607584</c:v>
                </c:pt>
                <c:pt idx="114">
                  <c:v>-120.28114007870107</c:v>
                </c:pt>
                <c:pt idx="115">
                  <c:v>-120.32314773290861</c:v>
                </c:pt>
                <c:pt idx="116">
                  <c:v>-120.36825905762063</c:v>
                </c:pt>
                <c:pt idx="117">
                  <c:v>-120.41637340832398</c:v>
                </c:pt>
                <c:pt idx="118">
                  <c:v>-120.4673943005638</c:v>
                </c:pt>
                <c:pt idx="119">
                  <c:v>-120.52122919723472</c:v>
                </c:pt>
                <c:pt idx="120">
                  <c:v>-120.57778930870468</c:v>
                </c:pt>
                <c:pt idx="121">
                  <c:v>-120.6369894048832</c:v>
                </c:pt>
                <c:pt idx="122">
                  <c:v>-120.69874763841472</c:v>
                </c:pt>
                <c:pt idx="123">
                  <c:v>-120.76298537824097</c:v>
                </c:pt>
                <c:pt idx="124">
                  <c:v>-120.82962705283384</c:v>
                </c:pt>
                <c:pt idx="125">
                  <c:v>-120.89860000245372</c:v>
                </c:pt>
                <c:pt idx="126">
                  <c:v>-120.9698343398361</c:v>
                </c:pt>
                <c:pt idx="127">
                  <c:v>-121.04326281875403</c:v>
                </c:pt>
                <c:pt idx="128">
                  <c:v>-121.11882070994494</c:v>
                </c:pt>
                <c:pt idx="129">
                  <c:v>-121.1964456839271</c:v>
                </c:pt>
                <c:pt idx="130">
                  <c:v>-121.27607770026643</c:v>
                </c:pt>
                <c:pt idx="131">
                  <c:v>-121.35765890288479</c:v>
                </c:pt>
                <c:pt idx="132">
                  <c:v>-121.44113352103153</c:v>
                </c:pt>
                <c:pt idx="133">
                  <c:v>-121.52644777556473</c:v>
                </c:pt>
                <c:pt idx="134">
                  <c:v>-121.61354979021573</c:v>
                </c:pt>
                <c:pt idx="135">
                  <c:v>-121.70238950753151</c:v>
                </c:pt>
                <c:pt idx="136">
                  <c:v>-121.7929186092111</c:v>
                </c:pt>
                <c:pt idx="137">
                  <c:v>-121.88509044057211</c:v>
                </c:pt>
                <c:pt idx="138">
                  <c:v>-121.97885993890017</c:v>
                </c:pt>
                <c:pt idx="139">
                  <c:v>-122.07418356545219</c:v>
                </c:pt>
                <c:pt idx="140">
                  <c:v>-122.17101924089854</c:v>
                </c:pt>
                <c:pt idx="141">
                  <c:v>-122.26932628400394</c:v>
                </c:pt>
                <c:pt idx="142">
                  <c:v>-122.36906535335983</c:v>
                </c:pt>
                <c:pt idx="143">
                  <c:v>-122.47019839199353</c:v>
                </c:pt>
                <c:pt idx="144">
                  <c:v>-122.57268857469049</c:v>
                </c:pt>
                <c:pt idx="145">
                  <c:v>-122.67650025787628</c:v>
                </c:pt>
                <c:pt idx="146">
                  <c:v>-122.78159893191531</c:v>
                </c:pt>
                <c:pt idx="147">
                  <c:v>-122.88795117569211</c:v>
                </c:pt>
                <c:pt idx="148">
                  <c:v>-122.99552461334868</c:v>
                </c:pt>
                <c:pt idx="149">
                  <c:v>-123.10428787306058</c:v>
                </c:pt>
                <c:pt idx="150">
                  <c:v>-123.21421054774078</c:v>
                </c:pt>
                <c:pt idx="151">
                  <c:v>-123.32526315756726</c:v>
                </c:pt>
                <c:pt idx="152">
                  <c:v>-123.43741711423682</c:v>
                </c:pt>
                <c:pt idx="153">
                  <c:v>-123.55064468685369</c:v>
                </c:pt>
                <c:pt idx="154">
                  <c:v>-123.66491896936614</c:v>
                </c:pt>
                <c:pt idx="155">
                  <c:v>-123.78021384947084</c:v>
                </c:pt>
                <c:pt idx="156">
                  <c:v>-123.89650397890793</c:v>
                </c:pt>
                <c:pt idx="157">
                  <c:v>-124.01376474507575</c:v>
                </c:pt>
                <c:pt idx="158">
                  <c:v>-124.13197224389688</c:v>
                </c:pt>
                <c:pt idx="159">
                  <c:v>-124.2511032538728</c:v>
                </c:pt>
                <c:pt idx="160">
                  <c:v>-124.37113521126599</c:v>
                </c:pt>
                <c:pt idx="161">
                  <c:v>-124.49204618635409</c:v>
                </c:pt>
                <c:pt idx="162">
                  <c:v>-124.61381486070164</c:v>
                </c:pt>
                <c:pt idx="163">
                  <c:v>-124.73642050540022</c:v>
                </c:pt>
                <c:pt idx="164">
                  <c:v>-124.85984296022808</c:v>
                </c:pt>
                <c:pt idx="165">
                  <c:v>-124.98406261368575</c:v>
                </c:pt>
                <c:pt idx="166">
                  <c:v>-125.10906038386409</c:v>
                </c:pt>
                <c:pt idx="167">
                  <c:v>-125.23481770010548</c:v>
                </c:pt>
                <c:pt idx="168">
                  <c:v>-125.36131648541968</c:v>
                </c:pt>
                <c:pt idx="169">
                  <c:v>-125.48853913961895</c:v>
                </c:pt>
                <c:pt idx="170">
                  <c:v>-125.61646852313814</c:v>
                </c:pt>
                <c:pt idx="171">
                  <c:v>-125.74508794150788</c:v>
                </c:pt>
                <c:pt idx="172">
                  <c:v>-125.87438113045036</c:v>
                </c:pt>
                <c:pt idx="173">
                  <c:v>-126.00433224156896</c:v>
                </c:pt>
                <c:pt idx="174">
                  <c:v>-126.1349258286043</c:v>
                </c:pt>
                <c:pt idx="175">
                  <c:v>-126.26614683423092</c:v>
                </c:pt>
                <c:pt idx="176">
                  <c:v>-126.39798057737019</c:v>
                </c:pt>
                <c:pt idx="177">
                  <c:v>-126.53041274099581</c:v>
                </c:pt>
                <c:pt idx="178">
                  <c:v>-126.66342936041048</c:v>
                </c:pt>
                <c:pt idx="179">
                  <c:v>-126.79701681197172</c:v>
                </c:pt>
                <c:pt idx="180">
                  <c:v>-126.93116180224801</c:v>
                </c:pt>
                <c:pt idx="181">
                  <c:v>-127.06585135758587</c:v>
                </c:pt>
                <c:pt idx="182">
                  <c:v>-127.20107281406965</c:v>
                </c:pt>
                <c:pt idx="183">
                  <c:v>-127.33681380785765</c:v>
                </c:pt>
                <c:pt idx="184">
                  <c:v>-127.47306226587747</c:v>
                </c:pt>
                <c:pt idx="185">
                  <c:v>-127.60980639686595</c:v>
                </c:pt>
                <c:pt idx="186">
                  <c:v>-127.74703468273859</c:v>
                </c:pt>
                <c:pt idx="187">
                  <c:v>-127.88473587027443</c:v>
                </c:pt>
                <c:pt idx="188">
                  <c:v>-128.02289896310333</c:v>
                </c:pt>
                <c:pt idx="189">
                  <c:v>-128.16151321398289</c:v>
                </c:pt>
                <c:pt idx="190">
                  <c:v>-128.30056811735278</c:v>
                </c:pt>
                <c:pt idx="191">
                  <c:v>-128.440053402155</c:v>
                </c:pt>
                <c:pt idx="192">
                  <c:v>-128.57995902490981</c:v>
                </c:pt>
                <c:pt idx="193">
                  <c:v>-128.7202751630355</c:v>
                </c:pt>
                <c:pt idx="194">
                  <c:v>-128.8609922084035</c:v>
                </c:pt>
                <c:pt idx="195">
                  <c:v>-129.00210076111816</c:v>
                </c:pt>
                <c:pt idx="196">
                  <c:v>-129.14359162351312</c:v>
                </c:pt>
                <c:pt idx="197">
                  <c:v>-129.28545579435476</c:v>
                </c:pt>
                <c:pt idx="198">
                  <c:v>-129.42768446324521</c:v>
                </c:pt>
                <c:pt idx="199">
                  <c:v>-129.57026900521612</c:v>
                </c:pt>
                <c:pt idx="200">
                  <c:v>-129.71320097550699</c:v>
                </c:pt>
                <c:pt idx="201">
                  <c:v>-129.85647210451964</c:v>
                </c:pt>
                <c:pt idx="202">
                  <c:v>-130.00007429294214</c:v>
                </c:pt>
                <c:pt idx="203">
                  <c:v>-130.14399960703668</c:v>
                </c:pt>
                <c:pt idx="204">
                  <c:v>-130.28824027408348</c:v>
                </c:pt>
                <c:pt idx="205">
                  <c:v>-130.43278867797619</c:v>
                </c:pt>
                <c:pt idx="206">
                  <c:v>-130.57763735496218</c:v>
                </c:pt>
                <c:pt idx="207">
                  <c:v>-130.72277898952211</c:v>
                </c:pt>
                <c:pt idx="208">
                  <c:v>-130.86820641038452</c:v>
                </c:pt>
                <c:pt idx="209">
                  <c:v>-131.01391258666919</c:v>
                </c:pt>
                <c:pt idx="210">
                  <c:v>-131.15989062415528</c:v>
                </c:pt>
                <c:pt idx="211">
                  <c:v>-131.3061337616692</c:v>
                </c:pt>
                <c:pt idx="212">
                  <c:v>-131.45263536758807</c:v>
                </c:pt>
                <c:pt idx="213">
                  <c:v>-131.59938893645426</c:v>
                </c:pt>
                <c:pt idx="214">
                  <c:v>-131.74638808569708</c:v>
                </c:pt>
                <c:pt idx="215">
                  <c:v>-131.89362655245796</c:v>
                </c:pt>
                <c:pt idx="216">
                  <c:v>-132.04109819051482</c:v>
                </c:pt>
                <c:pt idx="217">
                  <c:v>-132.18879696730249</c:v>
                </c:pt>
                <c:pt idx="218">
                  <c:v>-132.3367169610259</c:v>
                </c:pt>
                <c:pt idx="219">
                  <c:v>-132.48485235786205</c:v>
                </c:pt>
                <c:pt idx="220">
                  <c:v>-132.63319744924834</c:v>
                </c:pt>
                <c:pt idx="221">
                  <c:v>-132.78174662925389</c:v>
                </c:pt>
                <c:pt idx="222">
                  <c:v>-132.93049439203068</c:v>
                </c:pt>
                <c:pt idx="223">
                  <c:v>-133.07943532934243</c:v>
                </c:pt>
                <c:pt idx="224">
                  <c:v>-133.22856412816773</c:v>
                </c:pt>
                <c:pt idx="225">
                  <c:v>-133.37787556837549</c:v>
                </c:pt>
                <c:pt idx="226">
                  <c:v>-134.87994891350689</c:v>
                </c:pt>
                <c:pt idx="227">
                  <c:v>-136.39515506106227</c:v>
                </c:pt>
                <c:pt idx="228">
                  <c:v>-137.91950818202514</c:v>
                </c:pt>
                <c:pt idx="229">
                  <c:v>-139.44958628394028</c:v>
                </c:pt>
                <c:pt idx="230">
                  <c:v>-140.98242380510604</c:v>
                </c:pt>
                <c:pt idx="231">
                  <c:v>-142.51542942659518</c:v>
                </c:pt>
                <c:pt idx="232">
                  <c:v>-144.0463225675694</c:v>
                </c:pt>
                <c:pt idx="233">
                  <c:v>-145.5730838725791</c:v>
                </c:pt>
                <c:pt idx="234">
                  <c:v>-147.09391627685909</c:v>
                </c:pt>
                <c:pt idx="235">
                  <c:v>-148.60721413418668</c:v>
                </c:pt>
                <c:pt idx="236">
                  <c:v>-150.11153853294604</c:v>
                </c:pt>
                <c:pt idx="237">
                  <c:v>-151.60559738952423</c:v>
                </c:pt>
                <c:pt idx="238">
                  <c:v>-153.08822924747295</c:v>
                </c:pt>
                <c:pt idx="239">
                  <c:v>-154.55838996222633</c:v>
                </c:pt>
                <c:pt idx="240">
                  <c:v>-156.01514163944276</c:v>
                </c:pt>
                <c:pt idx="241">
                  <c:v>-157.45764333753806</c:v>
                </c:pt>
                <c:pt idx="242">
                  <c:v>-158.88514315385899</c:v>
                </c:pt>
                <c:pt idx="243">
                  <c:v>-160.29697139785821</c:v>
                </c:pt>
                <c:pt idx="244">
                  <c:v>-161.69253461979119</c:v>
                </c:pt>
                <c:pt idx="245">
                  <c:v>-163.07131031437328</c:v>
                </c:pt>
                <c:pt idx="246">
                  <c:v>-164.43284215882662</c:v>
                </c:pt>
                <c:pt idx="247">
                  <c:v>-165.77673567626954</c:v>
                </c:pt>
                <c:pt idx="248">
                  <c:v>-167.10265424029893</c:v>
                </c:pt>
                <c:pt idx="249">
                  <c:v>-168.4103153562906</c:v>
                </c:pt>
                <c:pt idx="250">
                  <c:v>-169.69948717046668</c:v>
                </c:pt>
                <c:pt idx="251">
                  <c:v>-170.96998516998781</c:v>
                </c:pt>
                <c:pt idx="252">
                  <c:v>-172.22166904687759</c:v>
                </c:pt>
                <c:pt idx="253">
                  <c:v>-173.45443970599658</c:v>
                </c:pt>
                <c:pt idx="254">
                  <c:v>-174.66823640297011</c:v>
                </c:pt>
                <c:pt idx="255">
                  <c:v>-175.86303400228022</c:v>
                </c:pt>
                <c:pt idx="256">
                  <c:v>-177.03884034892306</c:v>
                </c:pt>
                <c:pt idx="257">
                  <c:v>-178.19569374934426</c:v>
                </c:pt>
                <c:pt idx="258">
                  <c:v>-179.33366055897261</c:v>
                </c:pt>
                <c:pt idx="259">
                  <c:v>-180.45283287473336</c:v>
                </c:pt>
                <c:pt idx="260">
                  <c:v>-181.55332633155871</c:v>
                </c:pt>
                <c:pt idx="261">
                  <c:v>-182.6352780022298</c:v>
                </c:pt>
                <c:pt idx="262">
                  <c:v>-183.69884439996002</c:v>
                </c:pt>
                <c:pt idx="263">
                  <c:v>-184.74419958303838</c:v>
                </c:pt>
                <c:pt idx="264">
                  <c:v>-185.77153336064029</c:v>
                </c:pt>
                <c:pt idx="265">
                  <c:v>-186.78104959863248</c:v>
                </c:pt>
                <c:pt idx="266">
                  <c:v>-187.77296462387494</c:v>
                </c:pt>
                <c:pt idx="267">
                  <c:v>-188.74750572518798</c:v>
                </c:pt>
                <c:pt idx="268">
                  <c:v>-189.70490974882219</c:v>
                </c:pt>
                <c:pt idx="269">
                  <c:v>-190.64542178595849</c:v>
                </c:pt>
                <c:pt idx="270">
                  <c:v>-191.5692939494854</c:v>
                </c:pt>
                <c:pt idx="271">
                  <c:v>-192.47678423705449</c:v>
                </c:pt>
                <c:pt idx="272">
                  <c:v>-193.36815547721071</c:v>
                </c:pt>
                <c:pt idx="273">
                  <c:v>-194.24367435522709</c:v>
                </c:pt>
                <c:pt idx="274">
                  <c:v>-195.10361051515082</c:v>
                </c:pt>
                <c:pt idx="275">
                  <c:v>-195.94823573447832</c:v>
                </c:pt>
                <c:pt idx="276">
                  <c:v>-196.77782316782893</c:v>
                </c:pt>
                <c:pt idx="277">
                  <c:v>-197.59264665596987</c:v>
                </c:pt>
                <c:pt idx="278">
                  <c:v>-198.39298009655704</c:v>
                </c:pt>
                <c:pt idx="279">
                  <c:v>-199.17909687299701</c:v>
                </c:pt>
                <c:pt idx="280">
                  <c:v>-199.95126933789751</c:v>
                </c:pt>
                <c:pt idx="281">
                  <c:v>-200.70976834765708</c:v>
                </c:pt>
                <c:pt idx="282">
                  <c:v>-201.45486284484059</c:v>
                </c:pt>
                <c:pt idx="283">
                  <c:v>-202.18681948510215</c:v>
                </c:pt>
                <c:pt idx="284">
                  <c:v>-202.90590230553553</c:v>
                </c:pt>
                <c:pt idx="285">
                  <c:v>-203.61237243146542</c:v>
                </c:pt>
                <c:pt idx="286">
                  <c:v>-204.30648781882434</c:v>
                </c:pt>
                <c:pt idx="287">
                  <c:v>-204.98850302940298</c:v>
                </c:pt>
                <c:pt idx="288">
                  <c:v>-205.6586690363979</c:v>
                </c:pt>
                <c:pt idx="289">
                  <c:v>-206.31723305782447</c:v>
                </c:pt>
                <c:pt idx="290">
                  <c:v>-206.96443841549979</c:v>
                </c:pt>
                <c:pt idx="291">
                  <c:v>-207.60052441743937</c:v>
                </c:pt>
                <c:pt idx="292">
                  <c:v>-208.22572626164427</c:v>
                </c:pt>
                <c:pt idx="293">
                  <c:v>-208.84027495938508</c:v>
                </c:pt>
                <c:pt idx="294">
                  <c:v>-209.4443972762167</c:v>
                </c:pt>
                <c:pt idx="295">
                  <c:v>-210.03831568907643</c:v>
                </c:pt>
                <c:pt idx="296">
                  <c:v>-210.62224835793518</c:v>
                </c:pt>
                <c:pt idx="297">
                  <c:v>-211.1964091105809</c:v>
                </c:pt>
                <c:pt idx="298">
                  <c:v>-211.76100743921918</c:v>
                </c:pt>
                <c:pt idx="299">
                  <c:v>-212.31624850767344</c:v>
                </c:pt>
                <c:pt idx="300">
                  <c:v>-212.862333168063</c:v>
                </c:pt>
                <c:pt idx="301">
                  <c:v>-213.39945798592387</c:v>
                </c:pt>
                <c:pt idx="302">
                  <c:v>-213.92781527282034</c:v>
                </c:pt>
                <c:pt idx="303">
                  <c:v>-214.44759312557395</c:v>
                </c:pt>
                <c:pt idx="304">
                  <c:v>-214.95897547130795</c:v>
                </c:pt>
                <c:pt idx="305">
                  <c:v>-215.46214211757396</c:v>
                </c:pt>
                <c:pt idx="306">
                  <c:v>-215.9572688068894</c:v>
                </c:pt>
                <c:pt idx="307">
                  <c:v>-216.44452727507587</c:v>
                </c:pt>
                <c:pt idx="308">
                  <c:v>-216.92408531283868</c:v>
                </c:pt>
                <c:pt idx="309">
                  <c:v>-217.3961068300826</c:v>
                </c:pt>
                <c:pt idx="310">
                  <c:v>-217.86075192250331</c:v>
                </c:pt>
                <c:pt idx="311">
                  <c:v>-218.31817694003684</c:v>
                </c:pt>
                <c:pt idx="312">
                  <c:v>-218.76853455679131</c:v>
                </c:pt>
                <c:pt idx="313">
                  <c:v>-219.21197384211973</c:v>
                </c:pt>
                <c:pt idx="314">
                  <c:v>-219.64864033252746</c:v>
                </c:pt>
                <c:pt idx="315">
                  <c:v>-220.07867610413965</c:v>
                </c:pt>
                <c:pt idx="316">
                  <c:v>-220.50221984548028</c:v>
                </c:pt>
                <c:pt idx="317">
                  <c:v>-220.91940693034411</c:v>
                </c:pt>
                <c:pt idx="318">
                  <c:v>-221.3303694905625</c:v>
                </c:pt>
                <c:pt idx="319">
                  <c:v>-221.73523648849016</c:v>
                </c:pt>
                <c:pt idx="320">
                  <c:v>-222.13413378905656</c:v>
                </c:pt>
                <c:pt idx="321">
                  <c:v>-222.52718423124648</c:v>
                </c:pt>
                <c:pt idx="322">
                  <c:v>-222.91450769888874</c:v>
                </c:pt>
                <c:pt idx="323">
                  <c:v>-223.29622119064942</c:v>
                </c:pt>
                <c:pt idx="324">
                  <c:v>-223.67243888913768</c:v>
                </c:pt>
                <c:pt idx="325">
                  <c:v>-224.04327222904635</c:v>
                </c:pt>
                <c:pt idx="326">
                  <c:v>-224.40882996425975</c:v>
                </c:pt>
                <c:pt idx="327">
                  <c:v>-224.76921823387204</c:v>
                </c:pt>
                <c:pt idx="328">
                  <c:v>-225.124540627069</c:v>
                </c:pt>
                <c:pt idx="329">
                  <c:v>-225.47489824683339</c:v>
                </c:pt>
                <c:pt idx="330">
                  <c:v>-225.8203897724425</c:v>
                </c:pt>
                <c:pt idx="331">
                  <c:v>-226.16111152073404</c:v>
                </c:pt>
                <c:pt idx="332">
                  <c:v>-226.49715750611989</c:v>
                </c:pt>
                <c:pt idx="333">
                  <c:v>-226.82861949933664</c:v>
                </c:pt>
                <c:pt idx="334">
                  <c:v>-227.15558708492281</c:v>
                </c:pt>
                <c:pt idx="335">
                  <c:v>-227.47814771742031</c:v>
                </c:pt>
                <c:pt idx="336">
                  <c:v>-227.79638677629887</c:v>
                </c:pt>
                <c:pt idx="337">
                  <c:v>-228.11038761960816</c:v>
                </c:pt>
                <c:pt idx="338">
                  <c:v>-228.4202316363625</c:v>
                </c:pt>
                <c:pt idx="339">
                  <c:v>-228.72599829766941</c:v>
                </c:pt>
                <c:pt idx="340">
                  <c:v>-229.02776520661106</c:v>
                </c:pt>
                <c:pt idx="341">
                  <c:v>-229.32560814689461</c:v>
                </c:pt>
                <c:pt idx="342">
                  <c:v>-229.61960113028493</c:v>
                </c:pt>
                <c:pt idx="343">
                  <c:v>-229.90981644283778</c:v>
                </c:pt>
                <c:pt idx="344">
                  <c:v>-230.1963246899511</c:v>
                </c:pt>
                <c:pt idx="345">
                  <c:v>-230.4791948402538</c:v>
                </c:pt>
                <c:pt idx="346">
                  <c:v>-230.75849426835271</c:v>
                </c:pt>
                <c:pt idx="347">
                  <c:v>-231.03428879645807</c:v>
                </c:pt>
                <c:pt idx="348">
                  <c:v>-231.30664273490979</c:v>
                </c:pt>
                <c:pt idx="349">
                  <c:v>-231.5756189216265</c:v>
                </c:pt>
                <c:pt idx="350">
                  <c:v>-231.84127876049953</c:v>
                </c:pt>
                <c:pt idx="351">
                  <c:v>-232.10368225875524</c:v>
                </c:pt>
                <c:pt idx="352">
                  <c:v>-232.36288806330816</c:v>
                </c:pt>
                <c:pt idx="353">
                  <c:v>-232.61895349612814</c:v>
                </c:pt>
                <c:pt idx="354">
                  <c:v>-232.87193458864485</c:v>
                </c:pt>
                <c:pt idx="355">
                  <c:v>-233.12188611521208</c:v>
                </c:pt>
                <c:pt idx="356">
                  <c:v>-233.36886162565528</c:v>
                </c:pt>
                <c:pt idx="357">
                  <c:v>-233.6129134769248</c:v>
                </c:pt>
                <c:pt idx="358">
                  <c:v>-233.85409286387741</c:v>
                </c:pt>
                <c:pt idx="359">
                  <c:v>-234.09244984920838</c:v>
                </c:pt>
                <c:pt idx="360">
                  <c:v>-234.32803339255634</c:v>
                </c:pt>
                <c:pt idx="361">
                  <c:v>-234.5608913788019</c:v>
                </c:pt>
                <c:pt idx="362">
                  <c:v>-234.79107064558281</c:v>
                </c:pt>
                <c:pt idx="363">
                  <c:v>-235.01861701004472</c:v>
                </c:pt>
                <c:pt idx="364">
                  <c:v>-235.24357529485002</c:v>
                </c:pt>
                <c:pt idx="365">
                  <c:v>-235.46598935346375</c:v>
                </c:pt>
                <c:pt idx="366">
                  <c:v>-235.68590209473723</c:v>
                </c:pt>
                <c:pt idx="367">
                  <c:v>-235.90335550680788</c:v>
                </c:pt>
                <c:pt idx="368">
                  <c:v>-236.11839068033566</c:v>
                </c:pt>
                <c:pt idx="369">
                  <c:v>-236.3310478310932</c:v>
                </c:pt>
                <c:pt idx="370">
                  <c:v>-236.54136632192888</c:v>
                </c:pt>
                <c:pt idx="371">
                  <c:v>-236.74938468412012</c:v>
                </c:pt>
                <c:pt idx="372">
                  <c:v>-236.95514063813422</c:v>
                </c:pt>
                <c:pt idx="373">
                  <c:v>-237.15867111381391</c:v>
                </c:pt>
                <c:pt idx="374">
                  <c:v>-237.36001227000358</c:v>
                </c:pt>
                <c:pt idx="375">
                  <c:v>-237.55919951363296</c:v>
                </c:pt>
                <c:pt idx="376">
                  <c:v>-237.75626751827303</c:v>
                </c:pt>
                <c:pt idx="377">
                  <c:v>-237.95125024218007</c:v>
                </c:pt>
                <c:pt idx="378">
                  <c:v>-238.14418094584232</c:v>
                </c:pt>
                <c:pt idx="379">
                  <c:v>-238.33509220904381</c:v>
                </c:pt>
                <c:pt idx="380">
                  <c:v>-238.52401594745925</c:v>
                </c:pt>
                <c:pt idx="381">
                  <c:v>-238.7109834287935</c:v>
                </c:pt>
                <c:pt idx="382">
                  <c:v>-238.89602528847968</c:v>
                </c:pt>
                <c:pt idx="383">
                  <c:v>-239.07917154494717</c:v>
                </c:pt>
                <c:pt idx="384">
                  <c:v>-239.26045161447391</c:v>
                </c:pt>
                <c:pt idx="385">
                  <c:v>-239.43989432563382</c:v>
                </c:pt>
                <c:pt idx="386">
                  <c:v>-239.61752793335157</c:v>
                </c:pt>
                <c:pt idx="387">
                  <c:v>-239.79338013257635</c:v>
                </c:pt>
                <c:pt idx="388">
                  <c:v>-239.96747807158542</c:v>
                </c:pt>
                <c:pt idx="389">
                  <c:v>-240.13984836492858</c:v>
                </c:pt>
                <c:pt idx="390">
                  <c:v>-240.31051710602367</c:v>
                </c:pt>
                <c:pt idx="391">
                  <c:v>-240.47950987941365</c:v>
                </c:pt>
                <c:pt idx="392">
                  <c:v>-240.6468517726951</c:v>
                </c:pt>
                <c:pt idx="393">
                  <c:v>-240.81256738812726</c:v>
                </c:pt>
                <c:pt idx="394">
                  <c:v>-240.97668085393144</c:v>
                </c:pt>
                <c:pt idx="395">
                  <c:v>-241.13921583528978</c:v>
                </c:pt>
                <c:pt idx="396">
                  <c:v>-241.30019554505159</c:v>
                </c:pt>
                <c:pt idx="397">
                  <c:v>-241.45964275415642</c:v>
                </c:pt>
                <c:pt idx="398">
                  <c:v>-241.61757980178174</c:v>
                </c:pt>
                <c:pt idx="399">
                  <c:v>-241.77402860522307</c:v>
                </c:pt>
                <c:pt idx="400">
                  <c:v>-241.92901066951461</c:v>
                </c:pt>
                <c:pt idx="401">
                  <c:v>-242.08254709679792</c:v>
                </c:pt>
                <c:pt idx="402">
                  <c:v>-242.23465859544552</c:v>
                </c:pt>
                <c:pt idx="403">
                  <c:v>-242.38536548894663</c:v>
                </c:pt>
                <c:pt idx="404">
                  <c:v>-242.53468772456233</c:v>
                </c:pt>
                <c:pt idx="405">
                  <c:v>-242.68264488175618</c:v>
                </c:pt>
                <c:pt idx="406">
                  <c:v>-242.82925618040676</c:v>
                </c:pt>
                <c:pt idx="407">
                  <c:v>-242.97454048880923</c:v>
                </c:pt>
                <c:pt idx="408">
                  <c:v>-243.1185163314704</c:v>
                </c:pt>
                <c:pt idx="409">
                  <c:v>-243.26120189670482</c:v>
                </c:pt>
                <c:pt idx="410">
                  <c:v>-243.40261504403662</c:v>
                </c:pt>
                <c:pt idx="411">
                  <c:v>-243.54277331141253</c:v>
                </c:pt>
                <c:pt idx="412">
                  <c:v>-243.6816939222322</c:v>
                </c:pt>
                <c:pt idx="413">
                  <c:v>-243.81939379220009</c:v>
                </c:pt>
                <c:pt idx="414">
                  <c:v>-243.95588953600461</c:v>
                </c:pt>
                <c:pt idx="415">
                  <c:v>-244.09119747382925</c:v>
                </c:pt>
                <c:pt idx="416">
                  <c:v>-244.22533363769998</c:v>
                </c:pt>
                <c:pt idx="417">
                  <c:v>-244.35831377767437</c:v>
                </c:pt>
                <c:pt idx="418">
                  <c:v>-244.49015336787579</c:v>
                </c:pt>
                <c:pt idx="419">
                  <c:v>-244.62086761237811</c:v>
                </c:pt>
                <c:pt idx="420">
                  <c:v>-244.75047145094413</c:v>
                </c:pt>
                <c:pt idx="421">
                  <c:v>-244.87897956462234</c:v>
                </c:pt>
                <c:pt idx="422">
                  <c:v>-245.00640638120603</c:v>
                </c:pt>
                <c:pt idx="423">
                  <c:v>-245.13276608055781</c:v>
                </c:pt>
                <c:pt idx="424">
                  <c:v>-245.25807259980451</c:v>
                </c:pt>
                <c:pt idx="425">
                  <c:v>-245.3823396384044</c:v>
                </c:pt>
                <c:pt idx="426">
                  <c:v>-245.50558066309202</c:v>
                </c:pt>
                <c:pt idx="427">
                  <c:v>-245.62780891270233</c:v>
                </c:pt>
                <c:pt idx="428">
                  <c:v>-245.74903740287886</c:v>
                </c:pt>
                <c:pt idx="429">
                  <c:v>-245.86927893066769</c:v>
                </c:pt>
                <c:pt idx="430">
                  <c:v>-245.98854607900176</c:v>
                </c:pt>
                <c:pt idx="431">
                  <c:v>-246.10685122107742</c:v>
                </c:pt>
                <c:pt idx="432">
                  <c:v>-246.2242065246262</c:v>
                </c:pt>
                <c:pt idx="433">
                  <c:v>-246.34062395608566</c:v>
                </c:pt>
                <c:pt idx="434">
                  <c:v>-246.45611528467049</c:v>
                </c:pt>
                <c:pt idx="435">
                  <c:v>-246.57069208634795</c:v>
                </c:pt>
                <c:pt idx="436">
                  <c:v>-246.68436574771914</c:v>
                </c:pt>
                <c:pt idx="437">
                  <c:v>-246.79714746980932</c:v>
                </c:pt>
                <c:pt idx="438">
                  <c:v>-246.90904827176945</c:v>
                </c:pt>
                <c:pt idx="439">
                  <c:v>-247.02007899449109</c:v>
                </c:pt>
                <c:pt idx="440">
                  <c:v>-247.13025030413726</c:v>
                </c:pt>
                <c:pt idx="441">
                  <c:v>-247.23957269559145</c:v>
                </c:pt>
                <c:pt idx="442">
                  <c:v>-247.34805649582677</c:v>
                </c:pt>
                <c:pt idx="443">
                  <c:v>-247.45571186719735</c:v>
                </c:pt>
                <c:pt idx="444">
                  <c:v>-247.56254881065433</c:v>
                </c:pt>
                <c:pt idx="445">
                  <c:v>-247.66857716888779</c:v>
                </c:pt>
                <c:pt idx="446">
                  <c:v>-247.77380662939731</c:v>
                </c:pt>
                <c:pt idx="447">
                  <c:v>-247.87824672749238</c:v>
                </c:pt>
                <c:pt idx="448">
                  <c:v>-247.98190684922488</c:v>
                </c:pt>
                <c:pt idx="449">
                  <c:v>-248.08479623425504</c:v>
                </c:pt>
                <c:pt idx="450">
                  <c:v>-248.18692397865289</c:v>
                </c:pt>
                <c:pt idx="451">
                  <c:v>-248.28829903763676</c:v>
                </c:pt>
                <c:pt idx="452">
                  <c:v>-248.38893022825044</c:v>
                </c:pt>
                <c:pt idx="453">
                  <c:v>-248.48882623198025</c:v>
                </c:pt>
                <c:pt idx="454">
                  <c:v>-248.58799559731438</c:v>
                </c:pt>
                <c:pt idx="455">
                  <c:v>-248.68644674224481</c:v>
                </c:pt>
                <c:pt idx="456">
                  <c:v>-248.78418795671442</c:v>
                </c:pt>
                <c:pt idx="457">
                  <c:v>-248.88122740500972</c:v>
                </c:pt>
                <c:pt idx="458">
                  <c:v>-248.97757312810126</c:v>
                </c:pt>
                <c:pt idx="459">
                  <c:v>-249.07323304593245</c:v>
                </c:pt>
                <c:pt idx="460">
                  <c:v>-249.16821495965883</c:v>
                </c:pt>
                <c:pt idx="461">
                  <c:v>-249.26252655383792</c:v>
                </c:pt>
                <c:pt idx="462">
                  <c:v>-249.35617539857225</c:v>
                </c:pt>
                <c:pt idx="463">
                  <c:v>-249.44916895160537</c:v>
                </c:pt>
                <c:pt idx="464">
                  <c:v>-249.54151456037312</c:v>
                </c:pt>
                <c:pt idx="465">
                  <c:v>-249.63321946401044</c:v>
                </c:pt>
                <c:pt idx="466">
                  <c:v>-249.72429079531543</c:v>
                </c:pt>
                <c:pt idx="467">
                  <c:v>-249.81473558267123</c:v>
                </c:pt>
                <c:pt idx="468">
                  <c:v>-249.90456075192691</c:v>
                </c:pt>
                <c:pt idx="469">
                  <c:v>-249.99377312823876</c:v>
                </c:pt>
                <c:pt idx="470">
                  <c:v>-250.08237943787213</c:v>
                </c:pt>
                <c:pt idx="471">
                  <c:v>-250.17038630996564</c:v>
                </c:pt>
                <c:pt idx="472">
                  <c:v>-250.25780027825783</c:v>
                </c:pt>
                <c:pt idx="473">
                  <c:v>-250.34462778277813</c:v>
                </c:pt>
                <c:pt idx="474">
                  <c:v>-250.43087517150204</c:v>
                </c:pt>
                <c:pt idx="475">
                  <c:v>-250.51654870197189</c:v>
                </c:pt>
                <c:pt idx="476">
                  <c:v>-250.60165454288401</c:v>
                </c:pt>
                <c:pt idx="477">
                  <c:v>-250.68619877564305</c:v>
                </c:pt>
                <c:pt idx="478">
                  <c:v>-250.77018739588391</c:v>
                </c:pt>
                <c:pt idx="479">
                  <c:v>-250.85362631496278</c:v>
                </c:pt>
                <c:pt idx="480">
                  <c:v>-250.93652136141708</c:v>
                </c:pt>
                <c:pt idx="481">
                  <c:v>-251.01887828239592</c:v>
                </c:pt>
                <c:pt idx="482">
                  <c:v>-251.10070274506108</c:v>
                </c:pt>
                <c:pt idx="483">
                  <c:v>-251.18200033795966</c:v>
                </c:pt>
                <c:pt idx="484">
                  <c:v>-251.26277657236903</c:v>
                </c:pt>
                <c:pt idx="485">
                  <c:v>-251.34303688361405</c:v>
                </c:pt>
                <c:pt idx="486">
                  <c:v>-251.4227866323584</c:v>
                </c:pt>
                <c:pt idx="487">
                  <c:v>-251.50203110586938</c:v>
                </c:pt>
                <c:pt idx="488">
                  <c:v>-251.580775519258</c:v>
                </c:pt>
                <c:pt idx="489">
                  <c:v>-251.6590250166935</c:v>
                </c:pt>
                <c:pt idx="490">
                  <c:v>-251.73678467259447</c:v>
                </c:pt>
                <c:pt idx="491">
                  <c:v>-251.81405949279579</c:v>
                </c:pt>
                <c:pt idx="492">
                  <c:v>-251.89085441569264</c:v>
                </c:pt>
                <c:pt idx="493">
                  <c:v>-251.96717431336208</c:v>
                </c:pt>
                <c:pt idx="494">
                  <c:v>-252.04302399266214</c:v>
                </c:pt>
                <c:pt idx="495">
                  <c:v>-252.11840819631001</c:v>
                </c:pt>
                <c:pt idx="496">
                  <c:v>-252.19333160393833</c:v>
                </c:pt>
                <c:pt idx="497">
                  <c:v>-252.26779883313168</c:v>
                </c:pt>
                <c:pt idx="498">
                  <c:v>-252.34181444044219</c:v>
                </c:pt>
                <c:pt idx="499">
                  <c:v>-252.41538292238596</c:v>
                </c:pt>
                <c:pt idx="500">
                  <c:v>-252.48850871642031</c:v>
                </c:pt>
                <c:pt idx="501">
                  <c:v>-252.56119620190145</c:v>
                </c:pt>
                <c:pt idx="502">
                  <c:v>-252.63344970102457</c:v>
                </c:pt>
                <c:pt idx="503">
                  <c:v>-252.70527347974553</c:v>
                </c:pt>
                <c:pt idx="504">
                  <c:v>-252.77667174868503</c:v>
                </c:pt>
                <c:pt idx="505">
                  <c:v>-252.84764866401545</c:v>
                </c:pt>
                <c:pt idx="506">
                  <c:v>-252.91820832833099</c:v>
                </c:pt>
                <c:pt idx="507">
                  <c:v>-252.98835479150125</c:v>
                </c:pt>
                <c:pt idx="508">
                  <c:v>-253.05809205150865</c:v>
                </c:pt>
                <c:pt idx="509">
                  <c:v>-253.12742405527035</c:v>
                </c:pt>
                <c:pt idx="510">
                  <c:v>-253.19635469944421</c:v>
                </c:pt>
                <c:pt idx="511">
                  <c:v>-253.26488783122022</c:v>
                </c:pt>
                <c:pt idx="512">
                  <c:v>-253.33302724909703</c:v>
                </c:pt>
                <c:pt idx="513">
                  <c:v>-253.40077670364349</c:v>
                </c:pt>
                <c:pt idx="514">
                  <c:v>-253.46813989824699</c:v>
                </c:pt>
                <c:pt idx="515">
                  <c:v>-253.53512048984706</c:v>
                </c:pt>
                <c:pt idx="516">
                  <c:v>-253.60172208965614</c:v>
                </c:pt>
                <c:pt idx="517">
                  <c:v>-253.66794826386649</c:v>
                </c:pt>
                <c:pt idx="518">
                  <c:v>-253.7338025343447</c:v>
                </c:pt>
                <c:pt idx="519">
                  <c:v>-253.79928837931291</c:v>
                </c:pt>
                <c:pt idx="520">
                  <c:v>-253.86440923401813</c:v>
                </c:pt>
                <c:pt idx="521">
                  <c:v>-253.92916849138905</c:v>
                </c:pt>
                <c:pt idx="522">
                  <c:v>-253.99356950268117</c:v>
                </c:pt>
                <c:pt idx="523">
                  <c:v>-254.05761557810985</c:v>
                </c:pt>
                <c:pt idx="524">
                  <c:v>-254.12130998747256</c:v>
                </c:pt>
                <c:pt idx="525">
                  <c:v>-254.18465596075941</c:v>
                </c:pt>
                <c:pt idx="526">
                  <c:v>-254.24765668875287</c:v>
                </c:pt>
                <c:pt idx="527">
                  <c:v>-254.31031532361703</c:v>
                </c:pt>
                <c:pt idx="528">
                  <c:v>-254.37263497947592</c:v>
                </c:pt>
                <c:pt idx="529">
                  <c:v>-254.43461873298185</c:v>
                </c:pt>
                <c:pt idx="530">
                  <c:v>-254.4962696238735</c:v>
                </c:pt>
                <c:pt idx="531">
                  <c:v>-254.55759065552436</c:v>
                </c:pt>
                <c:pt idx="532">
                  <c:v>-254.61858479548127</c:v>
                </c:pt>
                <c:pt idx="533">
                  <c:v>-254.67925497599339</c:v>
                </c:pt>
                <c:pt idx="534">
                  <c:v>-254.73960409453235</c:v>
                </c:pt>
                <c:pt idx="535">
                  <c:v>-254.79963501430296</c:v>
                </c:pt>
                <c:pt idx="536">
                  <c:v>-254.85935056474477</c:v>
                </c:pt>
                <c:pt idx="537">
                  <c:v>-254.91875354202557</c:v>
                </c:pt>
                <c:pt idx="538">
                  <c:v>-254.97784670952566</c:v>
                </c:pt>
                <c:pt idx="539">
                  <c:v>-255.03663279831437</c:v>
                </c:pt>
                <c:pt idx="540">
                  <c:v>-255.09511450761767</c:v>
                </c:pt>
                <c:pt idx="541">
                  <c:v>-255.15329450527821</c:v>
                </c:pt>
                <c:pt idx="542">
                  <c:v>-255.21117542820741</c:v>
                </c:pt>
                <c:pt idx="543">
                  <c:v>-255.26875988282967</c:v>
                </c:pt>
                <c:pt idx="544">
                  <c:v>-255.32605044551906</c:v>
                </c:pt>
                <c:pt idx="545">
                  <c:v>-255.38304966302854</c:v>
                </c:pt>
                <c:pt idx="546">
                  <c:v>-255.43976005291208</c:v>
                </c:pt>
                <c:pt idx="547">
                  <c:v>-255.49618410393924</c:v>
                </c:pt>
                <c:pt idx="548">
                  <c:v>-255.55232427650319</c:v>
                </c:pt>
                <c:pt idx="549">
                  <c:v>-255.60818300302157</c:v>
                </c:pt>
                <c:pt idx="550">
                  <c:v>-255.66376268833071</c:v>
                </c:pt>
                <c:pt idx="551">
                  <c:v>-255.71906571007321</c:v>
                </c:pt>
                <c:pt idx="552">
                  <c:v>-255.77409441907918</c:v>
                </c:pt>
                <c:pt idx="553">
                  <c:v>-255.82885113974081</c:v>
                </c:pt>
                <c:pt idx="554">
                  <c:v>-255.88333817038108</c:v>
                </c:pt>
                <c:pt idx="555">
                  <c:v>-255.9375577836162</c:v>
                </c:pt>
                <c:pt idx="556">
                  <c:v>-255.99151222671185</c:v>
                </c:pt>
                <c:pt idx="557">
                  <c:v>-256.045203721934</c:v>
                </c:pt>
                <c:pt idx="558">
                  <c:v>-256.0986344668936</c:v>
                </c:pt>
                <c:pt idx="559">
                  <c:v>-256.15180663488553</c:v>
                </c:pt>
                <c:pt idx="560">
                  <c:v>-256.20472237522267</c:v>
                </c:pt>
                <c:pt idx="561">
                  <c:v>-256.25738381356342</c:v>
                </c:pt>
                <c:pt idx="562">
                  <c:v>-256.30979305223508</c:v>
                </c:pt>
                <c:pt idx="563">
                  <c:v>-256.36195217055092</c:v>
                </c:pt>
                <c:pt idx="564">
                  <c:v>-256.41386322512301</c:v>
                </c:pt>
                <c:pt idx="565">
                  <c:v>-256.4655282501692</c:v>
                </c:pt>
                <c:pt idx="566">
                  <c:v>-256.51694925781601</c:v>
                </c:pt>
                <c:pt idx="567">
                  <c:v>-256.56812823839562</c:v>
                </c:pt>
                <c:pt idx="568">
                  <c:v>-256.61906716073918</c:v>
                </c:pt>
                <c:pt idx="569">
                  <c:v>-256.66976797246457</c:v>
                </c:pt>
                <c:pt idx="570">
                  <c:v>-256.72023260025998</c:v>
                </c:pt>
                <c:pt idx="571">
                  <c:v>-256.77046295016305</c:v>
                </c:pt>
                <c:pt idx="572">
                  <c:v>-256.82046090783535</c:v>
                </c:pt>
                <c:pt idx="573">
                  <c:v>-256.87022833883248</c:v>
                </c:pt>
                <c:pt idx="574">
                  <c:v>-256.91976708887029</c:v>
                </c:pt>
                <c:pt idx="575">
                  <c:v>-256.96907898408642</c:v>
                </c:pt>
                <c:pt idx="576">
                  <c:v>-257.01816583129801</c:v>
                </c:pt>
                <c:pt idx="577">
                  <c:v>-257.06702941825552</c:v>
                </c:pt>
                <c:pt idx="578">
                  <c:v>-257.11567151389204</c:v>
                </c:pt>
                <c:pt idx="579">
                  <c:v>-257.16409386856935</c:v>
                </c:pt>
                <c:pt idx="580">
                  <c:v>-257.21229821431979</c:v>
                </c:pt>
                <c:pt idx="581">
                  <c:v>-257.26028626508423</c:v>
                </c:pt>
                <c:pt idx="582">
                  <c:v>-257.3080597169469</c:v>
                </c:pt>
                <c:pt idx="583">
                  <c:v>-257.35562024836611</c:v>
                </c:pt>
                <c:pt idx="584">
                  <c:v>-257.40296952040148</c:v>
                </c:pt>
                <c:pt idx="585">
                  <c:v>-257.4501091769381</c:v>
                </c:pt>
                <c:pt idx="586">
                  <c:v>-257.49704084490651</c:v>
                </c:pt>
                <c:pt idx="587">
                  <c:v>-257.5437661345</c:v>
                </c:pt>
                <c:pt idx="588">
                  <c:v>-257.59028663938835</c:v>
                </c:pt>
                <c:pt idx="589">
                  <c:v>-257.63660393692817</c:v>
                </c:pt>
                <c:pt idx="590">
                  <c:v>-257.68271958837022</c:v>
                </c:pt>
                <c:pt idx="591">
                  <c:v>-257.72863513906361</c:v>
                </c:pt>
                <c:pt idx="592">
                  <c:v>-257.77435211865679</c:v>
                </c:pt>
                <c:pt idx="593">
                  <c:v>-257.81987204129575</c:v>
                </c:pt>
                <c:pt idx="594">
                  <c:v>-257.86519640581878</c:v>
                </c:pt>
                <c:pt idx="595">
                  <c:v>-257.91032669594875</c:v>
                </c:pt>
                <c:pt idx="596">
                  <c:v>-257.95526438048262</c:v>
                </c:pt>
                <c:pt idx="597">
                  <c:v>-258.00001091347724</c:v>
                </c:pt>
                <c:pt idx="598">
                  <c:v>-258.04456773443383</c:v>
                </c:pt>
                <c:pt idx="599">
                  <c:v>-258.08893626847816</c:v>
                </c:pt>
                <c:pt idx="600">
                  <c:v>-258.13311792653923</c:v>
                </c:pt>
                <c:pt idx="601">
                  <c:v>-258.17711410552477</c:v>
                </c:pt>
                <c:pt idx="602">
                  <c:v>-258.22092618849439</c:v>
                </c:pt>
                <c:pt idx="603">
                  <c:v>-258.26455554482976</c:v>
                </c:pt>
                <c:pt idx="604">
                  <c:v>-258.30800353040286</c:v>
                </c:pt>
                <c:pt idx="605">
                  <c:v>-258.35127148774143</c:v>
                </c:pt>
                <c:pt idx="606">
                  <c:v>-260.31135651519816</c:v>
                </c:pt>
                <c:pt idx="607">
                  <c:v>-261.95252268914902</c:v>
                </c:pt>
                <c:pt idx="608">
                  <c:v>-263.3609951379255</c:v>
                </c:pt>
                <c:pt idx="609">
                  <c:v>-264.59449059758919</c:v>
                </c:pt>
                <c:pt idx="610">
                  <c:v>-265.69308240396276</c:v>
                </c:pt>
                <c:pt idx="611">
                  <c:v>-266.6854540086552</c:v>
                </c:pt>
                <c:pt idx="612">
                  <c:v>-267.5926713041419</c:v>
                </c:pt>
                <c:pt idx="613">
                  <c:v>-268.43055005722965</c:v>
                </c:pt>
                <c:pt idx="614">
                  <c:v>-269.21119273609929</c:v>
                </c:pt>
                <c:pt idx="615">
                  <c:v>-269.94401571436083</c:v>
                </c:pt>
                <c:pt idx="616">
                  <c:v>-270.63645357513502</c:v>
                </c:pt>
                <c:pt idx="617">
                  <c:v>-271.29445298098506</c:v>
                </c:pt>
                <c:pt idx="618">
                  <c:v>-271.56858194302288</c:v>
                </c:pt>
                <c:pt idx="619">
                  <c:v>-271.83753796018107</c:v>
                </c:pt>
                <c:pt idx="620">
                  <c:v>-272.10161033541362</c:v>
                </c:pt>
                <c:pt idx="621">
                  <c:v>-272.36106676268565</c:v>
                </c:pt>
                <c:pt idx="622">
                  <c:v>-272.6161552966106</c:v>
                </c:pt>
                <c:pt idx="623">
                  <c:v>-272.86710611060471</c:v>
                </c:pt>
                <c:pt idx="624">
                  <c:v>-273.1141330695811</c:v>
                </c:pt>
                <c:pt idx="625">
                  <c:v>-273.35743513961222</c:v>
                </c:pt>
                <c:pt idx="626">
                  <c:v>-273.59719765394038</c:v>
                </c:pt>
                <c:pt idx="627">
                  <c:v>-273.83359345212813</c:v>
                </c:pt>
                <c:pt idx="628">
                  <c:v>-274.06678390693583</c:v>
                </c:pt>
                <c:pt idx="629">
                  <c:v>-274.29691985162566</c:v>
                </c:pt>
                <c:pt idx="630">
                  <c:v>-274.52414241877676</c:v>
                </c:pt>
                <c:pt idx="631">
                  <c:v>-274.74858380030969</c:v>
                </c:pt>
                <c:pt idx="632">
                  <c:v>-274.97036793721986</c:v>
                </c:pt>
                <c:pt idx="633">
                  <c:v>-275.18961114648977</c:v>
                </c:pt>
                <c:pt idx="634">
                  <c:v>-275.40642269175544</c:v>
                </c:pt>
                <c:pt idx="635">
                  <c:v>-275.62090530352827</c:v>
                </c:pt>
                <c:pt idx="636">
                  <c:v>-275.83315565409839</c:v>
                </c:pt>
                <c:pt idx="637">
                  <c:v>-276.04326479165974</c:v>
                </c:pt>
                <c:pt idx="638">
                  <c:v>-276.25131853768551</c:v>
                </c:pt>
                <c:pt idx="639">
                  <c:v>-276.45739785113187</c:v>
                </c:pt>
                <c:pt idx="640">
                  <c:v>-276.66157916265718</c:v>
                </c:pt>
                <c:pt idx="641">
                  <c:v>-276.86393468169786</c:v>
                </c:pt>
                <c:pt idx="642">
                  <c:v>-277.06453267893932</c:v>
                </c:pt>
                <c:pt idx="643">
                  <c:v>-277.26343774645039</c:v>
                </c:pt>
                <c:pt idx="644">
                  <c:v>-277.46071103751774</c:v>
                </c:pt>
                <c:pt idx="645">
                  <c:v>-277.65641048800285</c:v>
                </c:pt>
                <c:pt idx="646">
                  <c:v>-277.85059102086302</c:v>
                </c:pt>
                <c:pt idx="647">
                  <c:v>-278.04330473531166</c:v>
                </c:pt>
                <c:pt idx="648">
                  <c:v>-278.23460108194678</c:v>
                </c:pt>
                <c:pt idx="649">
                  <c:v>-278.42452702504829</c:v>
                </c:pt>
                <c:pt idx="650">
                  <c:v>-278.61312719312832</c:v>
                </c:pt>
                <c:pt idx="651">
                  <c:v>-278.80044401871311</c:v>
                </c:pt>
                <c:pt idx="652">
                  <c:v>-278.98651786824723</c:v>
                </c:pt>
                <c:pt idx="653">
                  <c:v>-279.17138716292322</c:v>
                </c:pt>
                <c:pt idx="654">
                  <c:v>-279.35508849116923</c:v>
                </c:pt>
                <c:pt idx="655">
                  <c:v>-279.53765671345843</c:v>
                </c:pt>
                <c:pt idx="656">
                  <c:v>-279.71912506004549</c:v>
                </c:pt>
                <c:pt idx="657">
                  <c:v>-279.89952522218061</c:v>
                </c:pt>
                <c:pt idx="658">
                  <c:v>-280.07888743730382</c:v>
                </c:pt>
                <c:pt idx="659">
                  <c:v>-280.25724056867841</c:v>
                </c:pt>
                <c:pt idx="660">
                  <c:v>-280.43461217988158</c:v>
                </c:pt>
                <c:pt idx="661">
                  <c:v>-280.61102860453752</c:v>
                </c:pt>
                <c:pt idx="662">
                  <c:v>-280.78651501164177</c:v>
                </c:pt>
                <c:pt idx="663">
                  <c:v>-280.96109546680117</c:v>
                </c:pt>
                <c:pt idx="664">
                  <c:v>-281.13479298968218</c:v>
                </c:pt>
                <c:pt idx="665">
                  <c:v>-281.30762960794038</c:v>
                </c:pt>
                <c:pt idx="666">
                  <c:v>-281.47962640787938</c:v>
                </c:pt>
                <c:pt idx="667">
                  <c:v>-281.65080358206842</c:v>
                </c:pt>
              </c:numCache>
            </c:numRef>
          </c:yVal>
          <c:smooth val="0"/>
          <c:extLst>
            <c:ext xmlns:c16="http://schemas.microsoft.com/office/drawing/2014/chart" uri="{C3380CC4-5D6E-409C-BE32-E72D297353CC}">
              <c16:uniqueId val="{00000001-1E67-4BE6-A307-85FBD3F4DF6A}"/>
            </c:ext>
          </c:extLst>
        </c:ser>
        <c:dLbls>
          <c:showLegendKey val="0"/>
          <c:showVal val="0"/>
          <c:showCatName val="0"/>
          <c:showSerName val="0"/>
          <c:showPercent val="0"/>
          <c:showBubbleSize val="0"/>
        </c:dLbls>
        <c:axId val="156974464"/>
        <c:axId val="156976256"/>
      </c:scatterChart>
      <c:valAx>
        <c:axId val="156941696"/>
        <c:scaling>
          <c:logBase val="10"/>
          <c:orientation val="minMax"/>
          <c:max val="10000000"/>
          <c:min val="1000"/>
        </c:scaling>
        <c:delete val="0"/>
        <c:axPos val="b"/>
        <c:title>
          <c:tx>
            <c:rich>
              <a:bodyPr/>
              <a:lstStyle/>
              <a:p>
                <a:pPr>
                  <a:defRPr sz="800" b="1" i="0" u="none" strike="noStrike" baseline="0">
                    <a:solidFill>
                      <a:srgbClr val="000000"/>
                    </a:solidFill>
                    <a:latin typeface="Arial"/>
                    <a:ea typeface="Arial"/>
                    <a:cs typeface="Arial"/>
                  </a:defRPr>
                </a:pPr>
                <a:r>
                  <a:rPr lang="en-US"/>
                  <a:t>Frequency (Hz)</a:t>
                </a:r>
              </a:p>
            </c:rich>
          </c:tx>
          <c:layout>
            <c:manualLayout>
              <c:xMode val="edge"/>
              <c:yMode val="edge"/>
              <c:x val="0.43375680580762788"/>
              <c:y val="0.88281468722659673"/>
            </c:manualLayout>
          </c:layout>
          <c:overlay val="0"/>
          <c:spPr>
            <a:noFill/>
            <a:ln w="25400">
              <a:noFill/>
            </a:ln>
          </c:spPr>
        </c:title>
        <c:numFmt formatCode="General" sourceLinked="1"/>
        <c:majorTickMark val="out"/>
        <c:minorTickMark val="in"/>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56972544"/>
        <c:crossesAt val="-80"/>
        <c:crossBetween val="midCat"/>
      </c:valAx>
      <c:valAx>
        <c:axId val="156972544"/>
        <c:scaling>
          <c:orientation val="minMax"/>
          <c:min val="-60"/>
        </c:scaling>
        <c:delete val="0"/>
        <c:axPos val="l"/>
        <c:majorGridlines>
          <c:spPr>
            <a:ln w="3175">
              <a:solidFill>
                <a:srgbClr val="000000"/>
              </a:solidFill>
              <a:prstDash val="solid"/>
            </a:ln>
          </c:spPr>
        </c:majorGridlines>
        <c:title>
          <c:tx>
            <c:rich>
              <a:bodyPr/>
              <a:lstStyle/>
              <a:p>
                <a:pPr>
                  <a:defRPr sz="800" b="1" i="0" u="none" strike="noStrike" baseline="0">
                    <a:solidFill>
                      <a:srgbClr val="000000"/>
                    </a:solidFill>
                    <a:latin typeface="Arial"/>
                    <a:ea typeface="Arial"/>
                    <a:cs typeface="Arial"/>
                  </a:defRPr>
                </a:pPr>
                <a:r>
                  <a:rPr lang="en-US"/>
                  <a:t>Gain (db)</a:t>
                </a:r>
              </a:p>
            </c:rich>
          </c:tx>
          <c:layout>
            <c:manualLayout>
              <c:xMode val="edge"/>
              <c:yMode val="edge"/>
              <c:x val="3.0852994555354056E-2"/>
              <c:y val="0.4427094269466312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56941696"/>
        <c:crosses val="autoZero"/>
        <c:crossBetween val="midCat"/>
      </c:valAx>
      <c:valAx>
        <c:axId val="156974464"/>
        <c:scaling>
          <c:logBase val="10"/>
          <c:orientation val="minMax"/>
        </c:scaling>
        <c:delete val="1"/>
        <c:axPos val="b"/>
        <c:numFmt formatCode="General" sourceLinked="1"/>
        <c:majorTickMark val="out"/>
        <c:minorTickMark val="none"/>
        <c:tickLblPos val="none"/>
        <c:crossAx val="156976256"/>
        <c:crosses val="autoZero"/>
        <c:crossBetween val="midCat"/>
      </c:valAx>
      <c:valAx>
        <c:axId val="156976256"/>
        <c:scaling>
          <c:orientation val="minMax"/>
        </c:scaling>
        <c:delete val="0"/>
        <c:axPos val="r"/>
        <c:title>
          <c:tx>
            <c:rich>
              <a:bodyPr/>
              <a:lstStyle/>
              <a:p>
                <a:pPr>
                  <a:defRPr sz="800" b="1" i="0" u="none" strike="noStrike" baseline="0">
                    <a:solidFill>
                      <a:srgbClr val="000000"/>
                    </a:solidFill>
                    <a:latin typeface="Arial"/>
                    <a:ea typeface="Arial"/>
                    <a:cs typeface="Arial"/>
                  </a:defRPr>
                </a:pPr>
                <a:r>
                  <a:rPr lang="en-US"/>
                  <a:t>Phase Margin (Deg)</a:t>
                </a:r>
              </a:p>
            </c:rich>
          </c:tx>
          <c:layout>
            <c:manualLayout>
              <c:xMode val="edge"/>
              <c:yMode val="edge"/>
              <c:x val="0.95462794918330363"/>
              <c:y val="0.36718832020997905"/>
            </c:manualLayout>
          </c:layout>
          <c:overlay val="0"/>
          <c:spPr>
            <a:noFill/>
            <a:ln w="25400">
              <a:noFill/>
            </a:ln>
          </c:spPr>
        </c:title>
        <c:numFmt formatCode="General" sourceLinked="1"/>
        <c:majorTickMark val="cross"/>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56974464"/>
        <c:crosses val="max"/>
        <c:crossBetween val="midCat"/>
      </c:valAx>
      <c:spPr>
        <a:noFill/>
        <a:ln w="12700">
          <a:solidFill>
            <a:srgbClr val="808080"/>
          </a:solidFill>
          <a:prstDash val="solid"/>
        </a:ln>
      </c:spPr>
    </c:plotArea>
    <c:legend>
      <c:legendPos val="t"/>
      <c:layout>
        <c:manualLayout>
          <c:xMode val="edge"/>
          <c:yMode val="edge"/>
          <c:x val="0.76406533575318358"/>
          <c:y val="1.3020833333333511E-2"/>
          <c:w val="0.21597096188747997"/>
          <c:h val="0.14583360673665788"/>
        </c:manualLayout>
      </c:layout>
      <c:overlay val="0"/>
      <c:spPr>
        <a:solidFill>
          <a:srgbClr val="FFFFFF"/>
        </a:solidFill>
        <a:ln w="3175">
          <a:solidFill>
            <a:srgbClr val="000000"/>
          </a:solidFill>
          <a:prstDash val="solid"/>
        </a:ln>
      </c:spPr>
      <c:txPr>
        <a:bodyPr/>
        <a:lstStyle/>
        <a:p>
          <a:pPr>
            <a:defRPr sz="67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50" b="1" i="0" u="none" strike="noStrike" baseline="0">
                <a:solidFill>
                  <a:srgbClr val="000000"/>
                </a:solidFill>
                <a:latin typeface="Arial"/>
                <a:ea typeface="Arial"/>
                <a:cs typeface="Arial"/>
              </a:defRPr>
            </a:pPr>
            <a:r>
              <a:rPr lang="en-US"/>
              <a:t>Comp to Vout</a:t>
            </a:r>
          </a:p>
        </c:rich>
      </c:tx>
      <c:layout>
        <c:manualLayout>
          <c:xMode val="edge"/>
          <c:yMode val="edge"/>
          <c:x val="0.42753699265852635"/>
          <c:y val="3.3766233766233771E-2"/>
        </c:manualLayout>
      </c:layout>
      <c:overlay val="0"/>
      <c:spPr>
        <a:noFill/>
        <a:ln w="25400">
          <a:noFill/>
        </a:ln>
      </c:spPr>
    </c:title>
    <c:autoTitleDeleted val="0"/>
    <c:plotArea>
      <c:layout>
        <c:manualLayout>
          <c:layoutTarget val="inner"/>
          <c:xMode val="edge"/>
          <c:yMode val="edge"/>
          <c:x val="0.11594223410296738"/>
          <c:y val="0.20779247132770992"/>
          <c:w val="0.79166806723432415"/>
          <c:h val="0.60519557274195002"/>
        </c:manualLayout>
      </c:layout>
      <c:scatterChart>
        <c:scatterStyle val="smoothMarker"/>
        <c:varyColors val="0"/>
        <c:ser>
          <c:idx val="2"/>
          <c:order val="0"/>
          <c:tx>
            <c:v>Actual gain</c:v>
          </c:tx>
          <c:spPr>
            <a:ln w="38100">
              <a:solidFill>
                <a:srgbClr val="FF0000"/>
              </a:solidFill>
              <a:prstDash val="solid"/>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Calculations'!$BM$9:$BM$676</c:f>
              <c:numCache>
                <c:formatCode>General</c:formatCode>
                <c:ptCount val="668"/>
                <c:pt idx="0">
                  <c:v>23.443997375287978</c:v>
                </c:pt>
                <c:pt idx="1">
                  <c:v>23.443997705484293</c:v>
                </c:pt>
                <c:pt idx="2">
                  <c:v>23.443998255811515</c:v>
                </c:pt>
                <c:pt idx="3">
                  <c:v>23.443999026269672</c:v>
                </c:pt>
                <c:pt idx="4">
                  <c:v>23.444000016858823</c:v>
                </c:pt>
                <c:pt idx="5">
                  <c:v>23.444001227579037</c:v>
                </c:pt>
                <c:pt idx="6">
                  <c:v>23.444002658430392</c:v>
                </c:pt>
                <c:pt idx="7">
                  <c:v>23.444004309412989</c:v>
                </c:pt>
                <c:pt idx="8">
                  <c:v>23.444006180526937</c:v>
                </c:pt>
                <c:pt idx="9">
                  <c:v>23.444008271772361</c:v>
                </c:pt>
                <c:pt idx="10">
                  <c:v>23.444041291496834</c:v>
                </c:pt>
                <c:pt idx="11">
                  <c:v>23.444096324620944</c:v>
                </c:pt>
                <c:pt idx="12">
                  <c:v>23.444173371519707</c:v>
                </c:pt>
                <c:pt idx="13">
                  <c:v>23.444272432718147</c:v>
                </c:pt>
                <c:pt idx="14">
                  <c:v>23.444393508891292</c:v>
                </c:pt>
                <c:pt idx="15">
                  <c:v>23.444536600864225</c:v>
                </c:pt>
                <c:pt idx="16">
                  <c:v>23.444701709612083</c:v>
                </c:pt>
                <c:pt idx="17">
                  <c:v>23.444888836260056</c:v>
                </c:pt>
                <c:pt idx="18">
                  <c:v>23.445097982083443</c:v>
                </c:pt>
                <c:pt idx="19">
                  <c:v>23.4484008829046</c:v>
                </c:pt>
                <c:pt idx="20">
                  <c:v>23.45390821986307</c:v>
                </c:pt>
                <c:pt idx="21">
                  <c:v>23.461623751464078</c:v>
                </c:pt>
                <c:pt idx="22">
                  <c:v>23.471552749871464</c:v>
                </c:pt>
                <c:pt idx="23">
                  <c:v>23.483702011201089</c:v>
                </c:pt>
                <c:pt idx="24">
                  <c:v>23.498079868807768</c:v>
                </c:pt>
                <c:pt idx="25">
                  <c:v>23.514696209605233</c:v>
                </c:pt>
                <c:pt idx="26">
                  <c:v>23.5335624934674</c:v>
                </c:pt>
                <c:pt idx="27">
                  <c:v>23.554691775767846</c:v>
                </c:pt>
                <c:pt idx="28">
                  <c:v>23.69485530901024</c:v>
                </c:pt>
                <c:pt idx="29">
                  <c:v>23.894524169447177</c:v>
                </c:pt>
                <c:pt idx="30">
                  <c:v>24.157343771348117</c:v>
                </c:pt>
                <c:pt idx="31">
                  <c:v>24.488310186638298</c:v>
                </c:pt>
                <c:pt idx="32">
                  <c:v>24.89402687449104</c:v>
                </c:pt>
                <c:pt idx="33">
                  <c:v>25.383037101062563</c:v>
                </c:pt>
                <c:pt idx="34">
                  <c:v>25.966215698841427</c:v>
                </c:pt>
                <c:pt idx="35">
                  <c:v>26.657132777272324</c:v>
                </c:pt>
                <c:pt idx="36">
                  <c:v>27.472087245142035</c:v>
                </c:pt>
                <c:pt idx="37">
                  <c:v>28.428873710807558</c:v>
                </c:pt>
                <c:pt idx="38">
                  <c:v>29.541484379057618</c:v>
                </c:pt>
                <c:pt idx="39">
                  <c:v>30.802672511005458</c:v>
                </c:pt>
                <c:pt idx="40">
                  <c:v>32.133891887257612</c:v>
                </c:pt>
                <c:pt idx="41">
                  <c:v>33.274926558378148</c:v>
                </c:pt>
                <c:pt idx="42">
                  <c:v>33.707724090895212</c:v>
                </c:pt>
                <c:pt idx="43">
                  <c:v>33.029589493623604</c:v>
                </c:pt>
                <c:pt idx="44">
                  <c:v>31.503460723291635</c:v>
                </c:pt>
                <c:pt idx="45">
                  <c:v>29.67837469540726</c:v>
                </c:pt>
                <c:pt idx="46">
                  <c:v>27.878925623735363</c:v>
                </c:pt>
                <c:pt idx="47">
                  <c:v>26.215051059710902</c:v>
                </c:pt>
                <c:pt idx="48">
                  <c:v>24.70411318633046</c:v>
                </c:pt>
                <c:pt idx="49">
                  <c:v>23.33401178960003</c:v>
                </c:pt>
                <c:pt idx="50">
                  <c:v>22.086118071538344</c:v>
                </c:pt>
                <c:pt idx="51">
                  <c:v>20.942481368814988</c:v>
                </c:pt>
                <c:pt idx="52">
                  <c:v>19.887672741346243</c:v>
                </c:pt>
                <c:pt idx="53">
                  <c:v>18.908919748307895</c:v>
                </c:pt>
                <c:pt idx="54">
                  <c:v>17.995762639525726</c:v>
                </c:pt>
                <c:pt idx="55">
                  <c:v>17.139633295106862</c:v>
                </c:pt>
                <c:pt idx="56">
                  <c:v>16.333476989156775</c:v>
                </c:pt>
                <c:pt idx="57">
                  <c:v>15.571442905068505</c:v>
                </c:pt>
                <c:pt idx="58">
                  <c:v>14.848639673238234</c:v>
                </c:pt>
                <c:pt idx="59">
                  <c:v>14.160944679193605</c:v>
                </c:pt>
                <c:pt idx="60">
                  <c:v>13.504855635944546</c:v>
                </c:pt>
                <c:pt idx="61">
                  <c:v>12.877374707819998</c:v>
                </c:pt>
                <c:pt idx="62">
                  <c:v>12.275917539264313</c:v>
                </c:pt>
                <c:pt idx="63">
                  <c:v>11.698241342279266</c:v>
                </c:pt>
                <c:pt idx="64">
                  <c:v>11.142387624319234</c:v>
                </c:pt>
                <c:pt idx="65">
                  <c:v>10.606636227328751</c:v>
                </c:pt>
                <c:pt idx="66">
                  <c:v>10.08946816463637</c:v>
                </c:pt>
                <c:pt idx="67">
                  <c:v>9.5895353501197551</c:v>
                </c:pt>
                <c:pt idx="68">
                  <c:v>9.1056357664174712</c:v>
                </c:pt>
                <c:pt idx="69">
                  <c:v>8.6366929566514017</c:v>
                </c:pt>
                <c:pt idx="70">
                  <c:v>8.1817389774061962</c:v>
                </c:pt>
                <c:pt idx="71">
                  <c:v>7.7399001417920221</c:v>
                </c:pt>
                <c:pt idx="72">
                  <c:v>7.310385026494421</c:v>
                </c:pt>
                <c:pt idx="73">
                  <c:v>6.8924743276013034</c:v>
                </c:pt>
                <c:pt idx="74">
                  <c:v>6.4855122353242951</c:v>
                </c:pt>
                <c:pt idx="75">
                  <c:v>6.088899063832482</c:v>
                </c:pt>
                <c:pt idx="76">
                  <c:v>5.7020849239624489</c:v>
                </c:pt>
                <c:pt idx="77">
                  <c:v>5.3245642670229385</c:v>
                </c:pt>
                <c:pt idx="78">
                  <c:v>4.9558711598609957</c:v>
                </c:pt>
                <c:pt idx="79">
                  <c:v>4.5955751767397075</c:v>
                </c:pt>
                <c:pt idx="80">
                  <c:v>4.2432778138623481</c:v>
                </c:pt>
                <c:pt idx="81">
                  <c:v>3.8986093486787414</c:v>
                </c:pt>
                <c:pt idx="82">
                  <c:v>3.5612260792799448</c:v>
                </c:pt>
                <c:pt idx="83">
                  <c:v>3.2308078898831107</c:v>
                </c:pt>
                <c:pt idx="84">
                  <c:v>2.9070560971379873</c:v>
                </c:pt>
                <c:pt idx="85">
                  <c:v>2.5896915391449027</c:v>
                </c:pt>
                <c:pt idx="86">
                  <c:v>2.2784528749714652</c:v>
                </c:pt>
                <c:pt idx="87">
                  <c:v>1.973095067334607</c:v>
                </c:pt>
                <c:pt idx="88">
                  <c:v>1.6733880251691313</c:v>
                </c:pt>
                <c:pt idx="89">
                  <c:v>1.3791153861863976</c:v>
                </c:pt>
                <c:pt idx="90">
                  <c:v>1.0900734223600146</c:v>
                </c:pt>
                <c:pt idx="91">
                  <c:v>0.80607005365683893</c:v>
                </c:pt>
                <c:pt idx="92">
                  <c:v>0.52692395734130482</c:v>
                </c:pt>
                <c:pt idx="93">
                  <c:v>0.25246376188218678</c:v>
                </c:pt>
                <c:pt idx="94">
                  <c:v>-1.7472684063777756E-2</c:v>
                </c:pt>
                <c:pt idx="95">
                  <c:v>-0.28303897588541177</c:v>
                </c:pt>
                <c:pt idx="96">
                  <c:v>-0.54438075770894501</c:v>
                </c:pt>
                <c:pt idx="97">
                  <c:v>-0.80163627388657455</c:v>
                </c:pt>
                <c:pt idx="98">
                  <c:v>-1.0549368728440225</c:v>
                </c:pt>
                <c:pt idx="99">
                  <c:v>-1.304407468179825</c:v>
                </c:pt>
                <c:pt idx="100">
                  <c:v>-1.5501669613306122</c:v>
                </c:pt>
                <c:pt idx="101">
                  <c:v>-1.7923286296147702</c:v>
                </c:pt>
                <c:pt idx="102">
                  <c:v>-2.0310004830310096</c:v>
                </c:pt>
                <c:pt idx="103">
                  <c:v>-2.2662855928085621</c:v>
                </c:pt>
                <c:pt idx="104">
                  <c:v>-2.4982823943740509</c:v>
                </c:pt>
                <c:pt idx="105">
                  <c:v>-2.7270849671098607</c:v>
                </c:pt>
                <c:pt idx="106">
                  <c:v>-2.9527832930242641</c:v>
                </c:pt>
                <c:pt idx="107">
                  <c:v>-3.1754634962296908</c:v>
                </c:pt>
                <c:pt idx="108">
                  <c:v>-3.3952080649285836</c:v>
                </c:pt>
                <c:pt idx="109">
                  <c:v>-3.6120960574320771</c:v>
                </c:pt>
                <c:pt idx="110">
                  <c:v>-3.8262032935831298</c:v>
                </c:pt>
                <c:pt idx="111">
                  <c:v>-4.0376025328192666</c:v>
                </c:pt>
                <c:pt idx="112">
                  <c:v>-4.2463636399891902</c:v>
                </c:pt>
                <c:pt idx="113">
                  <c:v>-4.4525537399298516</c:v>
                </c:pt>
                <c:pt idx="114">
                  <c:v>-4.6562373617148491</c:v>
                </c:pt>
                <c:pt idx="115">
                  <c:v>-4.8574765733994134</c:v>
                </c:pt>
                <c:pt idx="116">
                  <c:v>-5.0563311080109283</c:v>
                </c:pt>
                <c:pt idx="117">
                  <c:v>-5.2528584814653616</c:v>
                </c:pt>
                <c:pt idx="118">
                  <c:v>-5.4471141030289383</c:v>
                </c:pt>
                <c:pt idx="119">
                  <c:v>-5.6391513788889478</c:v>
                </c:pt>
                <c:pt idx="120">
                  <c:v>-5.8290218093484638</c:v>
                </c:pt>
                <c:pt idx="121">
                  <c:v>-6.0167750801148117</c:v>
                </c:pt>
                <c:pt idx="122">
                  <c:v>-6.2024591481117124</c:v>
                </c:pt>
                <c:pt idx="123">
                  <c:v>-6.3861203222084875</c:v>
                </c:pt>
                <c:pt idx="124">
                  <c:v>-6.5678033392270461</c:v>
                </c:pt>
                <c:pt idx="125">
                  <c:v>-6.747551435557579</c:v>
                </c:pt>
                <c:pt idx="126">
                  <c:v>-6.9254064146869965</c:v>
                </c:pt>
                <c:pt idx="127">
                  <c:v>-7.1014087109196229</c:v>
                </c:pt>
                <c:pt idx="128">
                  <c:v>-7.2755974495475249</c:v>
                </c:pt>
                <c:pt idx="129">
                  <c:v>-7.4480105037075983</c:v>
                </c:pt>
                <c:pt idx="130">
                  <c:v>-7.6186845481441452</c:v>
                </c:pt>
                <c:pt idx="131">
                  <c:v>-7.7876551100788642</c:v>
                </c:pt>
                <c:pt idx="132">
                  <c:v>-7.9549566173748634</c:v>
                </c:pt>
                <c:pt idx="133">
                  <c:v>-8.1206224441673669</c:v>
                </c:pt>
                <c:pt idx="134">
                  <c:v>-8.2846849541208609</c:v>
                </c:pt>
                <c:pt idx="135">
                  <c:v>-8.4471755414608207</c:v>
                </c:pt>
                <c:pt idx="136">
                  <c:v>-8.6081246699173271</c:v>
                </c:pt>
                <c:pt idx="137">
                  <c:v>-8.7675619097080375</c:v>
                </c:pt>
                <c:pt idx="138">
                  <c:v>-8.9255159726790119</c:v>
                </c:pt>
                <c:pt idx="139">
                  <c:v>-9.0820147457133764</c:v>
                </c:pt>
                <c:pt idx="140">
                  <c:v>-9.2370853225103779</c:v>
                </c:pt>
                <c:pt idx="141">
                  <c:v>-9.3907540338301434</c:v>
                </c:pt>
                <c:pt idx="142">
                  <c:v>-9.5430464762930853</c:v>
                </c:pt>
                <c:pt idx="143">
                  <c:v>-9.6939875398168045</c:v>
                </c:pt>
                <c:pt idx="144">
                  <c:v>-9.8436014337678976</c:v>
                </c:pt>
                <c:pt idx="145">
                  <c:v>-9.9919117119008565</c:v>
                </c:pt>
                <c:pt idx="146">
                  <c:v>-10.138941296151671</c:v>
                </c:pt>
                <c:pt idx="147">
                  <c:v>-10.284712499349151</c:v>
                </c:pt>
                <c:pt idx="148">
                  <c:v>-10.429247046903157</c:v>
                </c:pt>
                <c:pt idx="149">
                  <c:v>-10.572566097525023</c:v>
                </c:pt>
                <c:pt idx="150">
                  <c:v>-10.71469026303201</c:v>
                </c:pt>
                <c:pt idx="151">
                  <c:v>-10.855639627284448</c:v>
                </c:pt>
                <c:pt idx="152">
                  <c:v>-10.995433764301071</c:v>
                </c:pt>
                <c:pt idx="153">
                  <c:v>-11.134091755595488</c:v>
                </c:pt>
                <c:pt idx="154">
                  <c:v>-11.27163220677388</c:v>
                </c:pt>
                <c:pt idx="155">
                  <c:v>-11.408073263431792</c:v>
                </c:pt>
                <c:pt idx="156">
                  <c:v>-11.543432626385535</c:v>
                </c:pt>
                <c:pt idx="157">
                  <c:v>-11.677727566271624</c:v>
                </c:pt>
                <c:pt idx="158">
                  <c:v>-11.810974937545771</c:v>
                </c:pt>
                <c:pt idx="159">
                  <c:v>-11.943191191911048</c:v>
                </c:pt>
                <c:pt idx="160">
                  <c:v>-12.074392391203183</c:v>
                </c:pt>
                <c:pt idx="161">
                  <c:v>-12.204594219759368</c:v>
                </c:pt>
                <c:pt idx="162">
                  <c:v>-12.333811996295378</c:v>
                </c:pt>
                <c:pt idx="163">
                  <c:v>-12.462060685314531</c:v>
                </c:pt>
                <c:pt idx="164">
                  <c:v>-12.58935490807062</c:v>
                </c:pt>
                <c:pt idx="165">
                  <c:v>-12.715708953105748</c:v>
                </c:pt>
                <c:pt idx="166">
                  <c:v>-12.841136786382883</c:v>
                </c:pt>
                <c:pt idx="167">
                  <c:v>-12.965652061031829</c:v>
                </c:pt>
                <c:pt idx="168">
                  <c:v>-13.089268126726344</c:v>
                </c:pt>
                <c:pt idx="169">
                  <c:v>-13.211998038709133</c:v>
                </c:pt>
                <c:pt idx="170">
                  <c:v>-13.333854566480664</c:v>
                </c:pt>
                <c:pt idx="171">
                  <c:v>-13.454850202166726</c:v>
                </c:pt>
                <c:pt idx="172">
                  <c:v>-13.57499716857915</c:v>
                </c:pt>
                <c:pt idx="173">
                  <c:v>-13.694307426983057</c:v>
                </c:pt>
                <c:pt idx="174">
                  <c:v>-13.812792684583544</c:v>
                </c:pt>
                <c:pt idx="175">
                  <c:v>-13.930464401743981</c:v>
                </c:pt>
                <c:pt idx="176">
                  <c:v>-14.047333798947424</c:v>
                </c:pt>
                <c:pt idx="177">
                  <c:v>-14.163411863512149</c:v>
                </c:pt>
                <c:pt idx="178">
                  <c:v>-14.278709356071762</c:v>
                </c:pt>
                <c:pt idx="179">
                  <c:v>-14.393236816829749</c:v>
                </c:pt>
                <c:pt idx="180">
                  <c:v>-14.507004571597911</c:v>
                </c:pt>
                <c:pt idx="181">
                  <c:v>-14.620022737627673</c:v>
                </c:pt>
                <c:pt idx="182">
                  <c:v>-14.732301229242765</c:v>
                </c:pt>
                <c:pt idx="183">
                  <c:v>-14.843849763281407</c:v>
                </c:pt>
                <c:pt idx="184">
                  <c:v>-14.954677864355769</c:v>
                </c:pt>
                <c:pt idx="185">
                  <c:v>-15.064794869936016</c:v>
                </c:pt>
                <c:pt idx="186">
                  <c:v>-15.174209935266008</c:v>
                </c:pt>
                <c:pt idx="187">
                  <c:v>-15.282932038117318</c:v>
                </c:pt>
                <c:pt idx="188">
                  <c:v>-15.390969983387993</c:v>
                </c:pt>
                <c:pt idx="189">
                  <c:v>-15.4983324075521</c:v>
                </c:pt>
                <c:pt idx="190">
                  <c:v>-15.605027782965879</c:v>
                </c:pt>
                <c:pt idx="191">
                  <c:v>-15.711064422036111</c:v>
                </c:pt>
                <c:pt idx="192">
                  <c:v>-15.816450481255895</c:v>
                </c:pt>
                <c:pt idx="193">
                  <c:v>-15.921193965112986</c:v>
                </c:pt>
                <c:pt idx="194">
                  <c:v>-16.025302729875467</c:v>
                </c:pt>
                <c:pt idx="195">
                  <c:v>-16.128784487259427</c:v>
                </c:pt>
                <c:pt idx="196">
                  <c:v>-16.231646807983001</c:v>
                </c:pt>
                <c:pt idx="197">
                  <c:v>-16.33389712521106</c:v>
                </c:pt>
                <c:pt idx="198">
                  <c:v>-16.435542737894572</c:v>
                </c:pt>
                <c:pt idx="199">
                  <c:v>-16.536590814008427</c:v>
                </c:pt>
                <c:pt idx="200">
                  <c:v>-16.637048393691607</c:v>
                </c:pt>
                <c:pt idx="201">
                  <c:v>-16.736922392293017</c:v>
                </c:pt>
                <c:pt idx="202">
                  <c:v>-16.836219603326555</c:v>
                </c:pt>
                <c:pt idx="203">
                  <c:v>-16.934946701338603</c:v>
                </c:pt>
                <c:pt idx="204">
                  <c:v>-17.033110244691031</c:v>
                </c:pt>
                <c:pt idx="205">
                  <c:v>-17.130716678262722</c:v>
                </c:pt>
                <c:pt idx="206">
                  <c:v>-17.227772336072526</c:v>
                </c:pt>
                <c:pt idx="207">
                  <c:v>-17.324283443826335</c:v>
                </c:pt>
                <c:pt idx="208">
                  <c:v>-17.420256121390864</c:v>
                </c:pt>
                <c:pt idx="209">
                  <c:v>-17.51569638519684</c:v>
                </c:pt>
                <c:pt idx="210">
                  <c:v>-17.610610150573834</c:v>
                </c:pt>
                <c:pt idx="211">
                  <c:v>-17.705003234019159</c:v>
                </c:pt>
                <c:pt idx="212">
                  <c:v>-17.798881355403076</c:v>
                </c:pt>
                <c:pt idx="213">
                  <c:v>-17.892250140112406</c:v>
                </c:pt>
                <c:pt idx="214">
                  <c:v>-17.98511512113469</c:v>
                </c:pt>
                <c:pt idx="215">
                  <c:v>-18.07748174108476</c:v>
                </c:pt>
                <c:pt idx="216">
                  <c:v>-18.169355354175764</c:v>
                </c:pt>
                <c:pt idx="217">
                  <c:v>-18.260741228136361</c:v>
                </c:pt>
                <c:pt idx="218">
                  <c:v>-18.351644546075914</c:v>
                </c:pt>
                <c:pt idx="219">
                  <c:v>-18.442070408299386</c:v>
                </c:pt>
                <c:pt idx="220">
                  <c:v>-18.532023834073478</c:v>
                </c:pt>
                <c:pt idx="221">
                  <c:v>-18.621509763345692</c:v>
                </c:pt>
                <c:pt idx="222">
                  <c:v>-18.710533058417759</c:v>
                </c:pt>
                <c:pt idx="223">
                  <c:v>-18.799098505574904</c:v>
                </c:pt>
                <c:pt idx="224">
                  <c:v>-18.887210816672319</c:v>
                </c:pt>
                <c:pt idx="225">
                  <c:v>-18.974874630680286</c:v>
                </c:pt>
                <c:pt idx="226">
                  <c:v>-19.827816791774794</c:v>
                </c:pt>
                <c:pt idx="227">
                  <c:v>-20.640524262276244</c:v>
                </c:pt>
                <c:pt idx="228">
                  <c:v>-21.416637007620984</c:v>
                </c:pt>
                <c:pt idx="229">
                  <c:v>-22.159319784893864</c:v>
                </c:pt>
                <c:pt idx="230">
                  <c:v>-22.871341768242019</c:v>
                </c:pt>
                <c:pt idx="231">
                  <c:v>-23.555140104252512</c:v>
                </c:pt>
                <c:pt idx="232">
                  <c:v>-24.212871151164453</c:v>
                </c:pt>
                <c:pt idx="233">
                  <c:v>-24.846452168104388</c:v>
                </c:pt>
                <c:pt idx="234">
                  <c:v>-25.457595519846691</c:v>
                </c:pt>
                <c:pt idx="235">
                  <c:v>-26.04783695816867</c:v>
                </c:pt>
                <c:pt idx="236">
                  <c:v>-26.618559172811732</c:v>
                </c:pt>
                <c:pt idx="237">
                  <c:v>-27.171011533167363</c:v>
                </c:pt>
                <c:pt idx="238">
                  <c:v>-27.706326738650802</c:v>
                </c:pt>
                <c:pt idx="239">
                  <c:v>-28.225534942317939</c:v>
                </c:pt>
                <c:pt idx="240">
                  <c:v>-28.729575795298693</c:v>
                </c:pt>
                <c:pt idx="241">
                  <c:v>-29.219308769596513</c:v>
                </c:pt>
                <c:pt idx="242">
                  <c:v>-29.695522046932869</c:v>
                </c:pt>
                <c:pt idx="243">
                  <c:v>-30.158940206652574</c:v>
                </c:pt>
                <c:pt idx="244">
                  <c:v>-30.610230902618902</c:v>
                </c:pt>
                <c:pt idx="245">
                  <c:v>-31.050010684826344</c:v>
                </c:pt>
                <c:pt idx="246">
                  <c:v>-31.47885009413023</c:v>
                </c:pt>
                <c:pt idx="247">
                  <c:v>-31.897278136518775</c:v>
                </c:pt>
                <c:pt idx="248">
                  <c:v>-32.305786225580853</c:v>
                </c:pt>
                <c:pt idx="249">
                  <c:v>-32.704831667367436</c:v>
                </c:pt>
                <c:pt idx="250">
                  <c:v>-33.094840750025739</c:v>
                </c:pt>
                <c:pt idx="251">
                  <c:v>-33.476211490871975</c:v>
                </c:pt>
                <c:pt idx="252">
                  <c:v>-33.849316085549177</c:v>
                </c:pt>
                <c:pt idx="253">
                  <c:v>-34.214503097263695</c:v>
                </c:pt>
                <c:pt idx="254">
                  <c:v>-34.572099418552789</c:v>
                </c:pt>
                <c:pt idx="255">
                  <c:v>-34.922412033399148</c:v>
                </c:pt>
                <c:pt idx="256">
                  <c:v>-35.265729603615441</c:v>
                </c:pt>
                <c:pt idx="257">
                  <c:v>-35.602323900139304</c:v>
                </c:pt>
                <c:pt idx="258">
                  <c:v>-35.932451097102657</c:v>
                </c:pt>
                <c:pt idx="259">
                  <c:v>-36.256352944181337</c:v>
                </c:pt>
                <c:pt idx="260">
                  <c:v>-36.574257830722914</c:v>
                </c:pt>
                <c:pt idx="261">
                  <c:v>-36.886381753434449</c:v>
                </c:pt>
                <c:pt idx="262">
                  <c:v>-37.192929197940735</c:v>
                </c:pt>
                <c:pt idx="263">
                  <c:v>-37.494093943259259</c:v>
                </c:pt>
                <c:pt idx="264">
                  <c:v>-37.79005979714745</c:v>
                </c:pt>
                <c:pt idx="265">
                  <c:v>-38.08100126933563</c:v>
                </c:pt>
                <c:pt idx="266">
                  <c:v>-38.367084188841993</c:v>
                </c:pt>
                <c:pt idx="267">
                  <c:v>-38.648466270855984</c:v>
                </c:pt>
                <c:pt idx="268">
                  <c:v>-38.92529763805814</c:v>
                </c:pt>
                <c:pt idx="269">
                  <c:v>-39.197721300704757</c:v>
                </c:pt>
                <c:pt idx="270">
                  <c:v>-39.465873599332674</c:v>
                </c:pt>
                <c:pt idx="271">
                  <c:v>-39.729884613525741</c:v>
                </c:pt>
                <c:pt idx="272">
                  <c:v>-39.989878539819749</c:v>
                </c:pt>
                <c:pt idx="273">
                  <c:v>-40.245974041502031</c:v>
                </c:pt>
                <c:pt idx="274">
                  <c:v>-40.498284572778701</c:v>
                </c:pt>
                <c:pt idx="275">
                  <c:v>-40.746918679532378</c:v>
                </c:pt>
                <c:pt idx="276">
                  <c:v>-40.991980278671001</c:v>
                </c:pt>
                <c:pt idx="277">
                  <c:v>-41.233568917872091</c:v>
                </c:pt>
                <c:pt idx="278">
                  <c:v>-41.471780017351307</c:v>
                </c:pt>
                <c:pt idx="279">
                  <c:v>-41.706705095128626</c:v>
                </c:pt>
                <c:pt idx="280">
                  <c:v>-41.9384319771262</c:v>
                </c:pt>
                <c:pt idx="281">
                  <c:v>-42.167044993307989</c:v>
                </c:pt>
                <c:pt idx="282">
                  <c:v>-42.39262516095976</c:v>
                </c:pt>
                <c:pt idx="283">
                  <c:v>-42.615250356108724</c:v>
                </c:pt>
                <c:pt idx="284">
                  <c:v>-42.834995473992336</c:v>
                </c:pt>
                <c:pt idx="285">
                  <c:v>-43.051932579405673</c:v>
                </c:pt>
                <c:pt idx="286">
                  <c:v>-43.266131047684084</c:v>
                </c:pt>
                <c:pt idx="287">
                  <c:v>-43.47765769701293</c:v>
                </c:pt>
                <c:pt idx="288">
                  <c:v>-43.686576912697035</c:v>
                </c:pt>
                <c:pt idx="289">
                  <c:v>-43.892950763969409</c:v>
                </c:pt>
                <c:pt idx="290">
                  <c:v>-44.096839113870473</c:v>
                </c:pt>
                <c:pt idx="291">
                  <c:v>-44.298299722685677</c:v>
                </c:pt>
                <c:pt idx="292">
                  <c:v>-44.497388345389403</c:v>
                </c:pt>
                <c:pt idx="293">
                  <c:v>-44.694158823507408</c:v>
                </c:pt>
                <c:pt idx="294">
                  <c:v>-44.888663171777196</c:v>
                </c:pt>
                <c:pt idx="295">
                  <c:v>-45.080951659955979</c:v>
                </c:pt>
                <c:pt idx="296">
                  <c:v>-45.271072890098779</c:v>
                </c:pt>
                <c:pt idx="297">
                  <c:v>-45.459073869604524</c:v>
                </c:pt>
                <c:pt idx="298">
                  <c:v>-45.645000080305167</c:v>
                </c:pt>
                <c:pt idx="299">
                  <c:v>-45.828895543852539</c:v>
                </c:pt>
                <c:pt idx="300">
                  <c:v>-46.010802883638505</c:v>
                </c:pt>
                <c:pt idx="301">
                  <c:v>-46.190763383466631</c:v>
                </c:pt>
                <c:pt idx="302">
                  <c:v>-46.368817043177984</c:v>
                </c:pt>
                <c:pt idx="303">
                  <c:v>-46.54500263141874</c:v>
                </c:pt>
                <c:pt idx="304">
                  <c:v>-46.719357735724259</c:v>
                </c:pt>
                <c:pt idx="305">
                  <c:v>-46.891918810081549</c:v>
                </c:pt>
                <c:pt idx="306">
                  <c:v>-47.062721220121311</c:v>
                </c:pt>
                <c:pt idx="307">
                  <c:v>-47.231799286079664</c:v>
                </c:pt>
                <c:pt idx="308">
                  <c:v>-47.399186323660523</c:v>
                </c:pt>
                <c:pt idx="309">
                  <c:v>-47.564914682920616</c:v>
                </c:pt>
                <c:pt idx="310">
                  <c:v>-47.729015785290713</c:v>
                </c:pt>
                <c:pt idx="311">
                  <c:v>-47.891520158839441</c:v>
                </c:pt>
                <c:pt idx="312">
                  <c:v>-48.052457471878853</c:v>
                </c:pt>
                <c:pt idx="313">
                  <c:v>-48.211856565004325</c:v>
                </c:pt>
                <c:pt idx="314">
                  <c:v>-48.369745481655713</c:v>
                </c:pt>
                <c:pt idx="315">
                  <c:v>-48.526151497280814</c:v>
                </c:pt>
                <c:pt idx="316">
                  <c:v>-48.681101147177202</c:v>
                </c:pt>
                <c:pt idx="317">
                  <c:v>-48.834620253083678</c:v>
                </c:pt>
                <c:pt idx="318">
                  <c:v>-48.98673394858811</c:v>
                </c:pt>
                <c:pt idx="319">
                  <c:v>-49.137466703414347</c:v>
                </c:pt>
                <c:pt idx="320">
                  <c:v>-49.286842346647063</c:v>
                </c:pt>
                <c:pt idx="321">
                  <c:v>-49.434884088949723</c:v>
                </c:pt>
                <c:pt idx="322">
                  <c:v>-49.58161454382774</c:v>
                </c:pt>
                <c:pt idx="323">
                  <c:v>-49.727055747985453</c:v>
                </c:pt>
                <c:pt idx="324">
                  <c:v>-49.871229180823072</c:v>
                </c:pt>
                <c:pt idx="325">
                  <c:v>-50.014155783116784</c:v>
                </c:pt>
                <c:pt idx="326">
                  <c:v>-50.155855974922559</c:v>
                </c:pt>
                <c:pt idx="327">
                  <c:v>-50.296349672742444</c:v>
                </c:pt>
                <c:pt idx="328">
                  <c:v>-50.43565630598907</c:v>
                </c:pt>
                <c:pt idx="329">
                  <c:v>-50.573794832782887</c:v>
                </c:pt>
                <c:pt idx="330">
                  <c:v>-50.710783755114058</c:v>
                </c:pt>
                <c:pt idx="331">
                  <c:v>-50.846641133399579</c:v>
                </c:pt>
                <c:pt idx="332">
                  <c:v>-50.981384600464359</c:v>
                </c:pt>
                <c:pt idx="333">
                  <c:v>-51.115031374973263</c:v>
                </c:pt>
                <c:pt idx="334">
                  <c:v>-51.247598274339914</c:v>
                </c:pt>
                <c:pt idx="335">
                  <c:v>-51.379101727136515</c:v>
                </c:pt>
                <c:pt idx="336">
                  <c:v>-51.509557785027553</c:v>
                </c:pt>
                <c:pt idx="337">
                  <c:v>-51.638982134249353</c:v>
                </c:pt>
                <c:pt idx="338">
                  <c:v>-51.767390106655753</c:v>
                </c:pt>
                <c:pt idx="339">
                  <c:v>-51.8947966903498</c:v>
                </c:pt>
                <c:pt idx="340">
                  <c:v>-52.021216539919578</c:v>
                </c:pt>
                <c:pt idx="341">
                  <c:v>-52.146663986296019</c:v>
                </c:pt>
                <c:pt idx="342">
                  <c:v>-52.271153046249196</c:v>
                </c:pt>
                <c:pt idx="343">
                  <c:v>-52.394697431538866</c:v>
                </c:pt>
                <c:pt idx="344">
                  <c:v>-52.517310557734334</c:v>
                </c:pt>
                <c:pt idx="345">
                  <c:v>-52.639005552717819</c:v>
                </c:pt>
                <c:pt idx="346">
                  <c:v>-52.7597952648849</c:v>
                </c:pt>
                <c:pt idx="347">
                  <c:v>-52.879692271054822</c:v>
                </c:pt>
                <c:pt idx="348">
                  <c:v>-52.998708884103074</c:v>
                </c:pt>
                <c:pt idx="349">
                  <c:v>-53.116857160327498</c:v>
                </c:pt>
                <c:pt idx="350">
                  <c:v>-53.23414890655954</c:v>
                </c:pt>
                <c:pt idx="351">
                  <c:v>-53.350595687030562</c:v>
                </c:pt>
                <c:pt idx="352">
                  <c:v>-53.466208830003794</c:v>
                </c:pt>
                <c:pt idx="353">
                  <c:v>-53.580999434181109</c:v>
                </c:pt>
                <c:pt idx="354">
                  <c:v>-53.69497837489385</c:v>
                </c:pt>
                <c:pt idx="355">
                  <c:v>-53.808156310086474</c:v>
                </c:pt>
                <c:pt idx="356">
                  <c:v>-53.920543686101041</c:v>
                </c:pt>
                <c:pt idx="357">
                  <c:v>-54.032150743270755</c:v>
                </c:pt>
                <c:pt idx="358">
                  <c:v>-54.1429875213298</c:v>
                </c:pt>
                <c:pt idx="359">
                  <c:v>-54.253063864646826</c:v>
                </c:pt>
                <c:pt idx="360">
                  <c:v>-54.362389427288853</c:v>
                </c:pt>
                <c:pt idx="361">
                  <c:v>-54.470973677922188</c:v>
                </c:pt>
                <c:pt idx="362">
                  <c:v>-54.578825904556624</c:v>
                </c:pt>
                <c:pt idx="363">
                  <c:v>-54.685955219138798</c:v>
                </c:pt>
                <c:pt idx="364">
                  <c:v>-54.792370562000571</c:v>
                </c:pt>
                <c:pt idx="365">
                  <c:v>-54.898080706167761</c:v>
                </c:pt>
                <c:pt idx="366">
                  <c:v>-55.003094261534514</c:v>
                </c:pt>
                <c:pt idx="367">
                  <c:v>-55.1074196789083</c:v>
                </c:pt>
                <c:pt idx="368">
                  <c:v>-55.211065253930293</c:v>
                </c:pt>
                <c:pt idx="369">
                  <c:v>-55.314039130875798</c:v>
                </c:pt>
                <c:pt idx="370">
                  <c:v>-55.416349306338937</c:v>
                </c:pt>
                <c:pt idx="371">
                  <c:v>-55.518003632805957</c:v>
                </c:pt>
                <c:pt idx="372">
                  <c:v>-55.619009822121129</c:v>
                </c:pt>
                <c:pt idx="373">
                  <c:v>-55.719375448849</c:v>
                </c:pt>
                <c:pt idx="374">
                  <c:v>-55.819107953536829</c:v>
                </c:pt>
                <c:pt idx="375">
                  <c:v>-55.918214645880646</c:v>
                </c:pt>
                <c:pt idx="376">
                  <c:v>-56.01670270779838</c:v>
                </c:pt>
                <c:pt idx="377">
                  <c:v>-56.114579196413274</c:v>
                </c:pt>
                <c:pt idx="378">
                  <c:v>-56.211851046950713</c:v>
                </c:pt>
                <c:pt idx="379">
                  <c:v>-56.308525075551508</c:v>
                </c:pt>
                <c:pt idx="380">
                  <c:v>-56.40460798200445</c:v>
                </c:pt>
                <c:pt idx="381">
                  <c:v>-56.500106352400948</c:v>
                </c:pt>
                <c:pt idx="382">
                  <c:v>-56.595026661714336</c:v>
                </c:pt>
                <c:pt idx="383">
                  <c:v>-56.689375276306436</c:v>
                </c:pt>
                <c:pt idx="384">
                  <c:v>-56.783158456363935</c:v>
                </c:pt>
                <c:pt idx="385">
                  <c:v>-56.876382358266625</c:v>
                </c:pt>
                <c:pt idx="386">
                  <c:v>-56.969053036890138</c:v>
                </c:pt>
                <c:pt idx="387">
                  <c:v>-57.06117644784505</c:v>
                </c:pt>
                <c:pt idx="388">
                  <c:v>-57.152758449654627</c:v>
                </c:pt>
                <c:pt idx="389">
                  <c:v>-57.243804805873133</c:v>
                </c:pt>
                <c:pt idx="390">
                  <c:v>-57.334321187146656</c:v>
                </c:pt>
                <c:pt idx="391">
                  <c:v>-57.424313173218309</c:v>
                </c:pt>
                <c:pt idx="392">
                  <c:v>-57.513786254879648</c:v>
                </c:pt>
                <c:pt idx="393">
                  <c:v>-57.602745835869939</c:v>
                </c:pt>
                <c:pt idx="394">
                  <c:v>-57.691197234724953</c:v>
                </c:pt>
                <c:pt idx="395">
                  <c:v>-57.779145686577024</c:v>
                </c:pt>
                <c:pt idx="396">
                  <c:v>-57.866596344907649</c:v>
                </c:pt>
                <c:pt idx="397">
                  <c:v>-57.953554283254448</c:v>
                </c:pt>
                <c:pt idx="398">
                  <c:v>-58.0400244968735</c:v>
                </c:pt>
                <c:pt idx="399">
                  <c:v>-58.12601190435889</c:v>
                </c:pt>
                <c:pt idx="400">
                  <c:v>-58.211521349220433</c:v>
                </c:pt>
                <c:pt idx="401">
                  <c:v>-58.296557601420957</c:v>
                </c:pt>
                <c:pt idx="402">
                  <c:v>-58.381125358874584</c:v>
                </c:pt>
                <c:pt idx="403">
                  <c:v>-58.465229248906844</c:v>
                </c:pt>
                <c:pt idx="404">
                  <c:v>-58.548873829678044</c:v>
                </c:pt>
                <c:pt idx="405">
                  <c:v>-58.632063591570898</c:v>
                </c:pt>
                <c:pt idx="406">
                  <c:v>-58.714802958543487</c:v>
                </c:pt>
                <c:pt idx="407">
                  <c:v>-58.797096289448646</c:v>
                </c:pt>
                <c:pt idx="408">
                  <c:v>-58.878947879320606</c:v>
                </c:pt>
                <c:pt idx="409">
                  <c:v>-58.960361960630152</c:v>
                </c:pt>
                <c:pt idx="410">
                  <c:v>-59.04134270450885</c:v>
                </c:pt>
                <c:pt idx="411">
                  <c:v>-59.121894221943606</c:v>
                </c:pt>
                <c:pt idx="412">
                  <c:v>-59.202020564942146</c:v>
                </c:pt>
                <c:pt idx="413">
                  <c:v>-59.281725727670391</c:v>
                </c:pt>
                <c:pt idx="414">
                  <c:v>-59.361013647562558</c:v>
                </c:pt>
                <c:pt idx="415">
                  <c:v>-59.439888206404675</c:v>
                </c:pt>
                <c:pt idx="416">
                  <c:v>-59.518353231392318</c:v>
                </c:pt>
                <c:pt idx="417">
                  <c:v>-59.596412496163325</c:v>
                </c:pt>
                <c:pt idx="418">
                  <c:v>-59.674069721806148</c:v>
                </c:pt>
                <c:pt idx="419">
                  <c:v>-59.751328577844546</c:v>
                </c:pt>
                <c:pt idx="420">
                  <c:v>-59.828192683199319</c:v>
                </c:pt>
                <c:pt idx="421">
                  <c:v>-59.90466560712764</c:v>
                </c:pt>
                <c:pt idx="422">
                  <c:v>-59.980750870140668</c:v>
                </c:pt>
                <c:pt idx="423">
                  <c:v>-60.05645194490009</c:v>
                </c:pt>
                <c:pt idx="424">
                  <c:v>-60.131772257093985</c:v>
                </c:pt>
                <c:pt idx="425">
                  <c:v>-60.206715186292811</c:v>
                </c:pt>
                <c:pt idx="426">
                  <c:v>-60.281284066785886</c:v>
                </c:pt>
                <c:pt idx="427">
                  <c:v>-60.35548218839898</c:v>
                </c:pt>
                <c:pt idx="428">
                  <c:v>-60.429312797293491</c:v>
                </c:pt>
                <c:pt idx="429">
                  <c:v>-60.502779096747695</c:v>
                </c:pt>
                <c:pt idx="430">
                  <c:v>-60.575884247920548</c:v>
                </c:pt>
                <c:pt idx="431">
                  <c:v>-60.648631370598594</c:v>
                </c:pt>
                <c:pt idx="432">
                  <c:v>-60.721023543926208</c:v>
                </c:pt>
                <c:pt idx="433">
                  <c:v>-60.793063807119964</c:v>
                </c:pt>
                <c:pt idx="434">
                  <c:v>-60.864755160167093</c:v>
                </c:pt>
                <c:pt idx="435">
                  <c:v>-60.936100564508934</c:v>
                </c:pt>
                <c:pt idx="436">
                  <c:v>-61.007102943709349</c:v>
                </c:pt>
                <c:pt idx="437">
                  <c:v>-61.077765184108721</c:v>
                </c:pt>
                <c:pt idx="438">
                  <c:v>-61.148090135463917</c:v>
                </c:pt>
                <c:pt idx="439">
                  <c:v>-61.218080611574457</c:v>
                </c:pt>
                <c:pt idx="440">
                  <c:v>-61.287739390895304</c:v>
                </c:pt>
                <c:pt idx="441">
                  <c:v>-61.357069217136619</c:v>
                </c:pt>
                <c:pt idx="442">
                  <c:v>-61.426072799850857</c:v>
                </c:pt>
                <c:pt idx="443">
                  <c:v>-61.494752815007381</c:v>
                </c:pt>
                <c:pt idx="444">
                  <c:v>-61.563111905555076</c:v>
                </c:pt>
                <c:pt idx="445">
                  <c:v>-61.631152681973198</c:v>
                </c:pt>
                <c:pt idx="446">
                  <c:v>-61.698877722810643</c:v>
                </c:pt>
                <c:pt idx="447">
                  <c:v>-61.766289575214167</c:v>
                </c:pt>
                <c:pt idx="448">
                  <c:v>-61.833390755445564</c:v>
                </c:pt>
                <c:pt idx="449">
                  <c:v>-61.900183749388304</c:v>
                </c:pt>
                <c:pt idx="450">
                  <c:v>-61.966671013043651</c:v>
                </c:pt>
                <c:pt idx="451">
                  <c:v>-62.032854973016825</c:v>
                </c:pt>
                <c:pt idx="452">
                  <c:v>-62.098738026993125</c:v>
                </c:pt>
                <c:pt idx="453">
                  <c:v>-62.164322544204474</c:v>
                </c:pt>
                <c:pt idx="454">
                  <c:v>-62.229610865886585</c:v>
                </c:pt>
                <c:pt idx="455">
                  <c:v>-62.294605305726861</c:v>
                </c:pt>
                <c:pt idx="456">
                  <c:v>-62.35930815030342</c:v>
                </c:pt>
                <c:pt idx="457">
                  <c:v>-62.423721659515266</c:v>
                </c:pt>
                <c:pt idx="458">
                  <c:v>-62.487848067004059</c:v>
                </c:pt>
                <c:pt idx="459">
                  <c:v>-62.551689580567384</c:v>
                </c:pt>
                <c:pt idx="460">
                  <c:v>-62.615248382564005</c:v>
                </c:pt>
                <c:pt idx="461">
                  <c:v>-62.678526630311126</c:v>
                </c:pt>
                <c:pt idx="462">
                  <c:v>-62.741526456473835</c:v>
                </c:pt>
                <c:pt idx="463">
                  <c:v>-62.804249969447064</c:v>
                </c:pt>
                <c:pt idx="464">
                  <c:v>-62.866699253730047</c:v>
                </c:pt>
                <c:pt idx="465">
                  <c:v>-62.928876370293629</c:v>
                </c:pt>
                <c:pt idx="466">
                  <c:v>-62.990783356940412</c:v>
                </c:pt>
                <c:pt idx="467">
                  <c:v>-63.052422228658081</c:v>
                </c:pt>
                <c:pt idx="468">
                  <c:v>-63.11379497796591</c:v>
                </c:pt>
                <c:pt idx="469">
                  <c:v>-63.17490357525476</c:v>
                </c:pt>
                <c:pt idx="470">
                  <c:v>-63.235749969120512</c:v>
                </c:pt>
                <c:pt idx="471">
                  <c:v>-63.296336086691326</c:v>
                </c:pt>
                <c:pt idx="472">
                  <c:v>-63.356663833948652</c:v>
                </c:pt>
                <c:pt idx="473">
                  <c:v>-63.416735096042267</c:v>
                </c:pt>
                <c:pt idx="474">
                  <c:v>-63.476551737599429</c:v>
                </c:pt>
                <c:pt idx="475">
                  <c:v>-63.536115603028243</c:v>
                </c:pt>
                <c:pt idx="476">
                  <c:v>-63.595428516815467</c:v>
                </c:pt>
                <c:pt idx="477">
                  <c:v>-63.654492283818712</c:v>
                </c:pt>
                <c:pt idx="478">
                  <c:v>-63.713308689553394</c:v>
                </c:pt>
                <c:pt idx="479">
                  <c:v>-63.771879500474327</c:v>
                </c:pt>
                <c:pt idx="480">
                  <c:v>-63.830206464252214</c:v>
                </c:pt>
                <c:pt idx="481">
                  <c:v>-63.888291310045069</c:v>
                </c:pt>
                <c:pt idx="482">
                  <c:v>-63.946135748764789</c:v>
                </c:pt>
                <c:pt idx="483">
                  <c:v>-64.003741473338792</c:v>
                </c:pt>
                <c:pt idx="484">
                  <c:v>-64.061110158967111</c:v>
                </c:pt>
                <c:pt idx="485">
                  <c:v>-64.118243463374654</c:v>
                </c:pt>
                <c:pt idx="486">
                  <c:v>-64.175143027059136</c:v>
                </c:pt>
                <c:pt idx="487">
                  <c:v>-64.23181047353458</c:v>
                </c:pt>
                <c:pt idx="488">
                  <c:v>-64.28824740957036</c:v>
                </c:pt>
                <c:pt idx="489">
                  <c:v>-64.344455425426105</c:v>
                </c:pt>
                <c:pt idx="490">
                  <c:v>-64.40043609508254</c:v>
                </c:pt>
                <c:pt idx="491">
                  <c:v>-64.456190976468093</c:v>
                </c:pt>
                <c:pt idx="492">
                  <c:v>-64.511721611681665</c:v>
                </c:pt>
                <c:pt idx="493">
                  <c:v>-64.567029527211531</c:v>
                </c:pt>
                <c:pt idx="494">
                  <c:v>-64.622116234150283</c:v>
                </c:pt>
                <c:pt idx="495">
                  <c:v>-64.676983228406215</c:v>
                </c:pt>
                <c:pt idx="496">
                  <c:v>-64.731631990910969</c:v>
                </c:pt>
                <c:pt idx="497">
                  <c:v>-64.786063987823667</c:v>
                </c:pt>
                <c:pt idx="498">
                  <c:v>-64.840280670731431</c:v>
                </c:pt>
                <c:pt idx="499">
                  <c:v>-64.894283476846596</c:v>
                </c:pt>
                <c:pt idx="500">
                  <c:v>-64.948073829200524</c:v>
                </c:pt>
                <c:pt idx="501">
                  <c:v>-65.001653136834108</c:v>
                </c:pt>
                <c:pt idx="502">
                  <c:v>-65.055022794985078</c:v>
                </c:pt>
                <c:pt idx="503">
                  <c:v>-65.108184185272108</c:v>
                </c:pt>
                <c:pt idx="504">
                  <c:v>-65.16113867587589</c:v>
                </c:pt>
                <c:pt idx="505">
                  <c:v>-65.21388762171712</c:v>
                </c:pt>
                <c:pt idx="506">
                  <c:v>-65.266432364631569</c:v>
                </c:pt>
                <c:pt idx="507">
                  <c:v>-65.318774233542158</c:v>
                </c:pt>
                <c:pt idx="508">
                  <c:v>-65.370914544628306</c:v>
                </c:pt>
                <c:pt idx="509">
                  <c:v>-65.422854601492318</c:v>
                </c:pt>
                <c:pt idx="510">
                  <c:v>-65.47459569532316</c:v>
                </c:pt>
                <c:pt idx="511">
                  <c:v>-65.526139105057524</c:v>
                </c:pt>
                <c:pt idx="512">
                  <c:v>-65.577486097538184</c:v>
                </c:pt>
                <c:pt idx="513">
                  <c:v>-65.628637927669871</c:v>
                </c:pt>
                <c:pt idx="514">
                  <c:v>-65.679595838572553</c:v>
                </c:pt>
                <c:pt idx="515">
                  <c:v>-65.730361061732168</c:v>
                </c:pt>
                <c:pt idx="516">
                  <c:v>-65.780934817149131</c:v>
                </c:pt>
                <c:pt idx="517">
                  <c:v>-65.831318313484161</c:v>
                </c:pt>
                <c:pt idx="518">
                  <c:v>-65.881512748202084</c:v>
                </c:pt>
                <c:pt idx="519">
                  <c:v>-65.931519307713003</c:v>
                </c:pt>
                <c:pt idx="520">
                  <c:v>-65.981339167511507</c:v>
                </c:pt>
                <c:pt idx="521">
                  <c:v>-66.030973492313507</c:v>
                </c:pt>
                <c:pt idx="522">
                  <c:v>-66.080423436190927</c:v>
                </c:pt>
                <c:pt idx="523">
                  <c:v>-66.129690142704305</c:v>
                </c:pt>
                <c:pt idx="524">
                  <c:v>-66.178774745033252</c:v>
                </c:pt>
                <c:pt idx="525">
                  <c:v>-66.227678366104939</c:v>
                </c:pt>
                <c:pt idx="526">
                  <c:v>-66.276402118720497</c:v>
                </c:pt>
                <c:pt idx="527">
                  <c:v>-66.324947105679485</c:v>
                </c:pt>
                <c:pt idx="528">
                  <c:v>-66.373314419902414</c:v>
                </c:pt>
                <c:pt idx="529">
                  <c:v>-66.421505144551375</c:v>
                </c:pt>
                <c:pt idx="530">
                  <c:v>-66.469520353148795</c:v>
                </c:pt>
                <c:pt idx="531">
                  <c:v>-66.517361109694363</c:v>
                </c:pt>
                <c:pt idx="532">
                  <c:v>-66.565028468780227</c:v>
                </c:pt>
                <c:pt idx="533">
                  <c:v>-66.612523475704265</c:v>
                </c:pt>
                <c:pt idx="534">
                  <c:v>-66.659847166581784</c:v>
                </c:pt>
                <c:pt idx="535">
                  <c:v>-66.707000568455499</c:v>
                </c:pt>
                <c:pt idx="536">
                  <c:v>-66.753984699403745</c:v>
                </c:pt>
                <c:pt idx="537">
                  <c:v>-66.800800568647162</c:v>
                </c:pt>
                <c:pt idx="538">
                  <c:v>-66.847449176653654</c:v>
                </c:pt>
                <c:pt idx="539">
                  <c:v>-66.893931515241974</c:v>
                </c:pt>
                <c:pt idx="540">
                  <c:v>-66.940248567683483</c:v>
                </c:pt>
                <c:pt idx="541">
                  <c:v>-66.986401308802627</c:v>
                </c:pt>
                <c:pt idx="542">
                  <c:v>-67.032390705075798</c:v>
                </c:pt>
                <c:pt idx="543">
                  <c:v>-67.078217714728709</c:v>
                </c:pt>
                <c:pt idx="544">
                  <c:v>-67.123883287832427</c:v>
                </c:pt>
                <c:pt idx="545">
                  <c:v>-67.169388366397882</c:v>
                </c:pt>
                <c:pt idx="546">
                  <c:v>-67.214733884469069</c:v>
                </c:pt>
                <c:pt idx="547">
                  <c:v>-67.259920768214855</c:v>
                </c:pt>
                <c:pt idx="548">
                  <c:v>-67.304949936019341</c:v>
                </c:pt>
                <c:pt idx="549">
                  <c:v>-67.349822298571127</c:v>
                </c:pt>
                <c:pt idx="550">
                  <c:v>-67.394538758951086</c:v>
                </c:pt>
                <c:pt idx="551">
                  <c:v>-67.439100212718898</c:v>
                </c:pt>
                <c:pt idx="552">
                  <c:v>-67.483507547998457</c:v>
                </c:pt>
                <c:pt idx="553">
                  <c:v>-67.527761645561867</c:v>
                </c:pt>
                <c:pt idx="554">
                  <c:v>-67.571863378912326</c:v>
                </c:pt>
                <c:pt idx="555">
                  <c:v>-67.615813614365891</c:v>
                </c:pt>
                <c:pt idx="556">
                  <c:v>-67.659613211131898</c:v>
                </c:pt>
                <c:pt idx="557">
                  <c:v>-67.703263021392445</c:v>
                </c:pt>
                <c:pt idx="558">
                  <c:v>-67.746763890380521</c:v>
                </c:pt>
                <c:pt idx="559">
                  <c:v>-67.790116656457215</c:v>
                </c:pt>
                <c:pt idx="560">
                  <c:v>-67.833322151187758</c:v>
                </c:pt>
                <c:pt idx="561">
                  <c:v>-67.876381199416485</c:v>
                </c:pt>
                <c:pt idx="562">
                  <c:v>-67.919294619340761</c:v>
                </c:pt>
                <c:pt idx="563">
                  <c:v>-67.962063222583865</c:v>
                </c:pt>
                <c:pt idx="564">
                  <c:v>-68.004687814266887</c:v>
                </c:pt>
                <c:pt idx="565">
                  <c:v>-68.047169193079569</c:v>
                </c:pt>
                <c:pt idx="566">
                  <c:v>-68.089508151350216</c:v>
                </c:pt>
                <c:pt idx="567">
                  <c:v>-68.131705475114572</c:v>
                </c:pt>
                <c:pt idx="568">
                  <c:v>-68.173761944183838</c:v>
                </c:pt>
                <c:pt idx="569">
                  <c:v>-68.215678332211695</c:v>
                </c:pt>
                <c:pt idx="570">
                  <c:v>-68.257455406760386</c:v>
                </c:pt>
                <c:pt idx="571">
                  <c:v>-68.299093929365952</c:v>
                </c:pt>
                <c:pt idx="572">
                  <c:v>-68.340594655602516</c:v>
                </c:pt>
                <c:pt idx="573">
                  <c:v>-68.381958335145782</c:v>
                </c:pt>
                <c:pt idx="574">
                  <c:v>-68.423185711835544</c:v>
                </c:pt>
                <c:pt idx="575">
                  <c:v>-68.464277523737493</c:v>
                </c:pt>
                <c:pt idx="576">
                  <c:v>-68.505234503204065</c:v>
                </c:pt>
                <c:pt idx="577">
                  <c:v>-68.546057376934499</c:v>
                </c:pt>
                <c:pt idx="578">
                  <c:v>-68.586746866034233</c:v>
                </c:pt>
                <c:pt idx="579">
                  <c:v>-68.627303686073247</c:v>
                </c:pt>
                <c:pt idx="580">
                  <c:v>-68.66772854714381</c:v>
                </c:pt>
                <c:pt idx="581">
                  <c:v>-68.70802215391744</c:v>
                </c:pt>
                <c:pt idx="582">
                  <c:v>-68.748185205701063</c:v>
                </c:pt>
                <c:pt idx="583">
                  <c:v>-68.788218396492468</c:v>
                </c:pt>
                <c:pt idx="584">
                  <c:v>-68.828122415034926</c:v>
                </c:pt>
                <c:pt idx="585">
                  <c:v>-68.867897944871302</c:v>
                </c:pt>
                <c:pt idx="586">
                  <c:v>-68.90754566439719</c:v>
                </c:pt>
                <c:pt idx="587">
                  <c:v>-68.947066246913607</c:v>
                </c:pt>
                <c:pt idx="588">
                  <c:v>-68.986460360678805</c:v>
                </c:pt>
                <c:pt idx="589">
                  <c:v>-69.02572866895953</c:v>
                </c:pt>
                <c:pt idx="590">
                  <c:v>-69.064871830081515</c:v>
                </c:pt>
                <c:pt idx="591">
                  <c:v>-69.103890497479441</c:v>
                </c:pt>
                <c:pt idx="592">
                  <c:v>-69.142785319746153</c:v>
                </c:pt>
                <c:pt idx="593">
                  <c:v>-69.181556940681261</c:v>
                </c:pt>
                <c:pt idx="594">
                  <c:v>-69.220205999339143</c:v>
                </c:pt>
                <c:pt idx="595">
                  <c:v>-69.258733130076351</c:v>
                </c:pt>
                <c:pt idx="596">
                  <c:v>-69.297138962598325</c:v>
                </c:pt>
                <c:pt idx="597">
                  <c:v>-69.335424122005605</c:v>
                </c:pt>
                <c:pt idx="598">
                  <c:v>-69.373589228839421</c:v>
                </c:pt>
                <c:pt idx="599">
                  <c:v>-69.411634899126668</c:v>
                </c:pt>
                <c:pt idx="600">
                  <c:v>-69.449561744424415</c:v>
                </c:pt>
                <c:pt idx="601">
                  <c:v>-69.487370371863705</c:v>
                </c:pt>
                <c:pt idx="602">
                  <c:v>-69.525061384192924</c:v>
                </c:pt>
                <c:pt idx="603">
                  <c:v>-69.562635379820591</c:v>
                </c:pt>
                <c:pt idx="604">
                  <c:v>-69.600092952857608</c:v>
                </c:pt>
                <c:pt idx="605">
                  <c:v>-69.637434693158994</c:v>
                </c:pt>
                <c:pt idx="606">
                  <c:v>-71.36874287265141</c:v>
                </c:pt>
                <c:pt idx="607">
                  <c:v>-72.8722631742842</c:v>
                </c:pt>
                <c:pt idx="608">
                  <c:v>-74.193276418221089</c:v>
                </c:pt>
                <c:pt idx="609">
                  <c:v>-75.365613382454342</c:v>
                </c:pt>
                <c:pt idx="610">
                  <c:v>-76.415164212609326</c:v>
                </c:pt>
                <c:pt idx="611">
                  <c:v>-77.362121984593273</c:v>
                </c:pt>
                <c:pt idx="612">
                  <c:v>-78.22248157398559</c:v>
                </c:pt>
                <c:pt idx="613">
                  <c:v>-79.009077460777007</c:v>
                </c:pt>
                <c:pt idx="614">
                  <c:v>-79.732323403804742</c:v>
                </c:pt>
                <c:pt idx="615">
                  <c:v>-80.400752158177454</c:v>
                </c:pt>
                <c:pt idx="616">
                  <c:v>-81.021416925900539</c:v>
                </c:pt>
                <c:pt idx="617">
                  <c:v>-81.600194748689546</c:v>
                </c:pt>
                <c:pt idx="618">
                  <c:v>-81.821109917881003</c:v>
                </c:pt>
                <c:pt idx="619">
                  <c:v>-82.03640045389767</c:v>
                </c:pt>
                <c:pt idx="620">
                  <c:v>-82.24632793420659</c:v>
                </c:pt>
                <c:pt idx="621">
                  <c:v>-82.451137448470206</c:v>
                </c:pt>
                <c:pt idx="622">
                  <c:v>-82.651058865159172</c:v>
                </c:pt>
                <c:pt idx="623">
                  <c:v>-82.846307985169574</c:v>
                </c:pt>
                <c:pt idx="624">
                  <c:v>-83.037087593881267</c:v>
                </c:pt>
                <c:pt idx="625">
                  <c:v>-83.223588421792584</c:v>
                </c:pt>
                <c:pt idx="626">
                  <c:v>-83.405990022733079</c:v>
                </c:pt>
                <c:pt idx="627">
                  <c:v>-83.584461577662466</c:v>
                </c:pt>
                <c:pt idx="628">
                  <c:v>-83.759162631194485</c:v>
                </c:pt>
                <c:pt idx="629">
                  <c:v>-83.930243767218471</c:v>
                </c:pt>
                <c:pt idx="630">
                  <c:v>-84.097847229318489</c:v>
                </c:pt>
                <c:pt idx="631">
                  <c:v>-84.262107491094412</c:v>
                </c:pt>
                <c:pt idx="632">
                  <c:v>-84.42315178096392</c:v>
                </c:pt>
                <c:pt idx="633">
                  <c:v>-84.581100565558131</c:v>
                </c:pt>
                <c:pt idx="634">
                  <c:v>-84.736067995409812</c:v>
                </c:pt>
                <c:pt idx="635">
                  <c:v>-84.888162316265806</c:v>
                </c:pt>
                <c:pt idx="636">
                  <c:v>-85.037486249027992</c:v>
                </c:pt>
                <c:pt idx="637">
                  <c:v>-85.184137341034258</c:v>
                </c:pt>
                <c:pt idx="638">
                  <c:v>-85.328208291131801</c:v>
                </c:pt>
                <c:pt idx="639">
                  <c:v>-85.469787250760291</c:v>
                </c:pt>
                <c:pt idx="640">
                  <c:v>-85.608958103054903</c:v>
                </c:pt>
                <c:pt idx="641">
                  <c:v>-85.745800721791383</c:v>
                </c:pt>
                <c:pt idx="642">
                  <c:v>-85.880391211827586</c:v>
                </c:pt>
                <c:pt idx="643">
                  <c:v>-86.012802132544607</c:v>
                </c:pt>
                <c:pt idx="644">
                  <c:v>-86.143102705655195</c:v>
                </c:pt>
                <c:pt idx="645">
                  <c:v>-86.271359008624344</c:v>
                </c:pt>
                <c:pt idx="646">
                  <c:v>-86.39763415483668</c:v>
                </c:pt>
                <c:pt idx="647">
                  <c:v>-86.521988461545817</c:v>
                </c:pt>
                <c:pt idx="648">
                  <c:v>-86.644479606550462</c:v>
                </c:pt>
                <c:pt idx="649">
                  <c:v>-86.765162774461132</c:v>
                </c:pt>
                <c:pt idx="650">
                  <c:v>-86.884090793346843</c:v>
                </c:pt>
                <c:pt idx="651">
                  <c:v>-87.001314262485238</c:v>
                </c:pt>
                <c:pt idx="652">
                  <c:v>-87.116881671878076</c:v>
                </c:pt>
                <c:pt idx="653">
                  <c:v>-87.230839514139831</c:v>
                </c:pt>
                <c:pt idx="654">
                  <c:v>-87.343232389316356</c:v>
                </c:pt>
                <c:pt idx="655">
                  <c:v>-87.454103103145613</c:v>
                </c:pt>
                <c:pt idx="656">
                  <c:v>-87.563492759230826</c:v>
                </c:pt>
                <c:pt idx="657">
                  <c:v>-87.671440845558791</c:v>
                </c:pt>
                <c:pt idx="658">
                  <c:v>-87.777985315761612</c:v>
                </c:pt>
                <c:pt idx="659">
                  <c:v>-87.883162665488555</c:v>
                </c:pt>
                <c:pt idx="660">
                  <c:v>-87.987008004226666</c:v>
                </c:pt>
                <c:pt idx="661">
                  <c:v>-88.089555122881535</c:v>
                </c:pt>
                <c:pt idx="662">
                  <c:v>-88.190836557407039</c:v>
                </c:pt>
                <c:pt idx="663">
                  <c:v>-88.290883648749201</c:v>
                </c:pt>
                <c:pt idx="664">
                  <c:v>-88.38972659935115</c:v>
                </c:pt>
                <c:pt idx="665">
                  <c:v>-88.487394526445868</c:v>
                </c:pt>
                <c:pt idx="666">
                  <c:v>-88.583915512348028</c:v>
                </c:pt>
                <c:pt idx="667">
                  <c:v>-88.679316651939629</c:v>
                </c:pt>
              </c:numCache>
            </c:numRef>
          </c:yVal>
          <c:smooth val="1"/>
          <c:extLst>
            <c:ext xmlns:c16="http://schemas.microsoft.com/office/drawing/2014/chart" uri="{C3380CC4-5D6E-409C-BE32-E72D297353CC}">
              <c16:uniqueId val="{00000000-FB67-4ADA-8831-71CEB75F186C}"/>
            </c:ext>
          </c:extLst>
        </c:ser>
        <c:dLbls>
          <c:showLegendKey val="0"/>
          <c:showVal val="0"/>
          <c:showCatName val="0"/>
          <c:showSerName val="0"/>
          <c:showPercent val="0"/>
          <c:showBubbleSize val="0"/>
        </c:dLbls>
        <c:axId val="157007232"/>
        <c:axId val="157021696"/>
      </c:scatterChart>
      <c:scatterChart>
        <c:scatterStyle val="lineMarker"/>
        <c:varyColors val="0"/>
        <c:ser>
          <c:idx val="3"/>
          <c:order val="1"/>
          <c:tx>
            <c:v>Actual Phase</c:v>
          </c:tx>
          <c:spPr>
            <a:ln w="38100">
              <a:solidFill>
                <a:srgbClr val="660066"/>
              </a:solidFill>
              <a:prstDash val="solid"/>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Calculations'!$BN$9:$BN$676</c:f>
              <c:numCache>
                <c:formatCode>General</c:formatCode>
                <c:ptCount val="668"/>
                <c:pt idx="0">
                  <c:v>-2.0338035103876508E-3</c:v>
                </c:pt>
                <c:pt idx="1">
                  <c:v>-4.0676071794056206E-3</c:v>
                </c:pt>
                <c:pt idx="2">
                  <c:v>-6.1014111656842694E-3</c:v>
                </c:pt>
                <c:pt idx="3">
                  <c:v>-8.1352156278540356E-3</c:v>
                </c:pt>
                <c:pt idx="4">
                  <c:v>-1.0169020724545475E-2</c:v>
                </c:pt>
                <c:pt idx="5">
                  <c:v>-1.2202826614389302E-2</c:v>
                </c:pt>
                <c:pt idx="6">
                  <c:v>-1.4236633456016428E-2</c:v>
                </c:pt>
                <c:pt idx="7">
                  <c:v>-1.6270441408058004E-2</c:v>
                </c:pt>
                <c:pt idx="8">
                  <c:v>-1.8304250629145459E-2</c:v>
                </c:pt>
                <c:pt idx="9">
                  <c:v>-2.0338061277910532E-2</c:v>
                </c:pt>
                <c:pt idx="10">
                  <c:v>-4.0676281187118649E-2</c:v>
                </c:pt>
                <c:pt idx="11">
                  <c:v>-6.1014818362873535E-2</c:v>
                </c:pt>
                <c:pt idx="12">
                  <c:v>-8.1353831448327724E-2</c:v>
                </c:pt>
                <c:pt idx="13">
                  <c:v>-0.10169347909848939</c:v>
                </c:pt>
                <c:pt idx="14">
                  <c:v>-0.12203391998417494</c:v>
                </c:pt>
                <c:pt idx="15">
                  <c:v>-0.1423753127959628</c:v>
                </c:pt>
                <c:pt idx="16">
                  <c:v>-0.16271781624814788</c:v>
                </c:pt>
                <c:pt idx="17">
                  <c:v>-0.18306158908269732</c:v>
                </c:pt>
                <c:pt idx="18">
                  <c:v>-0.20340679007320783</c:v>
                </c:pt>
                <c:pt idx="19">
                  <c:v>-0.40697230929401207</c:v>
                </c:pt>
                <c:pt idx="20">
                  <c:v>-0.61085568262714673</c:v>
                </c:pt>
                <c:pt idx="21">
                  <c:v>-0.81521682867073963</c:v>
                </c:pt>
                <c:pt idx="22">
                  <c:v>-1.0202168614874179</c:v>
                </c:pt>
                <c:pt idx="23">
                  <c:v>-1.2260184984994047</c:v>
                </c:pt>
                <c:pt idx="24">
                  <c:v>-1.4327864765473837</c:v>
                </c:pt>
                <c:pt idx="25">
                  <c:v>-1.6406879782813599</c:v>
                </c:pt>
                <c:pt idx="26">
                  <c:v>-1.8498930711388681</c:v>
                </c:pt>
                <c:pt idx="27">
                  <c:v>-2.0605751612727219</c:v>
                </c:pt>
                <c:pt idx="28">
                  <c:v>-3.1425046787465001</c:v>
                </c:pt>
                <c:pt idx="29">
                  <c:v>-4.2901817576890693</c:v>
                </c:pt>
                <c:pt idx="30">
                  <c:v>-5.532364870449106</c:v>
                </c:pt>
                <c:pt idx="31">
                  <c:v>-6.9049024183252667</c:v>
                </c:pt>
                <c:pt idx="32">
                  <c:v>-8.4543748683085962</c:v>
                </c:pt>
                <c:pt idx="33">
                  <c:v>-10.243641182872887</c:v>
                </c:pt>
                <c:pt idx="34">
                  <c:v>-12.360627461779451</c:v>
                </c:pt>
                <c:pt idx="35">
                  <c:v>-14.932753341538717</c:v>
                </c:pt>
                <c:pt idx="36">
                  <c:v>-18.151352803321338</c:v>
                </c:pt>
                <c:pt idx="37">
                  <c:v>-22.313884721204154</c:v>
                </c:pt>
                <c:pt idx="38">
                  <c:v>-27.896377308913156</c:v>
                </c:pt>
                <c:pt idx="39">
                  <c:v>-35.666335927831987</c:v>
                </c:pt>
                <c:pt idx="40">
                  <c:v>-46.785947623721349</c:v>
                </c:pt>
                <c:pt idx="41">
                  <c:v>-62.539003334855266</c:v>
                </c:pt>
                <c:pt idx="42">
                  <c:v>-82.704633024581312</c:v>
                </c:pt>
                <c:pt idx="43">
                  <c:v>-103.50073956286542</c:v>
                </c:pt>
                <c:pt idx="44">
                  <c:v>-120.46578917893494</c:v>
                </c:pt>
                <c:pt idx="45">
                  <c:v>-132.5923962121754</c:v>
                </c:pt>
                <c:pt idx="46">
                  <c:v>-141.01593769922508</c:v>
                </c:pt>
                <c:pt idx="47">
                  <c:v>-146.9857995508261</c:v>
                </c:pt>
                <c:pt idx="48">
                  <c:v>-151.36088073580595</c:v>
                </c:pt>
                <c:pt idx="49">
                  <c:v>-154.67646365603184</c:v>
                </c:pt>
                <c:pt idx="50">
                  <c:v>-157.26482480657353</c:v>
                </c:pt>
                <c:pt idx="51">
                  <c:v>-159.33730113335625</c:v>
                </c:pt>
                <c:pt idx="52">
                  <c:v>-161.03261813998387</c:v>
                </c:pt>
                <c:pt idx="53">
                  <c:v>-162.44476255664514</c:v>
                </c:pt>
                <c:pt idx="54">
                  <c:v>-163.63930349612443</c:v>
                </c:pt>
                <c:pt idx="55">
                  <c:v>-164.66320685879191</c:v>
                </c:pt>
                <c:pt idx="56">
                  <c:v>-165.55091251234779</c:v>
                </c:pt>
                <c:pt idx="57">
                  <c:v>-166.32820704177405</c:v>
                </c:pt>
                <c:pt idx="58">
                  <c:v>-167.01475909650168</c:v>
                </c:pt>
                <c:pt idx="59">
                  <c:v>-167.62582082148276</c:v>
                </c:pt>
                <c:pt idx="60">
                  <c:v>-168.17339574632246</c:v>
                </c:pt>
                <c:pt idx="61">
                  <c:v>-168.66705707565291</c:v>
                </c:pt>
                <c:pt idx="62">
                  <c:v>-169.11453183264283</c:v>
                </c:pt>
                <c:pt idx="63">
                  <c:v>-169.52212499905499</c:v>
                </c:pt>
                <c:pt idx="64">
                  <c:v>-169.89503228710501</c:v>
                </c:pt>
                <c:pt idx="65">
                  <c:v>-170.23757407613297</c:v>
                </c:pt>
                <c:pt idx="66">
                  <c:v>-170.55337267207435</c:v>
                </c:pt>
                <c:pt idx="67">
                  <c:v>-170.84548823461373</c:v>
                </c:pt>
                <c:pt idx="68">
                  <c:v>-171.11652416332819</c:v>
                </c:pt>
                <c:pt idx="69">
                  <c:v>-171.36870964056789</c:v>
                </c:pt>
                <c:pt idx="70">
                  <c:v>-171.60396489501372</c:v>
                </c:pt>
                <c:pt idx="71">
                  <c:v>-171.82395325712162</c:v>
                </c:pt>
                <c:pt idx="72">
                  <c:v>-172.03012301959009</c:v>
                </c:pt>
                <c:pt idx="73">
                  <c:v>-172.22374135675662</c:v>
                </c:pt>
                <c:pt idx="74">
                  <c:v>-172.40592200575117</c:v>
                </c:pt>
                <c:pt idx="75">
                  <c:v>-172.5776480079318</c:v>
                </c:pt>
                <c:pt idx="76">
                  <c:v>-172.73979050950541</c:v>
                </c:pt>
                <c:pt idx="77">
                  <c:v>-172.89312439608207</c:v>
                </c:pt>
                <c:pt idx="78">
                  <c:v>-173.03834136672006</c:v>
                </c:pt>
                <c:pt idx="79">
                  <c:v>-173.17606092423566</c:v>
                </c:pt>
                <c:pt idx="80">
                  <c:v>-173.30683965974876</c:v>
                </c:pt>
                <c:pt idx="81">
                  <c:v>-173.43117913306475</c:v>
                </c:pt>
                <c:pt idx="82">
                  <c:v>-173.54953259103965</c:v>
                </c:pt>
                <c:pt idx="83">
                  <c:v>-173.66231071948346</c:v>
                </c:pt>
                <c:pt idx="84">
                  <c:v>-173.76988658740709</c:v>
                </c:pt>
                <c:pt idx="85">
                  <c:v>-173.87259991325871</c:v>
                </c:pt>
                <c:pt idx="86">
                  <c:v>-173.97076075952182</c:v>
                </c:pt>
                <c:pt idx="87">
                  <c:v>-174.06465274337137</c:v>
                </c:pt>
                <c:pt idx="88">
                  <c:v>-174.15453583601882</c:v>
                </c:pt>
                <c:pt idx="89">
                  <c:v>-174.24064881116206</c:v>
                </c:pt>
                <c:pt idx="90">
                  <c:v>-174.32321139300512</c:v>
                </c:pt>
                <c:pt idx="91">
                  <c:v>-174.40242614617091</c:v>
                </c:pt>
                <c:pt idx="92">
                  <c:v>-174.47848014313632</c:v>
                </c:pt>
                <c:pt idx="93">
                  <c:v>-174.55154643929427</c:v>
                </c:pt>
                <c:pt idx="94">
                  <c:v>-174.62178538117058</c:v>
                </c:pt>
                <c:pt idx="95">
                  <c:v>-174.68934576951253</c:v>
                </c:pt>
                <c:pt idx="96">
                  <c:v>-174.7543658957882</c:v>
                </c:pt>
                <c:pt idx="97">
                  <c:v>-174.81697446796755</c:v>
                </c:pt>
                <c:pt idx="98">
                  <c:v>-174.87729143921808</c:v>
                </c:pt>
                <c:pt idx="99">
                  <c:v>-174.93542875125465</c:v>
                </c:pt>
                <c:pt idx="100">
                  <c:v>-174.991491002484</c:v>
                </c:pt>
                <c:pt idx="101">
                  <c:v>-175.04557604972615</c:v>
                </c:pt>
                <c:pt idx="102">
                  <c:v>-175.097775551137</c:v>
                </c:pt>
                <c:pt idx="103">
                  <c:v>-175.14817545697002</c:v>
                </c:pt>
                <c:pt idx="104">
                  <c:v>-175.1968564539672</c:v>
                </c:pt>
                <c:pt idx="105">
                  <c:v>-175.24389436844604</c:v>
                </c:pt>
                <c:pt idx="106">
                  <c:v>-175.28936053252056</c:v>
                </c:pt>
                <c:pt idx="107">
                  <c:v>-175.33332211735899</c:v>
                </c:pt>
                <c:pt idx="108">
                  <c:v>-175.37584243691026</c:v>
                </c:pt>
                <c:pt idx="109">
                  <c:v>-175.41698122512977</c:v>
                </c:pt>
                <c:pt idx="110">
                  <c:v>-175.45679488938202</c:v>
                </c:pt>
                <c:pt idx="111">
                  <c:v>-175.4953367423912</c:v>
                </c:pt>
                <c:pt idx="112">
                  <c:v>-175.53265721484439</c:v>
                </c:pt>
                <c:pt idx="113">
                  <c:v>-175.5688040505182</c:v>
                </c:pt>
                <c:pt idx="114">
                  <c:v>-175.60382248559353</c:v>
                </c:pt>
                <c:pt idx="115">
                  <c:v>-175.63775541364546</c:v>
                </c:pt>
                <c:pt idx="116">
                  <c:v>-175.67064353763502</c:v>
                </c:pt>
                <c:pt idx="117">
                  <c:v>-175.70252551009125</c:v>
                </c:pt>
                <c:pt idx="118">
                  <c:v>-175.73343806254817</c:v>
                </c:pt>
                <c:pt idx="119">
                  <c:v>-175.7634161251934</c:v>
                </c:pt>
                <c:pt idx="120">
                  <c:v>-175.79249293758696</c:v>
                </c:pt>
                <c:pt idx="121">
                  <c:v>-175.82070015122508</c:v>
                </c:pt>
                <c:pt idx="122">
                  <c:v>-175.84806792464599</c:v>
                </c:pt>
                <c:pt idx="123">
                  <c:v>-175.87462501170819</c:v>
                </c:pt>
                <c:pt idx="124">
                  <c:v>-175.90039884361073</c:v>
                </c:pt>
                <c:pt idx="125">
                  <c:v>-175.92541560517054</c:v>
                </c:pt>
                <c:pt idx="126">
                  <c:v>-175.94970030582496</c:v>
                </c:pt>
                <c:pt idx="127">
                  <c:v>-175.97327684578295</c:v>
                </c:pt>
                <c:pt idx="128">
                  <c:v>-175.99616807771068</c:v>
                </c:pt>
                <c:pt idx="129">
                  <c:v>-176.01839586430205</c:v>
                </c:pt>
                <c:pt idx="130">
                  <c:v>-176.03998113205324</c:v>
                </c:pt>
                <c:pt idx="131">
                  <c:v>-176.06094392153292</c:v>
                </c:pt>
                <c:pt idx="132">
                  <c:v>-176.08130343441289</c:v>
                </c:pt>
                <c:pt idx="133">
                  <c:v>-176.10107807750336</c:v>
                </c:pt>
                <c:pt idx="134">
                  <c:v>-176.12028550401348</c:v>
                </c:pt>
                <c:pt idx="135">
                  <c:v>-176.13894265224175</c:v>
                </c:pt>
                <c:pt idx="136">
                  <c:v>-176.15706578188212</c:v>
                </c:pt>
                <c:pt idx="137">
                  <c:v>-176.17467050811658</c:v>
                </c:pt>
                <c:pt idx="138">
                  <c:v>-176.19177183365204</c:v>
                </c:pt>
                <c:pt idx="139">
                  <c:v>-176.20838417884531</c:v>
                </c:pt>
                <c:pt idx="140">
                  <c:v>-176.22452141004908</c:v>
                </c:pt>
                <c:pt idx="141">
                  <c:v>-176.24019686630146</c:v>
                </c:pt>
                <c:pt idx="142">
                  <c:v>-176.25542338447181</c:v>
                </c:pt>
                <c:pt idx="143">
                  <c:v>-176.2702133229665</c:v>
                </c:pt>
                <c:pt idx="144">
                  <c:v>-176.28457858409101</c:v>
                </c:pt>
                <c:pt idx="145">
                  <c:v>-176.29853063515711</c:v>
                </c:pt>
                <c:pt idx="146">
                  <c:v>-176.31208052841703</c:v>
                </c:pt>
                <c:pt idx="147">
                  <c:v>-176.32523891990022</c:v>
                </c:pt>
                <c:pt idx="148">
                  <c:v>-176.33801608722413</c:v>
                </c:pt>
                <c:pt idx="149">
                  <c:v>-176.35042194644288</c:v>
                </c:pt>
                <c:pt idx="150">
                  <c:v>-176.36246606799529</c:v>
                </c:pt>
                <c:pt idx="151">
                  <c:v>-176.3741576918078</c:v>
                </c:pt>
                <c:pt idx="152">
                  <c:v>-176.38550574160504</c:v>
                </c:pt>
                <c:pt idx="153">
                  <c:v>-176.39651883847606</c:v>
                </c:pt>
                <c:pt idx="154">
                  <c:v>-176.40720531374114</c:v>
                </c:pt>
                <c:pt idx="155">
                  <c:v>-176.4175732211622</c:v>
                </c:pt>
                <c:pt idx="156">
                  <c:v>-176.42763034853456</c:v>
                </c:pt>
                <c:pt idx="157">
                  <c:v>-176.43738422869754</c:v>
                </c:pt>
                <c:pt idx="158">
                  <c:v>-176.44684214999765</c:v>
                </c:pt>
                <c:pt idx="159">
                  <c:v>-176.45601116623564</c:v>
                </c:pt>
                <c:pt idx="160">
                  <c:v>-176.46489810612763</c:v>
                </c:pt>
                <c:pt idx="161">
                  <c:v>-176.47350958230805</c:v>
                </c:pt>
                <c:pt idx="162">
                  <c:v>-176.48185199989965</c:v>
                </c:pt>
                <c:pt idx="163">
                  <c:v>-176.48993156467526</c:v>
                </c:pt>
                <c:pt idx="164">
                  <c:v>-176.49775429083434</c:v>
                </c:pt>
                <c:pt idx="165">
                  <c:v>-176.50532600841476</c:v>
                </c:pt>
                <c:pt idx="166">
                  <c:v>-176.5126523703602</c:v>
                </c:pt>
                <c:pt idx="167">
                  <c:v>-176.51973885926193</c:v>
                </c:pt>
                <c:pt idx="168">
                  <c:v>-176.52659079379185</c:v>
                </c:pt>
                <c:pt idx="169">
                  <c:v>-176.5332133348445</c:v>
                </c:pt>
                <c:pt idx="170">
                  <c:v>-176.53961149140184</c:v>
                </c:pt>
                <c:pt idx="171">
                  <c:v>-176.54579012613652</c:v>
                </c:pt>
                <c:pt idx="172">
                  <c:v>-176.55175396076714</c:v>
                </c:pt>
                <c:pt idx="173">
                  <c:v>-176.55750758117742</c:v>
                </c:pt>
                <c:pt idx="174">
                  <c:v>-176.56305544231276</c:v>
                </c:pt>
                <c:pt idx="175">
                  <c:v>-176.56840187286417</c:v>
                </c:pt>
                <c:pt idx="176">
                  <c:v>-176.57355107975138</c:v>
                </c:pt>
                <c:pt idx="177">
                  <c:v>-176.57850715241457</c:v>
                </c:pt>
                <c:pt idx="178">
                  <c:v>-176.58327406692439</c:v>
                </c:pt>
                <c:pt idx="179">
                  <c:v>-176.58785568991925</c:v>
                </c:pt>
                <c:pt idx="180">
                  <c:v>-176.59225578237857</c:v>
                </c:pt>
                <c:pt idx="181">
                  <c:v>-176.59647800323947</c:v>
                </c:pt>
                <c:pt idx="182">
                  <c:v>-176.60052591286495</c:v>
                </c:pt>
                <c:pt idx="183">
                  <c:v>-176.60440297637058</c:v>
                </c:pt>
                <c:pt idx="184">
                  <c:v>-176.608112566816</c:v>
                </c:pt>
                <c:pt idx="185">
                  <c:v>-176.61165796826839</c:v>
                </c:pt>
                <c:pt idx="186">
                  <c:v>-176.61504237874311</c:v>
                </c:pt>
                <c:pt idx="187">
                  <c:v>-176.61826891302817</c:v>
                </c:pt>
                <c:pt idx="188">
                  <c:v>-176.62134060539651</c:v>
                </c:pt>
                <c:pt idx="189">
                  <c:v>-176.6242604122132</c:v>
                </c:pt>
                <c:pt idx="190">
                  <c:v>-176.62703121444022</c:v>
                </c:pt>
                <c:pt idx="191">
                  <c:v>-176.62965582004517</c:v>
                </c:pt>
                <c:pt idx="192">
                  <c:v>-176.63213696631749</c:v>
                </c:pt>
                <c:pt idx="193">
                  <c:v>-176.63447732209607</c:v>
                </c:pt>
                <c:pt idx="194">
                  <c:v>-176.63667948991295</c:v>
                </c:pt>
                <c:pt idx="195">
                  <c:v>-176.63874600805616</c:v>
                </c:pt>
                <c:pt idx="196">
                  <c:v>-176.64067935255562</c:v>
                </c:pt>
                <c:pt idx="197">
                  <c:v>-176.64248193909515</c:v>
                </c:pt>
                <c:pt idx="198">
                  <c:v>-176.64415612485428</c:v>
                </c:pt>
                <c:pt idx="199">
                  <c:v>-176.64570421028202</c:v>
                </c:pt>
                <c:pt idx="200">
                  <c:v>-176.64712844080668</c:v>
                </c:pt>
                <c:pt idx="201">
                  <c:v>-176.64843100848347</c:v>
                </c:pt>
                <c:pt idx="202">
                  <c:v>-176.64961405358264</c:v>
                </c:pt>
                <c:pt idx="203">
                  <c:v>-176.6506796661215</c:v>
                </c:pt>
                <c:pt idx="204">
                  <c:v>-176.6516298873413</c:v>
                </c:pt>
                <c:pt idx="205">
                  <c:v>-176.65246671113263</c:v>
                </c:pt>
                <c:pt idx="206">
                  <c:v>-176.6531920854103</c:v>
                </c:pt>
                <c:pt idx="207">
                  <c:v>-176.65380791344063</c:v>
                </c:pt>
                <c:pt idx="208">
                  <c:v>-176.65431605512254</c:v>
                </c:pt>
                <c:pt idx="209">
                  <c:v>-176.65471832822442</c:v>
                </c:pt>
                <c:pt idx="210">
                  <c:v>-176.65501650957921</c:v>
                </c:pt>
                <c:pt idx="211">
                  <c:v>-176.65521233623781</c:v>
                </c:pt>
                <c:pt idx="212">
                  <c:v>-176.65530750658448</c:v>
                </c:pt>
                <c:pt idx="213">
                  <c:v>-176.65530368141393</c:v>
                </c:pt>
                <c:pt idx="214">
                  <c:v>-176.65520248497285</c:v>
                </c:pt>
                <c:pt idx="215">
                  <c:v>-176.65500550596653</c:v>
                </c:pt>
                <c:pt idx="216">
                  <c:v>-176.6547142985323</c:v>
                </c:pt>
                <c:pt idx="217">
                  <c:v>-176.6543303831811</c:v>
                </c:pt>
                <c:pt idx="218">
                  <c:v>-176.65385524770795</c:v>
                </c:pt>
                <c:pt idx="219">
                  <c:v>-176.65329034807294</c:v>
                </c:pt>
                <c:pt idx="220">
                  <c:v>-176.65263710925404</c:v>
                </c:pt>
                <c:pt idx="221">
                  <c:v>-176.65189692607203</c:v>
                </c:pt>
                <c:pt idx="222">
                  <c:v>-176.65107116398926</c:v>
                </c:pt>
                <c:pt idx="223">
                  <c:v>-176.65016115988308</c:v>
                </c:pt>
                <c:pt idx="224">
                  <c:v>-176.64916822279483</c:v>
                </c:pt>
                <c:pt idx="225">
                  <c:v>-176.64809363465505</c:v>
                </c:pt>
                <c:pt idx="226">
                  <c:v>-176.63312092966342</c:v>
                </c:pt>
                <c:pt idx="227">
                  <c:v>-176.61121643420404</c:v>
                </c:pt>
                <c:pt idx="228">
                  <c:v>-176.58330711613939</c:v>
                </c:pt>
                <c:pt idx="229">
                  <c:v>-176.55016134279674</c:v>
                </c:pt>
                <c:pt idx="230">
                  <c:v>-176.51242155483763</c:v>
                </c:pt>
                <c:pt idx="231">
                  <c:v>-176.47062915502357</c:v>
                </c:pt>
                <c:pt idx="232">
                  <c:v>-176.42524369967799</c:v>
                </c:pt>
                <c:pt idx="233">
                  <c:v>-176.37665786272208</c:v>
                </c:pt>
                <c:pt idx="234">
                  <c:v>-176.32520922310761</c:v>
                </c:pt>
                <c:pt idx="235">
                  <c:v>-176.27118963748134</c:v>
                </c:pt>
                <c:pt idx="236">
                  <c:v>-176.2148527575547</c:v>
                </c:pt>
                <c:pt idx="237">
                  <c:v>-176.15642010793633</c:v>
                </c:pt>
                <c:pt idx="238">
                  <c:v>-176.09608603679206</c:v>
                </c:pt>
                <c:pt idx="239">
                  <c:v>-176.03402177640936</c:v>
                </c:pt>
                <c:pt idx="240">
                  <c:v>-175.97037879531049</c:v>
                </c:pt>
                <c:pt idx="241">
                  <c:v>-175.90529158231828</c:v>
                </c:pt>
                <c:pt idx="242">
                  <c:v>-175.8388799719973</c:v>
                </c:pt>
                <c:pt idx="243">
                  <c:v>-175.77125109740982</c:v>
                </c:pt>
                <c:pt idx="244">
                  <c:v>-175.70250103817111</c:v>
                </c:pt>
                <c:pt idx="245">
                  <c:v>-175.63271621795496</c:v>
                </c:pt>
                <c:pt idx="246">
                  <c:v>-175.56197459485696</c:v>
                </c:pt>
                <c:pt idx="247">
                  <c:v>-175.49034667962422</c:v>
                </c:pt>
                <c:pt idx="248">
                  <c:v>-175.41789641014898</c:v>
                </c:pt>
                <c:pt idx="249">
                  <c:v>-175.34468190538522</c:v>
                </c:pt>
                <c:pt idx="250">
                  <c:v>-175.27075611767353</c:v>
                </c:pt>
                <c:pt idx="251">
                  <c:v>-175.19616739911402</c:v>
                </c:pt>
                <c:pt idx="252">
                  <c:v>-175.12095999493255</c:v>
                </c:pt>
                <c:pt idx="253">
                  <c:v>-175.04517447459997</c:v>
                </c:pt>
                <c:pt idx="254">
                  <c:v>-174.96884810968868</c:v>
                </c:pt>
                <c:pt idx="255">
                  <c:v>-174.89201520599616</c:v>
                </c:pt>
                <c:pt idx="256">
                  <c:v>-174.81470739627281</c:v>
                </c:pt>
                <c:pt idx="257">
                  <c:v>-174.73695389890452</c:v>
                </c:pt>
                <c:pt idx="258">
                  <c:v>-174.65878174708655</c:v>
                </c:pt>
                <c:pt idx="259">
                  <c:v>-174.58021599234581</c:v>
                </c:pt>
                <c:pt idx="260">
                  <c:v>-174.50127988570284</c:v>
                </c:pt>
                <c:pt idx="261">
                  <c:v>-174.42199503929038</c:v>
                </c:pt>
                <c:pt idx="262">
                  <c:v>-174.34238157084658</c:v>
                </c:pt>
                <c:pt idx="263">
                  <c:v>-174.26245823316495</c:v>
                </c:pt>
                <c:pt idx="264">
                  <c:v>-174.18224253029845</c:v>
                </c:pt>
                <c:pt idx="265">
                  <c:v>-174.10175082207272</c:v>
                </c:pt>
                <c:pt idx="266">
                  <c:v>-174.02099841826043</c:v>
                </c:pt>
                <c:pt idx="267">
                  <c:v>-173.93999966358982</c:v>
                </c:pt>
                <c:pt idx="268">
                  <c:v>-173.85876801461313</c:v>
                </c:pt>
                <c:pt idx="269">
                  <c:v>-173.77731610933037</c:v>
                </c:pt>
                <c:pt idx="270">
                  <c:v>-173.69565583035251</c:v>
                </c:pt>
                <c:pt idx="271">
                  <c:v>-173.61379836229446</c:v>
                </c:pt>
                <c:pt idx="272">
                  <c:v>-173.53175424400231</c:v>
                </c:pt>
                <c:pt idx="273">
                  <c:v>-173.4495334161509</c:v>
                </c:pt>
                <c:pt idx="274">
                  <c:v>-173.36714526468279</c:v>
                </c:pt>
                <c:pt idx="275">
                  <c:v>-173.28459866050687</c:v>
                </c:pt>
                <c:pt idx="276">
                  <c:v>-173.20190199582777</c:v>
                </c:pt>
                <c:pt idx="277">
                  <c:v>-173.11906321743376</c:v>
                </c:pt>
                <c:pt idx="278">
                  <c:v>-173.03608985723761</c:v>
                </c:pt>
                <c:pt idx="279">
                  <c:v>-172.95298906033065</c:v>
                </c:pt>
                <c:pt idx="280">
                  <c:v>-172.86976761078316</c:v>
                </c:pt>
                <c:pt idx="281">
                  <c:v>-172.78643195539968</c:v>
                </c:pt>
                <c:pt idx="282">
                  <c:v>-172.70298822561611</c:v>
                </c:pt>
                <c:pt idx="283">
                  <c:v>-172.61944225770543</c:v>
                </c:pt>
                <c:pt idx="284">
                  <c:v>-172.53579961144337</c:v>
                </c:pt>
                <c:pt idx="285">
                  <c:v>-172.45206558736839</c:v>
                </c:pt>
                <c:pt idx="286">
                  <c:v>-172.36824524275858</c:v>
                </c:pt>
                <c:pt idx="287">
                  <c:v>-172.28434340643506</c:v>
                </c:pt>
                <c:pt idx="288">
                  <c:v>-172.20036469249149</c:v>
                </c:pt>
                <c:pt idx="289">
                  <c:v>-172.1163135130391</c:v>
                </c:pt>
                <c:pt idx="290">
                  <c:v>-172.03219409004868</c:v>
                </c:pt>
                <c:pt idx="291">
                  <c:v>-171.94801046636388</c:v>
                </c:pt>
                <c:pt idx="292">
                  <c:v>-171.8637665159518</c:v>
                </c:pt>
                <c:pt idx="293">
                  <c:v>-171.77946595345242</c:v>
                </c:pt>
                <c:pt idx="294">
                  <c:v>-171.69511234308166</c:v>
                </c:pt>
                <c:pt idx="295">
                  <c:v>-171.61070910693928</c:v>
                </c:pt>
                <c:pt idx="296">
                  <c:v>-171.5262595327664</c:v>
                </c:pt>
                <c:pt idx="297">
                  <c:v>-171.44176678119589</c:v>
                </c:pt>
                <c:pt idx="298">
                  <c:v>-171.3572338925328</c:v>
                </c:pt>
                <c:pt idx="299">
                  <c:v>-171.27266379310092</c:v>
                </c:pt>
                <c:pt idx="300">
                  <c:v>-171.18805930118651</c:v>
                </c:pt>
                <c:pt idx="301">
                  <c:v>-171.10342313260989</c:v>
                </c:pt>
                <c:pt idx="302">
                  <c:v>-171.01875790595025</c:v>
                </c:pt>
                <c:pt idx="303">
                  <c:v>-170.93406614745015</c:v>
                </c:pt>
                <c:pt idx="304">
                  <c:v>-170.84935029562135</c:v>
                </c:pt>
                <c:pt idx="305">
                  <c:v>-170.76461270557303</c:v>
                </c:pt>
                <c:pt idx="306">
                  <c:v>-170.67985565308246</c:v>
                </c:pt>
                <c:pt idx="307">
                  <c:v>-170.59508133842476</c:v>
                </c:pt>
                <c:pt idx="308">
                  <c:v>-170.51029188997882</c:v>
                </c:pt>
                <c:pt idx="309">
                  <c:v>-170.42548936762461</c:v>
                </c:pt>
                <c:pt idx="310">
                  <c:v>-170.34067576594524</c:v>
                </c:pt>
                <c:pt idx="311">
                  <c:v>-170.2558530172472</c:v>
                </c:pt>
                <c:pt idx="312">
                  <c:v>-170.17102299441055</c:v>
                </c:pt>
                <c:pt idx="313">
                  <c:v>-170.08618751358</c:v>
                </c:pt>
                <c:pt idx="314">
                  <c:v>-170.00134833670717</c:v>
                </c:pt>
                <c:pt idx="315">
                  <c:v>-169.9165071739537</c:v>
                </c:pt>
                <c:pt idx="316">
                  <c:v>-169.83166568596403</c:v>
                </c:pt>
                <c:pt idx="317">
                  <c:v>-169.7468254860153</c:v>
                </c:pt>
                <c:pt idx="318">
                  <c:v>-169.66198814205322</c:v>
                </c:pt>
                <c:pt idx="319">
                  <c:v>-169.57715517861973</c:v>
                </c:pt>
                <c:pt idx="320">
                  <c:v>-169.4923280786802</c:v>
                </c:pt>
                <c:pt idx="321">
                  <c:v>-169.40750828535491</c:v>
                </c:pt>
                <c:pt idx="322">
                  <c:v>-169.32269720356197</c:v>
                </c:pt>
                <c:pt idx="323">
                  <c:v>-169.23789620157578</c:v>
                </c:pt>
                <c:pt idx="324">
                  <c:v>-169.15310661250683</c:v>
                </c:pt>
                <c:pt idx="325">
                  <c:v>-169.0683297357069</c:v>
                </c:pt>
                <c:pt idx="326">
                  <c:v>-168.98356683810434</c:v>
                </c:pt>
                <c:pt idx="327">
                  <c:v>-168.89881915547318</c:v>
                </c:pt>
                <c:pt idx="328">
                  <c:v>-168.81408789363994</c:v>
                </c:pt>
                <c:pt idx="329">
                  <c:v>-168.7293742296321</c:v>
                </c:pt>
                <c:pt idx="330">
                  <c:v>-168.64467931277051</c:v>
                </c:pt>
                <c:pt idx="331">
                  <c:v>-168.56000426571001</c:v>
                </c:pt>
                <c:pt idx="332">
                  <c:v>-168.47535018543007</c:v>
                </c:pt>
                <c:pt idx="333">
                  <c:v>-168.39071814417937</c:v>
                </c:pt>
                <c:pt idx="334">
                  <c:v>-168.30610919037542</c:v>
                </c:pt>
                <c:pt idx="335">
                  <c:v>-168.22152434946281</c:v>
                </c:pt>
                <c:pt idx="336">
                  <c:v>-168.13696462473189</c:v>
                </c:pt>
                <c:pt idx="337">
                  <c:v>-168.05243099810002</c:v>
                </c:pt>
                <c:pt idx="338">
                  <c:v>-167.96792443085684</c:v>
                </c:pt>
                <c:pt idx="339">
                  <c:v>-167.88344586437665</c:v>
                </c:pt>
                <c:pt idx="340">
                  <c:v>-167.79899622079844</c:v>
                </c:pt>
                <c:pt idx="341">
                  <c:v>-167.71457640367589</c:v>
                </c:pt>
                <c:pt idx="342">
                  <c:v>-167.63018729859846</c:v>
                </c:pt>
                <c:pt idx="343">
                  <c:v>-167.5458297737855</c:v>
                </c:pt>
                <c:pt idx="344">
                  <c:v>-167.46150468065474</c:v>
                </c:pt>
                <c:pt idx="345">
                  <c:v>-167.37721285436544</c:v>
                </c:pt>
                <c:pt idx="346">
                  <c:v>-167.29295511433924</c:v>
                </c:pt>
                <c:pt idx="347">
                  <c:v>-167.20873226475786</c:v>
                </c:pt>
                <c:pt idx="348">
                  <c:v>-167.12454509504079</c:v>
                </c:pt>
                <c:pt idx="349">
                  <c:v>-167.04039438030185</c:v>
                </c:pt>
                <c:pt idx="350">
                  <c:v>-166.95628088178745</c:v>
                </c:pt>
                <c:pt idx="351">
                  <c:v>-166.87220534729641</c:v>
                </c:pt>
                <c:pt idx="352">
                  <c:v>-166.78816851158263</c:v>
                </c:pt>
                <c:pt idx="353">
                  <c:v>-166.70417109674108</c:v>
                </c:pt>
                <c:pt idx="354">
                  <c:v>-166.62021381257836</c:v>
                </c:pt>
                <c:pt idx="355">
                  <c:v>-166.53629735696799</c:v>
                </c:pt>
                <c:pt idx="356">
                  <c:v>-166.45242241619209</c:v>
                </c:pt>
                <c:pt idx="357">
                  <c:v>-166.36858966526864</c:v>
                </c:pt>
                <c:pt idx="358">
                  <c:v>-166.28479976826637</c:v>
                </c:pt>
                <c:pt idx="359">
                  <c:v>-166.20105337860716</c:v>
                </c:pt>
                <c:pt idx="360">
                  <c:v>-166.11735113935654</c:v>
                </c:pt>
                <c:pt idx="361">
                  <c:v>-166.03369368350297</c:v>
                </c:pt>
                <c:pt idx="362">
                  <c:v>-165.95008163422634</c:v>
                </c:pt>
                <c:pt idx="363">
                  <c:v>-165.86651560515631</c:v>
                </c:pt>
                <c:pt idx="364">
                  <c:v>-165.78299620062052</c:v>
                </c:pt>
                <c:pt idx="365">
                  <c:v>-165.69952401588404</c:v>
                </c:pt>
                <c:pt idx="366">
                  <c:v>-165.61609963737882</c:v>
                </c:pt>
                <c:pt idx="367">
                  <c:v>-165.53272364292582</c:v>
                </c:pt>
                <c:pt idx="368">
                  <c:v>-165.44939660194763</c:v>
                </c:pt>
                <c:pt idx="369">
                  <c:v>-165.36611907567433</c:v>
                </c:pt>
                <c:pt idx="370">
                  <c:v>-165.28289161734114</c:v>
                </c:pt>
                <c:pt idx="371">
                  <c:v>-165.19971477237925</c:v>
                </c:pt>
                <c:pt idx="372">
                  <c:v>-165.11658907859939</c:v>
                </c:pt>
                <c:pt idx="373">
                  <c:v>-165.03351506636915</c:v>
                </c:pt>
                <c:pt idx="374">
                  <c:v>-164.95049325878381</c:v>
                </c:pt>
                <c:pt idx="375">
                  <c:v>-164.86752417183104</c:v>
                </c:pt>
                <c:pt idx="376">
                  <c:v>-164.7846083145501</c:v>
                </c:pt>
                <c:pt idx="377">
                  <c:v>-164.70174618918495</c:v>
                </c:pt>
                <c:pt idx="378">
                  <c:v>-164.61893829133246</c:v>
                </c:pt>
                <c:pt idx="379">
                  <c:v>-164.53618511008537</c:v>
                </c:pt>
                <c:pt idx="380">
                  <c:v>-164.45348712817011</c:v>
                </c:pt>
                <c:pt idx="381">
                  <c:v>-164.37084482208058</c:v>
                </c:pt>
                <c:pt idx="382">
                  <c:v>-164.28825866220637</c:v>
                </c:pt>
                <c:pt idx="383">
                  <c:v>-164.20572911295736</c:v>
                </c:pt>
                <c:pt idx="384">
                  <c:v>-164.12325663288428</c:v>
                </c:pt>
                <c:pt idx="385">
                  <c:v>-164.04084167479454</c:v>
                </c:pt>
                <c:pt idx="386">
                  <c:v>-163.95848468586485</c:v>
                </c:pt>
                <c:pt idx="387">
                  <c:v>-163.87618610774987</c:v>
                </c:pt>
                <c:pt idx="388">
                  <c:v>-163.79394637668744</c:v>
                </c:pt>
                <c:pt idx="389">
                  <c:v>-163.71176592360013</c:v>
                </c:pt>
                <c:pt idx="390">
                  <c:v>-163.6296451741938</c:v>
                </c:pt>
                <c:pt idx="391">
                  <c:v>-163.54758454905291</c:v>
                </c:pt>
                <c:pt idx="392">
                  <c:v>-163.4655844637328</c:v>
                </c:pt>
                <c:pt idx="393">
                  <c:v>-163.38364532884884</c:v>
                </c:pt>
                <c:pt idx="394">
                  <c:v>-163.30176755016316</c:v>
                </c:pt>
                <c:pt idx="395">
                  <c:v>-163.21995152866836</c:v>
                </c:pt>
                <c:pt idx="396">
                  <c:v>-163.13819766066882</c:v>
                </c:pt>
                <c:pt idx="397">
                  <c:v>-163.05650633785916</c:v>
                </c:pt>
                <c:pt idx="398">
                  <c:v>-162.97487794740101</c:v>
                </c:pt>
                <c:pt idx="399">
                  <c:v>-162.89331287199647</c:v>
                </c:pt>
                <c:pt idx="400">
                  <c:v>-162.81181148996021</c:v>
                </c:pt>
                <c:pt idx="401">
                  <c:v>-162.73037417528897</c:v>
                </c:pt>
                <c:pt idx="402">
                  <c:v>-162.64900129772897</c:v>
                </c:pt>
                <c:pt idx="403">
                  <c:v>-162.56769322284168</c:v>
                </c:pt>
                <c:pt idx="404">
                  <c:v>-162.48645031206715</c:v>
                </c:pt>
                <c:pt idx="405">
                  <c:v>-162.40527292278594</c:v>
                </c:pt>
                <c:pt idx="406">
                  <c:v>-162.32416140837887</c:v>
                </c:pt>
                <c:pt idx="407">
                  <c:v>-162.24311611828549</c:v>
                </c:pt>
                <c:pt idx="408">
                  <c:v>-162.16213739806054</c:v>
                </c:pt>
                <c:pt idx="409">
                  <c:v>-162.08122558942887</c:v>
                </c:pt>
                <c:pt idx="410">
                  <c:v>-162.00038103033887</c:v>
                </c:pt>
                <c:pt idx="411">
                  <c:v>-161.91960405501445</c:v>
                </c:pt>
                <c:pt idx="412">
                  <c:v>-161.8388949940055</c:v>
                </c:pt>
                <c:pt idx="413">
                  <c:v>-161.75825417423692</c:v>
                </c:pt>
                <c:pt idx="414">
                  <c:v>-161.67768191905645</c:v>
                </c:pt>
                <c:pt idx="415">
                  <c:v>-161.59717854828119</c:v>
                </c:pt>
                <c:pt idx="416">
                  <c:v>-161.51674437824266</c:v>
                </c:pt>
                <c:pt idx="417">
                  <c:v>-161.43637972183089</c:v>
                </c:pt>
                <c:pt idx="418">
                  <c:v>-161.35608488853731</c:v>
                </c:pt>
                <c:pt idx="419">
                  <c:v>-161.27586018449637</c:v>
                </c:pt>
                <c:pt idx="420">
                  <c:v>-161.19570591252634</c:v>
                </c:pt>
                <c:pt idx="421">
                  <c:v>-161.11562237216867</c:v>
                </c:pt>
                <c:pt idx="422">
                  <c:v>-161.03560985972683</c:v>
                </c:pt>
                <c:pt idx="423">
                  <c:v>-160.95566866830367</c:v>
                </c:pt>
                <c:pt idx="424">
                  <c:v>-160.8757990878382</c:v>
                </c:pt>
                <c:pt idx="425">
                  <c:v>-160.79600140514137</c:v>
                </c:pt>
                <c:pt idx="426">
                  <c:v>-160.71627590393078</c:v>
                </c:pt>
                <c:pt idx="427">
                  <c:v>-160.63662286486485</c:v>
                </c:pt>
                <c:pt idx="428">
                  <c:v>-160.5570425655759</c:v>
                </c:pt>
                <c:pt idx="429">
                  <c:v>-160.47753528070257</c:v>
                </c:pt>
                <c:pt idx="430">
                  <c:v>-160.39810128192144</c:v>
                </c:pt>
                <c:pt idx="431">
                  <c:v>-160.31874083797783</c:v>
                </c:pt>
                <c:pt idx="432">
                  <c:v>-160.23945421471609</c:v>
                </c:pt>
                <c:pt idx="433">
                  <c:v>-160.16024167510889</c:v>
                </c:pt>
                <c:pt idx="434">
                  <c:v>-160.08110347928613</c:v>
                </c:pt>
                <c:pt idx="435">
                  <c:v>-160.002039884563</c:v>
                </c:pt>
                <c:pt idx="436">
                  <c:v>-159.92305114546744</c:v>
                </c:pt>
                <c:pt idx="437">
                  <c:v>-159.84413751376712</c:v>
                </c:pt>
                <c:pt idx="438">
                  <c:v>-159.76529923849566</c:v>
                </c:pt>
                <c:pt idx="439">
                  <c:v>-159.68653656597843</c:v>
                </c:pt>
                <c:pt idx="440">
                  <c:v>-159.60784973985756</c:v>
                </c:pt>
                <c:pt idx="441">
                  <c:v>-159.52923900111679</c:v>
                </c:pt>
                <c:pt idx="442">
                  <c:v>-159.45070458810531</c:v>
                </c:pt>
                <c:pt idx="443">
                  <c:v>-159.37224673656172</c:v>
                </c:pt>
                <c:pt idx="444">
                  <c:v>-159.29386567963689</c:v>
                </c:pt>
                <c:pt idx="445">
                  <c:v>-159.21556164791676</c:v>
                </c:pt>
                <c:pt idx="446">
                  <c:v>-159.13733486944432</c:v>
                </c:pt>
                <c:pt idx="447">
                  <c:v>-159.05918556974174</c:v>
                </c:pt>
                <c:pt idx="448">
                  <c:v>-158.98111397183138</c:v>
                </c:pt>
                <c:pt idx="449">
                  <c:v>-158.90312029625687</c:v>
                </c:pt>
                <c:pt idx="450">
                  <c:v>-158.82520476110358</c:v>
                </c:pt>
                <c:pt idx="451">
                  <c:v>-158.74736758201874</c:v>
                </c:pt>
                <c:pt idx="452">
                  <c:v>-158.66960897223126</c:v>
                </c:pt>
                <c:pt idx="453">
                  <c:v>-158.59192914257102</c:v>
                </c:pt>
                <c:pt idx="454">
                  <c:v>-158.51432830148804</c:v>
                </c:pt>
                <c:pt idx="455">
                  <c:v>-158.43680665507105</c:v>
                </c:pt>
                <c:pt idx="456">
                  <c:v>-158.35936440706581</c:v>
                </c:pt>
                <c:pt idx="457">
                  <c:v>-158.28200175889344</c:v>
                </c:pt>
                <c:pt idx="458">
                  <c:v>-158.2047189096678</c:v>
                </c:pt>
                <c:pt idx="459">
                  <c:v>-158.12751605621312</c:v>
                </c:pt>
                <c:pt idx="460">
                  <c:v>-158.05039339308109</c:v>
                </c:pt>
                <c:pt idx="461">
                  <c:v>-157.97335111256771</c:v>
                </c:pt>
                <c:pt idx="462">
                  <c:v>-157.89638940472977</c:v>
                </c:pt>
                <c:pt idx="463">
                  <c:v>-157.81950845740141</c:v>
                </c:pt>
                <c:pt idx="464">
                  <c:v>-157.74270845620981</c:v>
                </c:pt>
                <c:pt idx="465">
                  <c:v>-157.66598958459147</c:v>
                </c:pt>
                <c:pt idx="466">
                  <c:v>-157.58935202380715</c:v>
                </c:pt>
                <c:pt idx="467">
                  <c:v>-157.51279595295773</c:v>
                </c:pt>
                <c:pt idx="468">
                  <c:v>-157.43632154899899</c:v>
                </c:pt>
                <c:pt idx="469">
                  <c:v>-157.35992898675667</c:v>
                </c:pt>
                <c:pt idx="470">
                  <c:v>-157.28361843894083</c:v>
                </c:pt>
                <c:pt idx="471">
                  <c:v>-157.20739007616072</c:v>
                </c:pt>
                <c:pt idx="472">
                  <c:v>-157.13124406693862</c:v>
                </c:pt>
                <c:pt idx="473">
                  <c:v>-157.05518057772406</c:v>
                </c:pt>
                <c:pt idx="474">
                  <c:v>-156.97919977290769</c:v>
                </c:pt>
                <c:pt idx="475">
                  <c:v>-156.9033018148348</c:v>
                </c:pt>
                <c:pt idx="476">
                  <c:v>-156.82748686381908</c:v>
                </c:pt>
                <c:pt idx="477">
                  <c:v>-156.75175507815547</c:v>
                </c:pt>
                <c:pt idx="478">
                  <c:v>-156.6761066141338</c:v>
                </c:pt>
                <c:pt idx="479">
                  <c:v>-156.60054162605144</c:v>
                </c:pt>
                <c:pt idx="480">
                  <c:v>-156.52506026622615</c:v>
                </c:pt>
                <c:pt idx="481">
                  <c:v>-156.44966268500892</c:v>
                </c:pt>
                <c:pt idx="482">
                  <c:v>-156.37434903079617</c:v>
                </c:pt>
                <c:pt idx="483">
                  <c:v>-156.2991194500423</c:v>
                </c:pt>
                <c:pt idx="484">
                  <c:v>-156.22397408727198</c:v>
                </c:pt>
                <c:pt idx="485">
                  <c:v>-156.148913085092</c:v>
                </c:pt>
                <c:pt idx="486">
                  <c:v>-156.07393658420338</c:v>
                </c:pt>
                <c:pt idx="487">
                  <c:v>-155.99904472341305</c:v>
                </c:pt>
                <c:pt idx="488">
                  <c:v>-155.92423763964561</c:v>
                </c:pt>
                <c:pt idx="489">
                  <c:v>-155.84951546795489</c:v>
                </c:pt>
                <c:pt idx="490">
                  <c:v>-155.77487834153538</c:v>
                </c:pt>
                <c:pt idx="491">
                  <c:v>-155.70032639173346</c:v>
                </c:pt>
                <c:pt idx="492">
                  <c:v>-155.62585974805873</c:v>
                </c:pt>
                <c:pt idx="493">
                  <c:v>-155.55147853819494</c:v>
                </c:pt>
                <c:pt idx="494">
                  <c:v>-155.47718288801127</c:v>
                </c:pt>
                <c:pt idx="495">
                  <c:v>-155.4029729215728</c:v>
                </c:pt>
                <c:pt idx="496">
                  <c:v>-155.32884876115159</c:v>
                </c:pt>
                <c:pt idx="497">
                  <c:v>-155.25481052723728</c:v>
                </c:pt>
                <c:pt idx="498">
                  <c:v>-155.18085833854761</c:v>
                </c:pt>
                <c:pt idx="499">
                  <c:v>-155.10699231203895</c:v>
                </c:pt>
                <c:pt idx="500">
                  <c:v>-155.03321256291676</c:v>
                </c:pt>
                <c:pt idx="501">
                  <c:v>-154.95951920464572</c:v>
                </c:pt>
                <c:pt idx="502">
                  <c:v>-154.88591234896015</c:v>
                </c:pt>
                <c:pt idx="503">
                  <c:v>-154.81239210587398</c:v>
                </c:pt>
                <c:pt idx="504">
                  <c:v>-154.73895858369093</c:v>
                </c:pt>
                <c:pt idx="505">
                  <c:v>-154.66561188901434</c:v>
                </c:pt>
                <c:pt idx="506">
                  <c:v>-154.59235212675719</c:v>
                </c:pt>
                <c:pt idx="507">
                  <c:v>-154.51917940015184</c:v>
                </c:pt>
                <c:pt idx="508">
                  <c:v>-154.44609381075986</c:v>
                </c:pt>
                <c:pt idx="509">
                  <c:v>-154.37309545848152</c:v>
                </c:pt>
                <c:pt idx="510">
                  <c:v>-154.30018444156553</c:v>
                </c:pt>
                <c:pt idx="511">
                  <c:v>-154.22736085661865</c:v>
                </c:pt>
                <c:pt idx="512">
                  <c:v>-154.15462479861486</c:v>
                </c:pt>
                <c:pt idx="513">
                  <c:v>-154.08197636090506</c:v>
                </c:pt>
                <c:pt idx="514">
                  <c:v>-154.00941563522619</c:v>
                </c:pt>
                <c:pt idx="515">
                  <c:v>-153.93694271171066</c:v>
                </c:pt>
                <c:pt idx="516">
                  <c:v>-153.86455767889538</c:v>
                </c:pt>
                <c:pt idx="517">
                  <c:v>-153.79226062373112</c:v>
                </c:pt>
                <c:pt idx="518">
                  <c:v>-153.72005163159139</c:v>
                </c:pt>
                <c:pt idx="519">
                  <c:v>-153.64793078628153</c:v>
                </c:pt>
                <c:pt idx="520">
                  <c:v>-153.57589817004785</c:v>
                </c:pt>
                <c:pt idx="521">
                  <c:v>-153.50395386358628</c:v>
                </c:pt>
                <c:pt idx="522">
                  <c:v>-153.4320979460515</c:v>
                </c:pt>
                <c:pt idx="523">
                  <c:v>-153.36033049506551</c:v>
                </c:pt>
                <c:pt idx="524">
                  <c:v>-153.28865158672667</c:v>
                </c:pt>
                <c:pt idx="525">
                  <c:v>-153.21706129561815</c:v>
                </c:pt>
                <c:pt idx="526">
                  <c:v>-153.14555969481671</c:v>
                </c:pt>
                <c:pt idx="527">
                  <c:v>-153.07414685590132</c:v>
                </c:pt>
                <c:pt idx="528">
                  <c:v>-153.00282284896178</c:v>
                </c:pt>
                <c:pt idx="529">
                  <c:v>-152.93158774260723</c:v>
                </c:pt>
                <c:pt idx="530">
                  <c:v>-152.86044160397444</c:v>
                </c:pt>
                <c:pt idx="531">
                  <c:v>-152.78938449873661</c:v>
                </c:pt>
                <c:pt idx="532">
                  <c:v>-152.71841649111133</c:v>
                </c:pt>
                <c:pt idx="533">
                  <c:v>-152.64753764386936</c:v>
                </c:pt>
                <c:pt idx="534">
                  <c:v>-152.57674801834264</c:v>
                </c:pt>
                <c:pt idx="535">
                  <c:v>-152.50604767443264</c:v>
                </c:pt>
                <c:pt idx="536">
                  <c:v>-152.43543667061869</c:v>
                </c:pt>
                <c:pt idx="537">
                  <c:v>-152.36491506396604</c:v>
                </c:pt>
                <c:pt idx="538">
                  <c:v>-152.29448291013404</c:v>
                </c:pt>
                <c:pt idx="539">
                  <c:v>-152.22414026338424</c:v>
                </c:pt>
                <c:pt idx="540">
                  <c:v>-152.15388717658865</c:v>
                </c:pt>
                <c:pt idx="541">
                  <c:v>-152.08372370123752</c:v>
                </c:pt>
                <c:pt idx="542">
                  <c:v>-152.01364988744743</c:v>
                </c:pt>
                <c:pt idx="543">
                  <c:v>-151.94366578396938</c:v>
                </c:pt>
                <c:pt idx="544">
                  <c:v>-151.87377143819648</c:v>
                </c:pt>
                <c:pt idx="545">
                  <c:v>-151.80396689617217</c:v>
                </c:pt>
                <c:pt idx="546">
                  <c:v>-151.73425220259779</c:v>
                </c:pt>
                <c:pt idx="547">
                  <c:v>-151.6646274008406</c:v>
                </c:pt>
                <c:pt idx="548">
                  <c:v>-151.59509253294146</c:v>
                </c:pt>
                <c:pt idx="549">
                  <c:v>-151.52564763962275</c:v>
                </c:pt>
                <c:pt idx="550">
                  <c:v>-151.45629276029587</c:v>
                </c:pt>
                <c:pt idx="551">
                  <c:v>-151.38702793306922</c:v>
                </c:pt>
                <c:pt idx="552">
                  <c:v>-151.31785319475566</c:v>
                </c:pt>
                <c:pt idx="553">
                  <c:v>-151.24876858088024</c:v>
                </c:pt>
                <c:pt idx="554">
                  <c:v>-151.1797741256878</c:v>
                </c:pt>
                <c:pt idx="555">
                  <c:v>-151.11086986215065</c:v>
                </c:pt>
                <c:pt idx="556">
                  <c:v>-151.04205582197594</c:v>
                </c:pt>
                <c:pt idx="557">
                  <c:v>-150.97333203561328</c:v>
                </c:pt>
                <c:pt idx="558">
                  <c:v>-150.90469853226224</c:v>
                </c:pt>
                <c:pt idx="559">
                  <c:v>-150.83615533987989</c:v>
                </c:pt>
                <c:pt idx="560">
                  <c:v>-150.76770248518807</c:v>
                </c:pt>
                <c:pt idx="561">
                  <c:v>-150.69933999368092</c:v>
                </c:pt>
                <c:pt idx="562">
                  <c:v>-150.63106788963228</c:v>
                </c:pt>
                <c:pt idx="563">
                  <c:v>-150.56288619610299</c:v>
                </c:pt>
                <c:pt idx="564">
                  <c:v>-150.4947949349482</c:v>
                </c:pt>
                <c:pt idx="565">
                  <c:v>-150.4267941268248</c:v>
                </c:pt>
                <c:pt idx="566">
                  <c:v>-150.35888379119856</c:v>
                </c:pt>
                <c:pt idx="567">
                  <c:v>-150.29106394635139</c:v>
                </c:pt>
                <c:pt idx="568">
                  <c:v>-150.22333460938867</c:v>
                </c:pt>
                <c:pt idx="569">
                  <c:v>-150.15569579624645</c:v>
                </c:pt>
                <c:pt idx="570">
                  <c:v>-150.0881475216984</c:v>
                </c:pt>
                <c:pt idx="571">
                  <c:v>-150.02068979936331</c:v>
                </c:pt>
                <c:pt idx="572">
                  <c:v>-149.95332264171194</c:v>
                </c:pt>
                <c:pt idx="573">
                  <c:v>-149.88604606007416</c:v>
                </c:pt>
                <c:pt idx="574">
                  <c:v>-149.81886006464612</c:v>
                </c:pt>
                <c:pt idx="575">
                  <c:v>-149.7517646644973</c:v>
                </c:pt>
                <c:pt idx="576">
                  <c:v>-149.68475986757744</c:v>
                </c:pt>
                <c:pt idx="577">
                  <c:v>-149.61784568072366</c:v>
                </c:pt>
                <c:pt idx="578">
                  <c:v>-149.55102210966717</c:v>
                </c:pt>
                <c:pt idx="579">
                  <c:v>-149.48428915904066</c:v>
                </c:pt>
                <c:pt idx="580">
                  <c:v>-149.41764683238483</c:v>
                </c:pt>
                <c:pt idx="581">
                  <c:v>-149.35109513215556</c:v>
                </c:pt>
                <c:pt idx="582">
                  <c:v>-149.28463405973062</c:v>
                </c:pt>
                <c:pt idx="583">
                  <c:v>-149.21826361541662</c:v>
                </c:pt>
                <c:pt idx="584">
                  <c:v>-149.15198379845583</c:v>
                </c:pt>
                <c:pt idx="585">
                  <c:v>-149.08579460703294</c:v>
                </c:pt>
                <c:pt idx="586">
                  <c:v>-149.01969603828198</c:v>
                </c:pt>
                <c:pt idx="587">
                  <c:v>-148.95368808829281</c:v>
                </c:pt>
                <c:pt idx="588">
                  <c:v>-148.88777075211826</c:v>
                </c:pt>
                <c:pt idx="589">
                  <c:v>-148.82194402378059</c:v>
                </c:pt>
                <c:pt idx="590">
                  <c:v>-148.75620789627814</c:v>
                </c:pt>
                <c:pt idx="591">
                  <c:v>-148.69056236159216</c:v>
                </c:pt>
                <c:pt idx="592">
                  <c:v>-148.6250074106934</c:v>
                </c:pt>
                <c:pt idx="593">
                  <c:v>-148.55954303354872</c:v>
                </c:pt>
                <c:pt idx="594">
                  <c:v>-148.49416921912777</c:v>
                </c:pt>
                <c:pt idx="595">
                  <c:v>-148.42888595540944</c:v>
                </c:pt>
                <c:pt idx="596">
                  <c:v>-148.36369322938853</c:v>
                </c:pt>
                <c:pt idx="597">
                  <c:v>-148.29859102708224</c:v>
                </c:pt>
                <c:pt idx="598">
                  <c:v>-148.2335793335368</c:v>
                </c:pt>
                <c:pt idx="599">
                  <c:v>-148.16865813283371</c:v>
                </c:pt>
                <c:pt idx="600">
                  <c:v>-148.10382740809646</c:v>
                </c:pt>
                <c:pt idx="601">
                  <c:v>-148.03908714149691</c:v>
                </c:pt>
                <c:pt idx="602">
                  <c:v>-147.97443731426159</c:v>
                </c:pt>
                <c:pt idx="603">
                  <c:v>-147.90987790667833</c:v>
                </c:pt>
                <c:pt idx="604">
                  <c:v>-147.84540889810248</c:v>
                </c:pt>
                <c:pt idx="605">
                  <c:v>-147.78103026696326</c:v>
                </c:pt>
                <c:pt idx="606">
                  <c:v>-144.67660152926106</c:v>
                </c:pt>
                <c:pt idx="607">
                  <c:v>-141.79232473201961</c:v>
                </c:pt>
                <c:pt idx="608">
                  <c:v>-139.11897449238964</c:v>
                </c:pt>
                <c:pt idx="609">
                  <c:v>-136.6448184678203</c:v>
                </c:pt>
                <c:pt idx="610">
                  <c:v>-134.35675058407347</c:v>
                </c:pt>
                <c:pt idx="611">
                  <c:v>-132.24113053665681</c:v>
                </c:pt>
                <c:pt idx="612">
                  <c:v>-130.28437582422464</c:v>
                </c:pt>
                <c:pt idx="613">
                  <c:v>-128.47335670705317</c:v>
                </c:pt>
                <c:pt idx="614">
                  <c:v>-126.79564140772536</c:v>
                </c:pt>
                <c:pt idx="615">
                  <c:v>-125.23963204048842</c:v>
                </c:pt>
                <c:pt idx="616">
                  <c:v>-123.79462378004953</c:v>
                </c:pt>
                <c:pt idx="617">
                  <c:v>-122.45081218890496</c:v>
                </c:pt>
                <c:pt idx="618">
                  <c:v>-121.93959386528348</c:v>
                </c:pt>
                <c:pt idx="619">
                  <c:v>-121.44259519793692</c:v>
                </c:pt>
                <c:pt idx="620">
                  <c:v>-120.95930314822095</c:v>
                </c:pt>
                <c:pt idx="621">
                  <c:v>-120.48922473271266</c:v>
                </c:pt>
                <c:pt idx="622">
                  <c:v>-120.03188639617056</c:v>
                </c:pt>
                <c:pt idx="623">
                  <c:v>-119.58683337051036</c:v>
                </c:pt>
                <c:pt idx="624">
                  <c:v>-119.15362902653217</c:v>
                </c:pt>
                <c:pt idx="625">
                  <c:v>-118.73185422402362</c:v>
                </c:pt>
                <c:pt idx="626">
                  <c:v>-118.32110666489926</c:v>
                </c:pt>
                <c:pt idx="627">
                  <c:v>-117.92100025320272</c:v>
                </c:pt>
                <c:pt idx="628">
                  <c:v>-117.53116446508263</c:v>
                </c:pt>
                <c:pt idx="629">
                  <c:v>-117.1512437312348</c:v>
                </c:pt>
                <c:pt idx="630">
                  <c:v>-116.78089683377971</c:v>
                </c:pt>
                <c:pt idx="631">
                  <c:v>-116.41979631909199</c:v>
                </c:pt>
                <c:pt idx="632">
                  <c:v>-116.06762792772055</c:v>
                </c:pt>
                <c:pt idx="633">
                  <c:v>-115.72409004221312</c:v>
                </c:pt>
                <c:pt idx="634">
                  <c:v>-115.38889315338898</c:v>
                </c:pt>
                <c:pt idx="635">
                  <c:v>-115.06175934537606</c:v>
                </c:pt>
                <c:pt idx="636">
                  <c:v>-114.74242179953991</c:v>
                </c:pt>
                <c:pt idx="637">
                  <c:v>-114.43062431727414</c:v>
                </c:pt>
                <c:pt idx="638">
                  <c:v>-114.1261208614965</c:v>
                </c:pt>
                <c:pt idx="639">
                  <c:v>-113.82867511658739</c:v>
                </c:pt>
                <c:pt idx="640">
                  <c:v>-113.53806006642684</c:v>
                </c:pt>
                <c:pt idx="641">
                  <c:v>-113.25405759011782</c:v>
                </c:pt>
                <c:pt idx="642">
                  <c:v>-112.9764580749344</c:v>
                </c:pt>
                <c:pt idx="643">
                  <c:v>-112.70506004599338</c:v>
                </c:pt>
                <c:pt idx="644">
                  <c:v>-112.43966981212084</c:v>
                </c:pt>
                <c:pt idx="645">
                  <c:v>-112.18010112736563</c:v>
                </c:pt>
                <c:pt idx="646">
                  <c:v>-111.92617486760075</c:v>
                </c:pt>
                <c:pt idx="647">
                  <c:v>-111.67771872164775</c:v>
                </c:pt>
                <c:pt idx="648">
                  <c:v>-111.43456689635919</c:v>
                </c:pt>
                <c:pt idx="649">
                  <c:v>-111.19655983509813</c:v>
                </c:pt>
                <c:pt idx="650">
                  <c:v>-110.96354394906105</c:v>
                </c:pt>
                <c:pt idx="651">
                  <c:v>-110.7353713609003</c:v>
                </c:pt>
                <c:pt idx="652">
                  <c:v>-110.51189966011479</c:v>
                </c:pt>
                <c:pt idx="653">
                  <c:v>-110.29299166969157</c:v>
                </c:pt>
                <c:pt idx="654">
                  <c:v>-110.07851522349499</c:v>
                </c:pt>
                <c:pt idx="655">
                  <c:v>-109.86834295391807</c:v>
                </c:pt>
                <c:pt idx="656">
                  <c:v>-109.66235208932575</c:v>
                </c:pt>
                <c:pt idx="657">
                  <c:v>-109.46042426083716</c:v>
                </c:pt>
                <c:pt idx="658">
                  <c:v>-109.26244531801231</c:v>
                </c:pt>
                <c:pt idx="659">
                  <c:v>-109.0683051530241</c:v>
                </c:pt>
                <c:pt idx="660">
                  <c:v>-108.87789753291557</c:v>
                </c:pt>
                <c:pt idx="661">
                  <c:v>-108.69111993955762</c:v>
                </c:pt>
                <c:pt idx="662">
                  <c:v>-108.50787341694068</c:v>
                </c:pt>
                <c:pt idx="663">
                  <c:v>-108.32806242544858</c:v>
                </c:pt>
                <c:pt idx="664">
                  <c:v>-108.1515947027797</c:v>
                </c:pt>
                <c:pt idx="665">
                  <c:v>-107.97838113119593</c:v>
                </c:pt>
                <c:pt idx="666">
                  <c:v>-107.80833561079358</c:v>
                </c:pt>
                <c:pt idx="667">
                  <c:v>-107.64137493850684</c:v>
                </c:pt>
              </c:numCache>
            </c:numRef>
          </c:yVal>
          <c:smooth val="0"/>
          <c:extLst>
            <c:ext xmlns:c16="http://schemas.microsoft.com/office/drawing/2014/chart" uri="{C3380CC4-5D6E-409C-BE32-E72D297353CC}">
              <c16:uniqueId val="{00000001-FB67-4ADA-8831-71CEB75F186C}"/>
            </c:ext>
          </c:extLst>
        </c:ser>
        <c:dLbls>
          <c:showLegendKey val="0"/>
          <c:showVal val="0"/>
          <c:showCatName val="0"/>
          <c:showSerName val="0"/>
          <c:showPercent val="0"/>
          <c:showBubbleSize val="0"/>
        </c:dLbls>
        <c:axId val="157023616"/>
        <c:axId val="156763264"/>
      </c:scatterChart>
      <c:valAx>
        <c:axId val="157007232"/>
        <c:scaling>
          <c:logBase val="10"/>
          <c:orientation val="minMax"/>
          <c:max val="10000000"/>
          <c:min val="1000"/>
        </c:scaling>
        <c:delete val="0"/>
        <c:axPos val="b"/>
        <c:title>
          <c:tx>
            <c:rich>
              <a:bodyPr/>
              <a:lstStyle/>
              <a:p>
                <a:pPr>
                  <a:defRPr sz="800" b="1" i="0" u="none" strike="noStrike" baseline="0">
                    <a:solidFill>
                      <a:srgbClr val="000000"/>
                    </a:solidFill>
                    <a:latin typeface="Arial"/>
                    <a:ea typeface="Arial"/>
                    <a:cs typeface="Arial"/>
                  </a:defRPr>
                </a:pPr>
                <a:r>
                  <a:rPr lang="en-US"/>
                  <a:t>Frequency (Hz)</a:t>
                </a:r>
              </a:p>
            </c:rich>
          </c:tx>
          <c:layout>
            <c:manualLayout>
              <c:xMode val="edge"/>
              <c:yMode val="edge"/>
              <c:x val="0.43297177526722869"/>
              <c:y val="0.88311797388962088"/>
            </c:manualLayout>
          </c:layout>
          <c:overlay val="0"/>
          <c:spPr>
            <a:noFill/>
            <a:ln w="25400">
              <a:noFill/>
            </a:ln>
          </c:spPr>
        </c:title>
        <c:numFmt formatCode="General" sourceLinked="1"/>
        <c:majorTickMark val="out"/>
        <c:minorTickMark val="in"/>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57021696"/>
        <c:crossesAt val="-120"/>
        <c:crossBetween val="midCat"/>
      </c:valAx>
      <c:valAx>
        <c:axId val="157021696"/>
        <c:scaling>
          <c:orientation val="minMax"/>
        </c:scaling>
        <c:delete val="0"/>
        <c:axPos val="l"/>
        <c:majorGridlines>
          <c:spPr>
            <a:ln w="3175">
              <a:solidFill>
                <a:srgbClr val="000000"/>
              </a:solidFill>
              <a:prstDash val="solid"/>
            </a:ln>
          </c:spPr>
        </c:majorGridlines>
        <c:title>
          <c:tx>
            <c:rich>
              <a:bodyPr/>
              <a:lstStyle/>
              <a:p>
                <a:pPr>
                  <a:defRPr sz="800" b="1" i="0" u="none" strike="noStrike" baseline="0">
                    <a:solidFill>
                      <a:srgbClr val="000000"/>
                    </a:solidFill>
                    <a:latin typeface="Arial"/>
                    <a:ea typeface="Arial"/>
                    <a:cs typeface="Arial"/>
                  </a:defRPr>
                </a:pPr>
                <a:r>
                  <a:rPr lang="en-US"/>
                  <a:t>Gain (db)</a:t>
                </a:r>
              </a:p>
            </c:rich>
          </c:tx>
          <c:layout>
            <c:manualLayout>
              <c:xMode val="edge"/>
              <c:yMode val="edge"/>
              <c:x val="3.0797101449275412E-2"/>
              <c:y val="0.4415589869448189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57007232"/>
        <c:crosses val="autoZero"/>
        <c:crossBetween val="midCat"/>
      </c:valAx>
      <c:valAx>
        <c:axId val="157023616"/>
        <c:scaling>
          <c:logBase val="10"/>
          <c:orientation val="minMax"/>
        </c:scaling>
        <c:delete val="1"/>
        <c:axPos val="b"/>
        <c:numFmt formatCode="General" sourceLinked="1"/>
        <c:majorTickMark val="out"/>
        <c:minorTickMark val="none"/>
        <c:tickLblPos val="none"/>
        <c:crossAx val="156763264"/>
        <c:crosses val="autoZero"/>
        <c:crossBetween val="midCat"/>
      </c:valAx>
      <c:valAx>
        <c:axId val="156763264"/>
        <c:scaling>
          <c:orientation val="minMax"/>
        </c:scaling>
        <c:delete val="0"/>
        <c:axPos val="r"/>
        <c:title>
          <c:tx>
            <c:rich>
              <a:bodyPr/>
              <a:lstStyle/>
              <a:p>
                <a:pPr>
                  <a:defRPr sz="800" b="1" i="0" u="none" strike="noStrike" baseline="0">
                    <a:solidFill>
                      <a:srgbClr val="000000"/>
                    </a:solidFill>
                    <a:latin typeface="Arial"/>
                    <a:ea typeface="Arial"/>
                    <a:cs typeface="Arial"/>
                  </a:defRPr>
                </a:pPr>
                <a:r>
                  <a:rPr lang="en-US"/>
                  <a:t>Phase Margin (Deg)</a:t>
                </a:r>
              </a:p>
            </c:rich>
          </c:tx>
          <c:layout>
            <c:manualLayout>
              <c:xMode val="edge"/>
              <c:yMode val="edge"/>
              <c:x val="0.95471185667010505"/>
              <c:y val="0.36623431162013825"/>
            </c:manualLayout>
          </c:layout>
          <c:overlay val="0"/>
          <c:spPr>
            <a:noFill/>
            <a:ln w="25400">
              <a:noFill/>
            </a:ln>
          </c:spPr>
        </c:title>
        <c:numFmt formatCode="General" sourceLinked="1"/>
        <c:majorTickMark val="cross"/>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57023616"/>
        <c:crosses val="max"/>
        <c:crossBetween val="midCat"/>
      </c:valAx>
      <c:spPr>
        <a:noFill/>
        <a:ln w="12700">
          <a:solidFill>
            <a:srgbClr val="808080"/>
          </a:solidFill>
          <a:prstDash val="solid"/>
        </a:ln>
      </c:spPr>
    </c:plotArea>
    <c:legend>
      <c:legendPos val="r"/>
      <c:layout>
        <c:manualLayout>
          <c:xMode val="edge"/>
          <c:yMode val="edge"/>
          <c:x val="0.76630434782608692"/>
          <c:y val="1.2987012987012988E-2"/>
          <c:w val="0.21557971014492749"/>
          <c:h val="0.14545454545454545"/>
        </c:manualLayout>
      </c:layout>
      <c:overlay val="0"/>
      <c:spPr>
        <a:solidFill>
          <a:srgbClr val="FFFFFF"/>
        </a:solidFill>
        <a:ln w="3175">
          <a:solidFill>
            <a:srgbClr val="000000"/>
          </a:solidFill>
          <a:prstDash val="solid"/>
        </a:ln>
      </c:spPr>
      <c:txPr>
        <a:bodyPr/>
        <a:lstStyle/>
        <a:p>
          <a:pPr>
            <a:defRPr sz="67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50" b="1" i="0" u="none" strike="noStrike" baseline="0">
                <a:solidFill>
                  <a:srgbClr val="000000"/>
                </a:solidFill>
                <a:latin typeface="Arial"/>
                <a:ea typeface="Arial"/>
                <a:cs typeface="Arial"/>
              </a:defRPr>
            </a:pPr>
            <a:r>
              <a:rPr lang="en-US"/>
              <a:t>FeedBack To Comp
5V Vin</a:t>
            </a:r>
          </a:p>
        </c:rich>
      </c:tx>
      <c:layout>
        <c:manualLayout>
          <c:xMode val="edge"/>
          <c:yMode val="edge"/>
          <c:x val="0.40036307961505191"/>
          <c:y val="3.3766233766233771E-2"/>
        </c:manualLayout>
      </c:layout>
      <c:overlay val="0"/>
      <c:spPr>
        <a:noFill/>
        <a:ln w="25400">
          <a:noFill/>
        </a:ln>
      </c:spPr>
    </c:title>
    <c:autoTitleDeleted val="0"/>
    <c:plotArea>
      <c:layout>
        <c:manualLayout>
          <c:layoutTarget val="inner"/>
          <c:xMode val="edge"/>
          <c:yMode val="edge"/>
          <c:x val="0.11594223410296738"/>
          <c:y val="0.20779247132770992"/>
          <c:w val="0.79166806723432415"/>
          <c:h val="0.60519557274195002"/>
        </c:manualLayout>
      </c:layout>
      <c:scatterChart>
        <c:scatterStyle val="smoothMarker"/>
        <c:varyColors val="0"/>
        <c:ser>
          <c:idx val="2"/>
          <c:order val="0"/>
          <c:tx>
            <c:v>Theoretical gain</c:v>
          </c:tx>
          <c:spPr>
            <a:ln w="38100">
              <a:solidFill>
                <a:srgbClr val="FF0000"/>
              </a:solidFill>
              <a:prstDash val="solid"/>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Calculations'!$BB$9:$BB$676</c:f>
              <c:numCache>
                <c:formatCode>General</c:formatCode>
                <c:ptCount val="668"/>
                <c:pt idx="0">
                  <c:v>55.106776095077954</c:v>
                </c:pt>
                <c:pt idx="1">
                  <c:v>52.52439918188044</c:v>
                </c:pt>
                <c:pt idx="2">
                  <c:v>50.101370096297188</c:v>
                </c:pt>
                <c:pt idx="3">
                  <c:v>48.063853297523515</c:v>
                </c:pt>
                <c:pt idx="4">
                  <c:v>46.356953845377333</c:v>
                </c:pt>
                <c:pt idx="5">
                  <c:v>44.904339455040926</c:v>
                </c:pt>
                <c:pt idx="6">
                  <c:v>43.646355753045889</c:v>
                </c:pt>
                <c:pt idx="7">
                  <c:v>42.53988076251094</c:v>
                </c:pt>
                <c:pt idx="8">
                  <c:v>41.553802902257374</c:v>
                </c:pt>
                <c:pt idx="9">
                  <c:v>40.665297737761563</c:v>
                </c:pt>
                <c:pt idx="10">
                  <c:v>34.731144801195448</c:v>
                </c:pt>
                <c:pt idx="11">
                  <c:v>31.225780715088433</c:v>
                </c:pt>
                <c:pt idx="12">
                  <c:v>28.733091802070167</c:v>
                </c:pt>
                <c:pt idx="13">
                  <c:v>26.798051201928992</c:v>
                </c:pt>
                <c:pt idx="14">
                  <c:v>25.216504282502115</c:v>
                </c:pt>
                <c:pt idx="15">
                  <c:v>23.879197732551511</c:v>
                </c:pt>
                <c:pt idx="16">
                  <c:v>22.720803817545065</c:v>
                </c:pt>
                <c:pt idx="17">
                  <c:v>21.699140578630338</c:v>
                </c:pt>
                <c:pt idx="18">
                  <c:v>20.785386724214547</c:v>
                </c:pt>
                <c:pt idx="19">
                  <c:v>14.7833450542353</c:v>
                </c:pt>
                <c:pt idx="20">
                  <c:v>11.291027508613906</c:v>
                </c:pt>
                <c:pt idx="21">
                  <c:v>8.8331365984429961</c:v>
                </c:pt>
                <c:pt idx="22">
                  <c:v>6.9470220619716887</c:v>
                </c:pt>
                <c:pt idx="23">
                  <c:v>5.4263923237217373</c:v>
                </c:pt>
                <c:pt idx="24">
                  <c:v>4.1610015034551564</c:v>
                </c:pt>
                <c:pt idx="25">
                  <c:v>3.0848463170036271</c:v>
                </c:pt>
                <c:pt idx="26">
                  <c:v>2.1551663022359784</c:v>
                </c:pt>
                <c:pt idx="27">
                  <c:v>1.3425893705341254</c:v>
                </c:pt>
                <c:pt idx="28">
                  <c:v>-1.5465121887945772</c:v>
                </c:pt>
                <c:pt idx="29">
                  <c:v>-3.2604845887116078</c:v>
                </c:pt>
                <c:pt idx="30">
                  <c:v>-4.3195405828626701</c:v>
                </c:pt>
                <c:pt idx="31">
                  <c:v>-4.9734062061195026</c:v>
                </c:pt>
                <c:pt idx="32">
                  <c:v>-5.3618983897052885</c:v>
                </c:pt>
                <c:pt idx="33">
                  <c:v>-5.5698680694218794</c:v>
                </c:pt>
                <c:pt idx="34">
                  <c:v>-5.6515303060654629</c:v>
                </c:pt>
                <c:pt idx="35">
                  <c:v>-5.6429047560325518</c:v>
                </c:pt>
                <c:pt idx="36">
                  <c:v>-5.5687117937963793</c:v>
                </c:pt>
                <c:pt idx="37">
                  <c:v>-5.4463945002514915</c:v>
                </c:pt>
                <c:pt idx="38">
                  <c:v>-5.2885552786197536</c:v>
                </c:pt>
                <c:pt idx="39">
                  <c:v>-5.1044811608855714</c:v>
                </c:pt>
                <c:pt idx="40">
                  <c:v>-4.9011280396454113</c:v>
                </c:pt>
                <c:pt idx="41">
                  <c:v>-4.6837742204993535</c:v>
                </c:pt>
                <c:pt idx="42">
                  <c:v>-4.4564662170325944</c:v>
                </c:pt>
                <c:pt idx="43">
                  <c:v>-4.2223304515047069</c:v>
                </c:pt>
                <c:pt idx="44">
                  <c:v>-3.9837961122482395</c:v>
                </c:pt>
                <c:pt idx="45">
                  <c:v>-3.742757660914942</c:v>
                </c:pt>
                <c:pt idx="46">
                  <c:v>-3.5006953781531847</c:v>
                </c:pt>
                <c:pt idx="47">
                  <c:v>-3.2587661058301509</c:v>
                </c:pt>
                <c:pt idx="48">
                  <c:v>-3.0178724140261699</c:v>
                </c:pt>
                <c:pt idx="49">
                  <c:v>-2.778715885030234</c:v>
                </c:pt>
                <c:pt idx="50">
                  <c:v>-2.5418385327218189</c:v>
                </c:pt>
                <c:pt idx="51">
                  <c:v>-2.3076552465251252</c:v>
                </c:pt>
                <c:pt idx="52">
                  <c:v>-2.0764793714005805</c:v>
                </c:pt>
                <c:pt idx="53">
                  <c:v>-1.8485429892833398</c:v>
                </c:pt>
                <c:pt idx="54">
                  <c:v>-1.62401307718932</c:v>
                </c:pt>
                <c:pt idx="55">
                  <c:v>-1.4030044339607146</c:v>
                </c:pt>
                <c:pt idx="56">
                  <c:v>-1.1855900591022086</c:v>
                </c:pt>
                <c:pt idx="57">
                  <c:v>-0.9718095117413148</c:v>
                </c:pt>
                <c:pt idx="58">
                  <c:v>-0.76167566064389236</c:v>
                </c:pt>
                <c:pt idx="59">
                  <c:v>-0.55518014713856023</c:v>
                </c:pt>
                <c:pt idx="60">
                  <c:v>-0.35229781447472108</c:v>
                </c:pt>
                <c:pt idx="61">
                  <c:v>-0.15299030433678812</c:v>
                </c:pt>
                <c:pt idx="62">
                  <c:v>4.279101983513775E-2</c:v>
                </c:pt>
                <c:pt idx="63">
                  <c:v>0.23510269520371679</c:v>
                </c:pt>
                <c:pt idx="64">
                  <c:v>0.42400722533508178</c:v>
                </c:pt>
                <c:pt idx="65">
                  <c:v>0.60957150718252628</c:v>
                </c:pt>
                <c:pt idx="66">
                  <c:v>0.79186555285326155</c:v>
                </c:pt>
                <c:pt idx="67">
                  <c:v>0.97096145239785825</c:v>
                </c:pt>
                <c:pt idx="68">
                  <c:v>1.1469325339746939</c:v>
                </c:pt>
                <c:pt idx="69">
                  <c:v>1.3198526858593029</c:v>
                </c:pt>
                <c:pt idx="70">
                  <c:v>1.4897958113072973</c:v>
                </c:pt>
                <c:pt idx="71">
                  <c:v>1.6568353925612413</c:v>
                </c:pt>
                <c:pt idx="72">
                  <c:v>1.8210441445719108</c:v>
                </c:pt>
                <c:pt idx="73">
                  <c:v>1.9824937424806908</c:v>
                </c:pt>
                <c:pt idx="74">
                  <c:v>2.1412546097416909</c:v>
                </c:pt>
                <c:pt idx="75">
                  <c:v>2.2973957560740597</c:v>
                </c:pt>
                <c:pt idx="76">
                  <c:v>2.4509846563268369</c:v>
                </c:pt>
                <c:pt idx="77">
                  <c:v>2.6020871628901041</c:v>
                </c:pt>
                <c:pt idx="78">
                  <c:v>2.7507674455611877</c:v>
                </c:pt>
                <c:pt idx="79">
                  <c:v>2.897087953824395</c:v>
                </c:pt>
                <c:pt idx="80">
                  <c:v>3.0411093973684227</c:v>
                </c:pt>
                <c:pt idx="81">
                  <c:v>3.1828907413810308</c:v>
                </c:pt>
                <c:pt idx="82">
                  <c:v>3.3224892137525748</c:v>
                </c:pt>
                <c:pt idx="83">
                  <c:v>3.4599603218102297</c:v>
                </c:pt>
                <c:pt idx="84">
                  <c:v>3.5953578766122112</c:v>
                </c:pt>
                <c:pt idx="85">
                  <c:v>3.7287340231690331</c:v>
                </c:pt>
                <c:pt idx="86">
                  <c:v>3.8601392752405523</c:v>
                </c:pt>
                <c:pt idx="87">
                  <c:v>3.989622553591214</c:v>
                </c:pt>
                <c:pt idx="88">
                  <c:v>4.1172312267815085</c:v>
                </c:pt>
                <c:pt idx="89">
                  <c:v>4.2430111537358126</c:v>
                </c:pt>
                <c:pt idx="90">
                  <c:v>4.3670067274627966</c:v>
                </c:pt>
                <c:pt idx="91">
                  <c:v>4.4892609194176822</c:v>
                </c:pt>
                <c:pt idx="92">
                  <c:v>4.6098153240899356</c:v>
                </c:pt>
                <c:pt idx="93">
                  <c:v>4.7287102034791735</c:v>
                </c:pt>
                <c:pt idx="94">
                  <c:v>4.8459845311874776</c:v>
                </c:pt>
                <c:pt idx="95">
                  <c:v>4.9616760359113954</c:v>
                </c:pt>
                <c:pt idx="96">
                  <c:v>5.0758212441625217</c:v>
                </c:pt>
                <c:pt idx="97">
                  <c:v>5.18845552208359</c:v>
                </c:pt>
                <c:pt idx="98">
                  <c:v>5.2996131162586728</c:v>
                </c:pt>
                <c:pt idx="99">
                  <c:v>5.4093271934422607</c:v>
                </c:pt>
                <c:pt idx="100">
                  <c:v>5.5176298791537857</c:v>
                </c:pt>
                <c:pt idx="101">
                  <c:v>5.6245522951020055</c:v>
                </c:pt>
                <c:pt idx="102">
                  <c:v>5.7301245954183697</c:v>
                </c:pt>
                <c:pt idx="103">
                  <c:v>5.834376001690722</c:v>
                </c:pt>
                <c:pt idx="104">
                  <c:v>5.9373348367983914</c:v>
                </c:pt>
                <c:pt idx="105">
                  <c:v>6.0390285575576206</c:v>
                </c:pt>
                <c:pt idx="106">
                  <c:v>6.1394837861928764</c:v>
                </c:pt>
                <c:pt idx="107">
                  <c:v>6.238726340654388</c:v>
                </c:pt>
                <c:pt idx="108">
                  <c:v>6.3367812638064329</c:v>
                </c:pt>
                <c:pt idx="109">
                  <c:v>6.4336728515137853</c:v>
                </c:pt>
                <c:pt idx="110">
                  <c:v>6.5294246796561168</c:v>
                </c:pt>
                <c:pt idx="111">
                  <c:v>6.6240596301016357</c:v>
                </c:pt>
                <c:pt idx="112">
                  <c:v>6.7175999156725927</c:v>
                </c:pt>
                <c:pt idx="113">
                  <c:v>6.8100671041356726</c:v>
                </c:pt>
                <c:pt idx="114">
                  <c:v>6.9014821412508462</c:v>
                </c:pt>
                <c:pt idx="115">
                  <c:v>6.9918653729121392</c:v>
                </c:pt>
                <c:pt idx="116">
                  <c:v>7.0812365664136134</c:v>
                </c:pt>
                <c:pt idx="117">
                  <c:v>7.1696149308734238</c:v>
                </c:pt>
                <c:pt idx="118">
                  <c:v>7.2570191368483217</c:v>
                </c:pt>
                <c:pt idx="119">
                  <c:v>7.3434673351701649</c:v>
                </c:pt>
                <c:pt idx="120">
                  <c:v>7.4289771750353992</c:v>
                </c:pt>
                <c:pt idx="121">
                  <c:v>7.5135658213774557</c:v>
                </c:pt>
                <c:pt idx="122">
                  <c:v>7.5972499715512516</c:v>
                </c:pt>
                <c:pt idx="123">
                  <c:v>7.6800458713580131</c:v>
                </c:pt>
                <c:pt idx="124">
                  <c:v>7.7619693304376245</c:v>
                </c:pt>
                <c:pt idx="125">
                  <c:v>7.8430357370548691</c:v>
                </c:pt>
                <c:pt idx="126">
                  <c:v>7.9232600723048874</c:v>
                </c:pt>
                <c:pt idx="127">
                  <c:v>8.0026569237621885</c:v>
                </c:pt>
                <c:pt idx="128">
                  <c:v>8.0812404985967454</c:v>
                </c:pt>
                <c:pt idx="129">
                  <c:v>8.159024636179554</c:v>
                </c:pt>
                <c:pt idx="130">
                  <c:v>8.2360228201994126</c:v>
                </c:pt>
                <c:pt idx="131">
                  <c:v>8.3122481903114824</c:v>
                </c:pt>
                <c:pt idx="132">
                  <c:v>8.387713553337516</c:v>
                </c:pt>
                <c:pt idx="133">
                  <c:v>8.4624313940368374</c:v>
                </c:pt>
                <c:pt idx="134">
                  <c:v>8.5364138854661693</c:v>
                </c:pt>
                <c:pt idx="135">
                  <c:v>8.6096728989457016</c:v>
                </c:pt>
                <c:pt idx="136">
                  <c:v>8.6822200136481928</c:v>
                </c:pt>
                <c:pt idx="137">
                  <c:v>8.754066525826854</c:v>
                </c:pt>
                <c:pt idx="138">
                  <c:v>8.8252234576973478</c:v>
                </c:pt>
                <c:pt idx="139">
                  <c:v>8.8957015659884373</c:v>
                </c:pt>
                <c:pt idx="140">
                  <c:v>8.9655113501751735</c:v>
                </c:pt>
                <c:pt idx="141">
                  <c:v>9.0346630604079028</c:v>
                </c:pt>
                <c:pt idx="142">
                  <c:v>9.103166705149853</c:v>
                </c:pt>
                <c:pt idx="143">
                  <c:v>9.1710320585353404</c:v>
                </c:pt>
                <c:pt idx="144">
                  <c:v>9.2382686674602539</c:v>
                </c:pt>
                <c:pt idx="145">
                  <c:v>9.3048858584158971</c:v>
                </c:pt>
                <c:pt idx="146">
                  <c:v>9.3708927440766789</c:v>
                </c:pt>
                <c:pt idx="147">
                  <c:v>9.4362982296519</c:v>
                </c:pt>
                <c:pt idx="148">
                  <c:v>9.5011110190111037</c:v>
                </c:pt>
                <c:pt idx="149">
                  <c:v>9.5653396205924572</c:v>
                </c:pt>
                <c:pt idx="150">
                  <c:v>9.6289923531027153</c:v>
                </c:pt>
                <c:pt idx="151">
                  <c:v>9.6920773510173781</c:v>
                </c:pt>
                <c:pt idx="152">
                  <c:v>9.7546025698890162</c:v>
                </c:pt>
                <c:pt idx="153">
                  <c:v>9.8165757914714575</c:v>
                </c:pt>
                <c:pt idx="154">
                  <c:v>9.8780046286672274</c:v>
                </c:pt>
                <c:pt idx="155">
                  <c:v>9.9388965303051506</c:v>
                </c:pt>
                <c:pt idx="156">
                  <c:v>9.9992587857550248</c:v>
                </c:pt>
                <c:pt idx="157">
                  <c:v>10.059098529385615</c:v>
                </c:pt>
                <c:pt idx="158">
                  <c:v>10.118422744872182</c:v>
                </c:pt>
                <c:pt idx="159">
                  <c:v>10.177238269359448</c:v>
                </c:pt>
                <c:pt idx="160">
                  <c:v>10.235551797485558</c:v>
                </c:pt>
                <c:pt idx="161">
                  <c:v>10.293369885272449</c:v>
                </c:pt>
                <c:pt idx="162">
                  <c:v>10.350698953887768</c:v>
                </c:pt>
                <c:pt idx="163">
                  <c:v>10.407545293283242</c:v>
                </c:pt>
                <c:pt idx="164">
                  <c:v>10.463915065714225</c:v>
                </c:pt>
                <c:pt idx="165">
                  <c:v>10.519814309144957</c:v>
                </c:pt>
                <c:pt idx="166">
                  <c:v>10.575248940543773</c:v>
                </c:pt>
                <c:pt idx="167">
                  <c:v>10.630224759072508</c:v>
                </c:pt>
                <c:pt idx="168">
                  <c:v>10.684747449173964</c:v>
                </c:pt>
                <c:pt idx="169">
                  <c:v>10.738822583561248</c:v>
                </c:pt>
                <c:pt idx="170">
                  <c:v>10.7924556261127</c:v>
                </c:pt>
                <c:pt idx="171">
                  <c:v>10.845651934675777</c:v>
                </c:pt>
                <c:pt idx="172">
                  <c:v>10.898416763783272</c:v>
                </c:pt>
                <c:pt idx="173">
                  <c:v>10.950755267285125</c:v>
                </c:pt>
                <c:pt idx="174">
                  <c:v>11.002672500898797</c:v>
                </c:pt>
                <c:pt idx="175">
                  <c:v>11.054173424681233</c:v>
                </c:pt>
                <c:pt idx="176">
                  <c:v>11.105262905425203</c:v>
                </c:pt>
                <c:pt idx="177">
                  <c:v>11.15594571898264</c:v>
                </c:pt>
                <c:pt idx="178">
                  <c:v>11.2062265525178</c:v>
                </c:pt>
                <c:pt idx="179">
                  <c:v>11.256110006692449</c:v>
                </c:pt>
                <c:pt idx="180">
                  <c:v>11.30560059778573</c:v>
                </c:pt>
                <c:pt idx="181">
                  <c:v>11.354702759750765</c:v>
                </c:pt>
                <c:pt idx="182">
                  <c:v>11.403420846210444</c:v>
                </c:pt>
                <c:pt idx="183">
                  <c:v>11.451759132394294</c:v>
                </c:pt>
                <c:pt idx="184">
                  <c:v>11.499721817018616</c:v>
                </c:pt>
                <c:pt idx="185">
                  <c:v>11.547313024111737</c:v>
                </c:pt>
                <c:pt idx="186">
                  <c:v>11.594536804786387</c:v>
                </c:pt>
                <c:pt idx="187">
                  <c:v>11.641397138960812</c:v>
                </c:pt>
                <c:pt idx="188">
                  <c:v>11.687897937030559</c:v>
                </c:pt>
                <c:pt idx="189">
                  <c:v>11.734043041492466</c:v>
                </c:pt>
                <c:pt idx="190">
                  <c:v>11.779836228522489</c:v>
                </c:pt>
                <c:pt idx="191">
                  <c:v>11.825281209508955</c:v>
                </c:pt>
                <c:pt idx="192">
                  <c:v>11.870381632542655</c:v>
                </c:pt>
                <c:pt idx="193">
                  <c:v>11.915141083865262</c:v>
                </c:pt>
                <c:pt idx="194">
                  <c:v>11.959563089277394</c:v>
                </c:pt>
                <c:pt idx="195">
                  <c:v>12.003651115507687</c:v>
                </c:pt>
                <c:pt idx="196">
                  <c:v>12.047408571544139</c:v>
                </c:pt>
                <c:pt idx="197">
                  <c:v>12.090838809928906</c:v>
                </c:pt>
                <c:pt idx="198">
                  <c:v>12.133945128017816</c:v>
                </c:pt>
                <c:pt idx="199">
                  <c:v>12.17673076920563</c:v>
                </c:pt>
                <c:pt idx="200">
                  <c:v>12.219198924118235</c:v>
                </c:pt>
                <c:pt idx="201">
                  <c:v>12.261352731772774</c:v>
                </c:pt>
                <c:pt idx="202">
                  <c:v>12.303195280706731</c:v>
                </c:pt>
                <c:pt idx="203">
                  <c:v>12.344729610076964</c:v>
                </c:pt>
                <c:pt idx="204">
                  <c:v>12.385958710729605</c:v>
                </c:pt>
                <c:pt idx="205">
                  <c:v>12.42688552624179</c:v>
                </c:pt>
                <c:pt idx="206">
                  <c:v>12.467512953936023</c:v>
                </c:pt>
                <c:pt idx="207">
                  <c:v>12.507843845868031</c:v>
                </c:pt>
                <c:pt idx="208">
                  <c:v>12.547881009789039</c:v>
                </c:pt>
                <c:pt idx="209">
                  <c:v>12.587627210083028</c:v>
                </c:pt>
                <c:pt idx="210">
                  <c:v>12.627085168679999</c:v>
                </c:pt>
                <c:pt idx="211">
                  <c:v>12.666257565945715</c:v>
                </c:pt>
                <c:pt idx="212">
                  <c:v>12.705147041548877</c:v>
                </c:pt>
                <c:pt idx="213">
                  <c:v>12.743756195306199</c:v>
                </c:pt>
                <c:pt idx="214">
                  <c:v>12.78208758800616</c:v>
                </c:pt>
                <c:pt idx="215">
                  <c:v>12.820143742212069</c:v>
                </c:pt>
                <c:pt idx="216">
                  <c:v>12.857927143045007</c:v>
                </c:pt>
                <c:pt idx="217">
                  <c:v>12.895440238947284</c:v>
                </c:pt>
                <c:pt idx="218">
                  <c:v>12.93268544242691</c:v>
                </c:pt>
                <c:pt idx="219">
                  <c:v>12.969665130783753</c:v>
                </c:pt>
                <c:pt idx="220">
                  <c:v>13.006381646817813</c:v>
                </c:pt>
                <c:pt idx="221">
                  <c:v>13.042837299520185</c:v>
                </c:pt>
                <c:pt idx="222">
                  <c:v>13.079034364747173</c:v>
                </c:pt>
                <c:pt idx="223">
                  <c:v>13.114975085878076</c:v>
                </c:pt>
                <c:pt idx="224">
                  <c:v>13.150661674457094</c:v>
                </c:pt>
                <c:pt idx="225">
                  <c:v>13.186096310819806</c:v>
                </c:pt>
                <c:pt idx="226">
                  <c:v>13.527043844024053</c:v>
                </c:pt>
                <c:pt idx="227">
                  <c:v>13.844984599324206</c:v>
                </c:pt>
                <c:pt idx="228">
                  <c:v>14.141667568611227</c:v>
                </c:pt>
                <c:pt idx="229">
                  <c:v>14.418634610793532</c:v>
                </c:pt>
                <c:pt idx="230">
                  <c:v>14.677254200235641</c:v>
                </c:pt>
                <c:pt idx="231">
                  <c:v>14.918748686746657</c:v>
                </c:pt>
                <c:pt idx="232">
                  <c:v>15.144216481748128</c:v>
                </c:pt>
                <c:pt idx="233">
                  <c:v>15.354650238559362</c:v>
                </c:pt>
                <c:pt idx="234">
                  <c:v>15.550951841869818</c:v>
                </c:pt>
                <c:pt idx="235">
                  <c:v>15.733944834923921</c:v>
                </c:pt>
                <c:pt idx="236">
                  <c:v>15.904384773843905</c:v>
                </c:pt>
                <c:pt idx="237">
                  <c:v>16.062967893732655</c:v>
                </c:pt>
                <c:pt idx="238">
                  <c:v>16.210338391495881</c:v>
                </c:pt>
                <c:pt idx="239">
                  <c:v>16.347094569128821</c:v>
                </c:pt>
                <c:pt idx="240">
                  <c:v>16.473794033805422</c:v>
                </c:pt>
                <c:pt idx="241">
                  <c:v>16.590958114058235</c:v>
                </c:pt>
                <c:pt idx="242">
                  <c:v>16.699075622135823</c:v>
                </c:pt>
                <c:pt idx="243">
                  <c:v>16.798606069417371</c:v>
                </c:pt>
                <c:pt idx="244">
                  <c:v>16.889982423172661</c:v>
                </c:pt>
                <c:pt idx="245">
                  <c:v>16.973613477945264</c:v>
                </c:pt>
                <c:pt idx="246">
                  <c:v>17.049885902628308</c:v>
                </c:pt>
                <c:pt idx="247">
                  <c:v>17.11916601430206</c:v>
                </c:pt>
                <c:pt idx="248">
                  <c:v>17.18180132165805</c:v>
                </c:pt>
                <c:pt idx="249">
                  <c:v>17.238121873996334</c:v>
                </c:pt>
                <c:pt idx="250">
                  <c:v>17.288441446080917</c:v>
                </c:pt>
                <c:pt idx="251">
                  <c:v>17.333058584361524</c:v>
                </c:pt>
                <c:pt idx="252">
                  <c:v>17.37225753605323</c:v>
                </c:pt>
                <c:pt idx="253">
                  <c:v>17.406309079176172</c:v>
                </c:pt>
                <c:pt idx="254">
                  <c:v>17.435471268791847</c:v>
                </c:pt>
                <c:pt idx="255">
                  <c:v>17.45999011224486</c:v>
                </c:pt>
                <c:pt idx="256">
                  <c:v>17.480100184161067</c:v>
                </c:pt>
                <c:pt idx="257">
                  <c:v>17.496025190208154</c:v>
                </c:pt>
                <c:pt idx="258">
                  <c:v>17.507978487145948</c:v>
                </c:pt>
                <c:pt idx="259">
                  <c:v>17.516163565441893</c:v>
                </c:pt>
                <c:pt idx="260">
                  <c:v>17.520774499669415</c:v>
                </c:pt>
                <c:pt idx="261">
                  <c:v>17.521996371015334</c:v>
                </c:pt>
                <c:pt idx="262">
                  <c:v>17.520005665472521</c:v>
                </c:pt>
                <c:pt idx="263">
                  <c:v>17.514970650666246</c:v>
                </c:pt>
                <c:pt idx="264">
                  <c:v>17.507051733738283</c:v>
                </c:pt>
                <c:pt idx="265">
                  <c:v>17.496401802277507</c:v>
                </c:pt>
                <c:pt idx="266">
                  <c:v>17.483166549925407</c:v>
                </c:pt>
                <c:pt idx="267">
                  <c:v>17.467484787988951</c:v>
                </c:pt>
                <c:pt idx="268">
                  <c:v>17.44948874415115</c:v>
                </c:pt>
                <c:pt idx="269">
                  <c:v>17.42930434917313</c:v>
                </c:pt>
                <c:pt idx="270">
                  <c:v>17.407051512323196</c:v>
                </c:pt>
                <c:pt idx="271">
                  <c:v>17.382844386141759</c:v>
                </c:pt>
                <c:pt idx="272">
                  <c:v>17.35679162105086</c:v>
                </c:pt>
                <c:pt idx="273">
                  <c:v>17.328996610238462</c:v>
                </c:pt>
                <c:pt idx="274">
                  <c:v>17.299557725186958</c:v>
                </c:pt>
                <c:pt idx="275">
                  <c:v>17.268568542168868</c:v>
                </c:pt>
                <c:pt idx="276">
                  <c:v>17.236118059997999</c:v>
                </c:pt>
                <c:pt idx="277">
                  <c:v>17.20229090929854</c:v>
                </c:pt>
                <c:pt idx="278">
                  <c:v>17.167167553536196</c:v>
                </c:pt>
                <c:pt idx="279">
                  <c:v>17.130824482042485</c:v>
                </c:pt>
                <c:pt idx="280">
                  <c:v>17.093334395254708</c:v>
                </c:pt>
                <c:pt idx="281">
                  <c:v>17.0547663823885</c:v>
                </c:pt>
                <c:pt idx="282">
                  <c:v>17.015186091756377</c:v>
                </c:pt>
                <c:pt idx="283">
                  <c:v>16.974655893944227</c:v>
                </c:pt>
                <c:pt idx="284">
                  <c:v>16.933235038056456</c:v>
                </c:pt>
                <c:pt idx="285">
                  <c:v>16.89097980124037</c:v>
                </c:pt>
                <c:pt idx="286">
                  <c:v>16.847943631700232</c:v>
                </c:pt>
                <c:pt idx="287">
                  <c:v>16.804177285411274</c:v>
                </c:pt>
                <c:pt idx="288">
                  <c:v>16.75972895674342</c:v>
                </c:pt>
                <c:pt idx="289">
                  <c:v>16.714644403203906</c:v>
                </c:pt>
                <c:pt idx="290">
                  <c:v>16.668967064506692</c:v>
                </c:pt>
                <c:pt idx="291">
                  <c:v>16.622738176174913</c:v>
                </c:pt>
                <c:pt idx="292">
                  <c:v>16.575996877880684</c:v>
                </c:pt>
                <c:pt idx="293">
                  <c:v>16.528780316723605</c:v>
                </c:pt>
                <c:pt idx="294">
                  <c:v>16.48112374564667</c:v>
                </c:pt>
                <c:pt idx="295">
                  <c:v>16.433060617184513</c:v>
                </c:pt>
                <c:pt idx="296">
                  <c:v>16.384622672735109</c:v>
                </c:pt>
                <c:pt idx="297">
                  <c:v>16.335840027541881</c:v>
                </c:pt>
                <c:pt idx="298">
                  <c:v>16.286741251568586</c:v>
                </c:pt>
                <c:pt idx="299">
                  <c:v>16.237353446444548</c:v>
                </c:pt>
                <c:pt idx="300">
                  <c:v>16.187702318652853</c:v>
                </c:pt>
                <c:pt idx="301">
                  <c:v>16.137812249128938</c:v>
                </c:pt>
                <c:pt idx="302">
                  <c:v>16.087706359431643</c:v>
                </c:pt>
                <c:pt idx="303">
                  <c:v>16.037406574643548</c:v>
                </c:pt>
                <c:pt idx="304">
                  <c:v>15.986933683151864</c:v>
                </c:pt>
                <c:pt idx="305">
                  <c:v>15.936307393455673</c:v>
                </c:pt>
                <c:pt idx="306">
                  <c:v>15.885546388140021</c:v>
                </c:pt>
                <c:pt idx="307">
                  <c:v>15.834668375151717</c:v>
                </c:pt>
                <c:pt idx="308">
                  <c:v>15.783690136506561</c:v>
                </c:pt>
                <c:pt idx="309">
                  <c:v>15.732627574552264</c:v>
                </c:pt>
                <c:pt idx="310">
                  <c:v>15.681495755906219</c:v>
                </c:pt>
                <c:pt idx="311">
                  <c:v>15.630308953182166</c:v>
                </c:pt>
                <c:pt idx="312">
                  <c:v>15.579080684614922</c:v>
                </c:pt>
                <c:pt idx="313">
                  <c:v>15.52782375168729</c:v>
                </c:pt>
                <c:pt idx="314">
                  <c:v>15.476550274858882</c:v>
                </c:pt>
                <c:pt idx="315">
                  <c:v>15.425271727491763</c:v>
                </c:pt>
                <c:pt idx="316">
                  <c:v>15.373998968063534</c:v>
                </c:pt>
                <c:pt idx="317">
                  <c:v>15.32274227075429</c:v>
                </c:pt>
                <c:pt idx="318">
                  <c:v>15.271511354489625</c:v>
                </c:pt>
                <c:pt idx="319">
                  <c:v>15.220315410518069</c:v>
                </c:pt>
                <c:pt idx="320">
                  <c:v>15.169163128597415</c:v>
                </c:pt>
                <c:pt idx="321">
                  <c:v>15.118062721860909</c:v>
                </c:pt>
                <c:pt idx="322">
                  <c:v>15.067021950430616</c:v>
                </c:pt>
                <c:pt idx="323">
                  <c:v>15.016048143842029</c:v>
                </c:pt>
                <c:pt idx="324">
                  <c:v>14.965148222340819</c:v>
                </c:pt>
                <c:pt idx="325">
                  <c:v>14.914328717109511</c:v>
                </c:pt>
                <c:pt idx="326">
                  <c:v>14.863595789478886</c:v>
                </c:pt>
                <c:pt idx="327">
                  <c:v>14.81295524917633</c:v>
                </c:pt>
                <c:pt idx="328">
                  <c:v>14.762412571660487</c:v>
                </c:pt>
                <c:pt idx="329">
                  <c:v>14.711972914589147</c:v>
                </c:pt>
                <c:pt idx="330">
                  <c:v>14.661641133464851</c:v>
                </c:pt>
                <c:pt idx="331">
                  <c:v>14.611421796500494</c:v>
                </c:pt>
                <c:pt idx="332">
                  <c:v>14.561319198744858</c:v>
                </c:pt>
                <c:pt idx="333">
                  <c:v>14.511337375506084</c:v>
                </c:pt>
                <c:pt idx="334">
                  <c:v>14.46148011510909</c:v>
                </c:pt>
                <c:pt idx="335">
                  <c:v>14.411750971020986</c:v>
                </c:pt>
                <c:pt idx="336">
                  <c:v>14.362153273376897</c:v>
                </c:pt>
                <c:pt idx="337">
                  <c:v>14.312690139936773</c:v>
                </c:pt>
                <c:pt idx="338">
                  <c:v>14.263364486502342</c:v>
                </c:pt>
                <c:pt idx="339">
                  <c:v>14.214179036821633</c:v>
                </c:pt>
                <c:pt idx="340">
                  <c:v>14.165136332007215</c:v>
                </c:pt>
                <c:pt idx="341">
                  <c:v>14.116238739492939</c:v>
                </c:pt>
                <c:pt idx="342">
                  <c:v>14.067488461552495</c:v>
                </c:pt>
                <c:pt idx="343">
                  <c:v>14.018887543402156</c:v>
                </c:pt>
                <c:pt idx="344">
                  <c:v>13.970437880908619</c:v>
                </c:pt>
                <c:pt idx="345">
                  <c:v>13.922141227921996</c:v>
                </c:pt>
                <c:pt idx="346">
                  <c:v>13.873999203252808</c:v>
                </c:pt>
                <c:pt idx="347">
                  <c:v>13.826013297310944</c:v>
                </c:pt>
                <c:pt idx="348">
                  <c:v>13.778184878423563</c:v>
                </c:pt>
                <c:pt idx="349">
                  <c:v>13.730515198848005</c:v>
                </c:pt>
                <c:pt idx="350">
                  <c:v>13.683005400495059</c:v>
                </c:pt>
                <c:pt idx="351">
                  <c:v>13.63565652037696</c:v>
                </c:pt>
                <c:pt idx="352">
                  <c:v>13.588469495793916</c:v>
                </c:pt>
                <c:pt idx="353">
                  <c:v>13.541445169272148</c:v>
                </c:pt>
                <c:pt idx="354">
                  <c:v>13.494584293265728</c:v>
                </c:pt>
                <c:pt idx="355">
                  <c:v>13.447887534634015</c:v>
                </c:pt>
                <c:pt idx="356">
                  <c:v>13.401355478905678</c:v>
                </c:pt>
                <c:pt idx="357">
                  <c:v>13.354988634339884</c:v>
                </c:pt>
                <c:pt idx="358">
                  <c:v>13.30878743579461</c:v>
                </c:pt>
                <c:pt idx="359">
                  <c:v>13.262752248411566</c:v>
                </c:pt>
                <c:pt idx="360">
                  <c:v>13.216883371126686</c:v>
                </c:pt>
                <c:pt idx="361">
                  <c:v>13.171181040014712</c:v>
                </c:pt>
                <c:pt idx="362">
                  <c:v>13.125645431475995</c:v>
                </c:pt>
                <c:pt idx="363">
                  <c:v>13.08027666527307</c:v>
                </c:pt>
                <c:pt idx="364">
                  <c:v>13.035074807424527</c:v>
                </c:pt>
                <c:pt idx="365">
                  <c:v>12.990039872962765</c:v>
                </c:pt>
                <c:pt idx="366">
                  <c:v>12.945171828562493</c:v>
                </c:pt>
                <c:pt idx="367">
                  <c:v>12.900470595046038</c:v>
                </c:pt>
                <c:pt idx="368">
                  <c:v>12.855936049771408</c:v>
                </c:pt>
                <c:pt idx="369">
                  <c:v>12.811568028908782</c:v>
                </c:pt>
                <c:pt idx="370">
                  <c:v>12.767366329610702</c:v>
                </c:pt>
                <c:pt idx="371">
                  <c:v>12.72333071208109</c:v>
                </c:pt>
                <c:pt idx="372">
                  <c:v>12.679460901547831</c:v>
                </c:pt>
                <c:pt idx="373">
                  <c:v>12.635756590143632</c:v>
                </c:pt>
                <c:pt idx="374">
                  <c:v>12.59221743869935</c:v>
                </c:pt>
                <c:pt idx="375">
                  <c:v>12.548843078454047</c:v>
                </c:pt>
                <c:pt idx="376">
                  <c:v>12.50563311268559</c:v>
                </c:pt>
                <c:pt idx="377">
                  <c:v>12.462587118265709</c:v>
                </c:pt>
                <c:pt idx="378">
                  <c:v>12.419704647142822</c:v>
                </c:pt>
                <c:pt idx="379">
                  <c:v>12.37698522775622</c:v>
                </c:pt>
                <c:pt idx="380">
                  <c:v>12.334428366384698</c:v>
                </c:pt>
                <c:pt idx="381">
                  <c:v>12.292033548432729</c:v>
                </c:pt>
                <c:pt idx="382">
                  <c:v>12.249800239657091</c:v>
                </c:pt>
                <c:pt idx="383">
                  <c:v>12.207727887336739</c:v>
                </c:pt>
                <c:pt idx="384">
                  <c:v>12.165815921388411</c:v>
                </c:pt>
                <c:pt idx="385">
                  <c:v>12.124063755430722</c:v>
                </c:pt>
                <c:pt idx="386">
                  <c:v>12.082470787798879</c:v>
                </c:pt>
                <c:pt idx="387">
                  <c:v>12.041036402512407</c:v>
                </c:pt>
                <c:pt idx="388">
                  <c:v>11.999759970198109</c:v>
                </c:pt>
                <c:pt idx="389">
                  <c:v>11.958640848970122</c:v>
                </c:pt>
                <c:pt idx="390">
                  <c:v>11.917678385269234</c:v>
                </c:pt>
                <c:pt idx="391">
                  <c:v>11.87687191466318</c:v>
                </c:pt>
                <c:pt idx="392">
                  <c:v>11.836220762609786</c:v>
                </c:pt>
                <c:pt idx="393">
                  <c:v>11.795724245184564</c:v>
                </c:pt>
                <c:pt idx="394">
                  <c:v>11.75538166977449</c:v>
                </c:pt>
                <c:pt idx="395">
                  <c:v>11.715192335739355</c:v>
                </c:pt>
                <c:pt idx="396">
                  <c:v>11.675155535042306</c:v>
                </c:pt>
                <c:pt idx="397">
                  <c:v>11.635270552850825</c:v>
                </c:pt>
                <c:pt idx="398">
                  <c:v>11.595536668109581</c:v>
                </c:pt>
                <c:pt idx="399">
                  <c:v>11.555953154086406</c:v>
                </c:pt>
                <c:pt idx="400">
                  <c:v>11.516519278892531</c:v>
                </c:pt>
                <c:pt idx="401">
                  <c:v>11.477234305978346</c:v>
                </c:pt>
                <c:pt idx="402">
                  <c:v>11.438097494605676</c:v>
                </c:pt>
                <c:pt idx="403">
                  <c:v>11.399108100297717</c:v>
                </c:pt>
                <c:pt idx="404">
                  <c:v>11.360265375267547</c:v>
                </c:pt>
                <c:pt idx="405">
                  <c:v>11.321568568826239</c:v>
                </c:pt>
                <c:pt idx="406">
                  <c:v>11.283016927771424</c:v>
                </c:pt>
                <c:pt idx="407">
                  <c:v>11.24460969675722</c:v>
                </c:pt>
                <c:pt idx="408">
                  <c:v>11.206346118646323</c:v>
                </c:pt>
                <c:pt idx="409">
                  <c:v>11.168225434845088</c:v>
                </c:pt>
                <c:pt idx="410">
                  <c:v>11.130246885622306</c:v>
                </c:pt>
                <c:pt idx="411">
                  <c:v>11.092409710412452</c:v>
                </c:pt>
                <c:pt idx="412">
                  <c:v>11.054713148104021</c:v>
                </c:pt>
                <c:pt idx="413">
                  <c:v>11.017156437313727</c:v>
                </c:pt>
                <c:pt idx="414">
                  <c:v>10.979738816647039</c:v>
                </c:pt>
                <c:pt idx="415">
                  <c:v>10.942459524945789</c:v>
                </c:pt>
                <c:pt idx="416">
                  <c:v>10.905317801523342</c:v>
                </c:pt>
                <c:pt idx="417">
                  <c:v>10.868312886387912</c:v>
                </c:pt>
                <c:pt idx="418">
                  <c:v>10.831444020454553</c:v>
                </c:pt>
                <c:pt idx="419">
                  <c:v>10.794710445746267</c:v>
                </c:pt>
                <c:pt idx="420">
                  <c:v>10.758111405584785</c:v>
                </c:pt>
                <c:pt idx="421">
                  <c:v>10.721646144771439</c:v>
                </c:pt>
                <c:pt idx="422">
                  <c:v>10.685313909758525</c:v>
                </c:pt>
                <c:pt idx="423">
                  <c:v>10.649113948811648</c:v>
                </c:pt>
                <c:pt idx="424">
                  <c:v>10.613045512163406</c:v>
                </c:pt>
                <c:pt idx="425">
                  <c:v>10.577107852158765</c:v>
                </c:pt>
                <c:pt idx="426">
                  <c:v>10.541300223392545</c:v>
                </c:pt>
                <c:pt idx="427">
                  <c:v>10.505621882839362</c:v>
                </c:pt>
                <c:pt idx="428">
                  <c:v>10.470072089976284</c:v>
                </c:pt>
                <c:pt idx="429">
                  <c:v>10.434650106898609</c:v>
                </c:pt>
                <c:pt idx="430">
                  <c:v>10.399355198429035</c:v>
                </c:pt>
                <c:pt idx="431">
                  <c:v>10.364186632220493</c:v>
                </c:pt>
                <c:pt idx="432">
                  <c:v>10.329143678852946</c:v>
                </c:pt>
                <c:pt idx="433">
                  <c:v>10.294225611924414</c:v>
                </c:pt>
                <c:pt idx="434">
                  <c:v>10.2594317081365</c:v>
                </c:pt>
                <c:pt idx="435">
                  <c:v>10.224761247374586</c:v>
                </c:pt>
                <c:pt idx="436">
                  <c:v>10.190213512783057</c:v>
                </c:pt>
                <c:pt idx="437">
                  <c:v>10.155787790835651</c:v>
                </c:pt>
                <c:pt idx="438">
                  <c:v>10.121483371401228</c:v>
                </c:pt>
                <c:pt idx="439">
                  <c:v>10.087299547805138</c:v>
                </c:pt>
                <c:pt idx="440">
                  <c:v>10.053235616886372</c:v>
                </c:pt>
                <c:pt idx="441">
                  <c:v>10.019290879050704</c:v>
                </c:pt>
                <c:pt idx="442">
                  <c:v>9.9854646383200087</c:v>
                </c:pt>
                <c:pt idx="443">
                  <c:v>9.9517562023778616</c:v>
                </c:pt>
                <c:pt idx="444">
                  <c:v>9.9181648826117215</c:v>
                </c:pt>
                <c:pt idx="445">
                  <c:v>9.8846899941516622</c:v>
                </c:pt>
                <c:pt idx="446">
                  <c:v>9.8513308559060047</c:v>
                </c:pt>
                <c:pt idx="447">
                  <c:v>9.818086790593842</c:v>
                </c:pt>
                <c:pt idx="448">
                  <c:v>9.7849571247746709</c:v>
                </c:pt>
                <c:pt idx="449">
                  <c:v>9.7519411888752376</c:v>
                </c:pt>
                <c:pt idx="450">
                  <c:v>9.7190383172137391</c:v>
                </c:pt>
                <c:pt idx="451">
                  <c:v>9.6862478480214751</c:v>
                </c:pt>
                <c:pt idx="452">
                  <c:v>9.6535691234621073</c:v>
                </c:pt>
                <c:pt idx="453">
                  <c:v>9.6210014896485916</c:v>
                </c:pt>
                <c:pt idx="454">
                  <c:v>9.5885442966579113</c:v>
                </c:pt>
                <c:pt idx="455">
                  <c:v>9.556196898543746</c:v>
                </c:pt>
                <c:pt idx="456">
                  <c:v>9.5239586533470995</c:v>
                </c:pt>
                <c:pt idx="457">
                  <c:v>9.4918289231050466</c:v>
                </c:pt>
                <c:pt idx="458">
                  <c:v>9.4598070738576503</c:v>
                </c:pt>
                <c:pt idx="459">
                  <c:v>9.427892475653179</c:v>
                </c:pt>
                <c:pt idx="460">
                  <c:v>9.3960845025516235</c:v>
                </c:pt>
                <c:pt idx="461">
                  <c:v>9.3643825326267027</c:v>
                </c:pt>
                <c:pt idx="462">
                  <c:v>9.3327859479663413</c:v>
                </c:pt>
                <c:pt idx="463">
                  <c:v>9.3012941346717248</c:v>
                </c:pt>
                <c:pt idx="464">
                  <c:v>9.2699064828550259</c:v>
                </c:pt>
                <c:pt idx="465">
                  <c:v>9.2386223866358161</c:v>
                </c:pt>
                <c:pt idx="466">
                  <c:v>9.2074412441362838</c:v>
                </c:pt>
                <c:pt idx="467">
                  <c:v>9.1763624574752765</c:v>
                </c:pt>
                <c:pt idx="468">
                  <c:v>9.1453854327612465</c:v>
                </c:pt>
                <c:pt idx="469">
                  <c:v>9.1145095800841265</c:v>
                </c:pt>
                <c:pt idx="470">
                  <c:v>9.08373431350625</c:v>
                </c:pt>
                <c:pt idx="471">
                  <c:v>9.053059051052303</c:v>
                </c:pt>
                <c:pt idx="472">
                  <c:v>9.0224832146983953</c:v>
                </c:pt>
                <c:pt idx="473">
                  <c:v>8.9920062303602677</c:v>
                </c:pt>
                <c:pt idx="474">
                  <c:v>8.9616275278807329</c:v>
                </c:pt>
                <c:pt idx="475">
                  <c:v>8.9313465410162998</c:v>
                </c:pt>
                <c:pt idx="476">
                  <c:v>8.9011627074231718</c:v>
                </c:pt>
                <c:pt idx="477">
                  <c:v>8.8710754686424611</c:v>
                </c:pt>
                <c:pt idx="478">
                  <c:v>8.8410842700848544</c:v>
                </c:pt>
                <c:pt idx="479">
                  <c:v>8.8111885610146246</c:v>
                </c:pt>
                <c:pt idx="480">
                  <c:v>8.7813877945330781</c:v>
                </c:pt>
                <c:pt idx="481">
                  <c:v>8.7516814275615094</c:v>
                </c:pt>
                <c:pt idx="482">
                  <c:v>8.7220689208235829</c:v>
                </c:pt>
                <c:pt idx="483">
                  <c:v>8.6925497388273207</c:v>
                </c:pt>
                <c:pt idx="484">
                  <c:v>8.6631233498465718</c:v>
                </c:pt>
                <c:pt idx="485">
                  <c:v>8.6337892259021256</c:v>
                </c:pt>
                <c:pt idx="486">
                  <c:v>8.6045468427424048</c:v>
                </c:pt>
                <c:pt idx="487">
                  <c:v>8.5753956798238136</c:v>
                </c:pt>
                <c:pt idx="488">
                  <c:v>8.5463352202907199</c:v>
                </c:pt>
                <c:pt idx="489">
                  <c:v>8.5173649509551517</c:v>
                </c:pt>
                <c:pt idx="490">
                  <c:v>8.4884843622762034</c:v>
                </c:pt>
                <c:pt idx="491">
                  <c:v>8.4596929483391357</c:v>
                </c:pt>
                <c:pt idx="492">
                  <c:v>8.4309902068342453</c:v>
                </c:pt>
                <c:pt idx="493">
                  <c:v>8.4023756390355491</c:v>
                </c:pt>
                <c:pt idx="494">
                  <c:v>8.3738487497791549</c:v>
                </c:pt>
                <c:pt idx="495">
                  <c:v>8.3454090474415406</c:v>
                </c:pt>
                <c:pt idx="496">
                  <c:v>8.3170560439175905</c:v>
                </c:pt>
                <c:pt idx="497">
                  <c:v>8.2887892545985018</c:v>
                </c:pt>
                <c:pt idx="498">
                  <c:v>8.2606081983495372</c:v>
                </c:pt>
                <c:pt idx="499">
                  <c:v>8.2325123974876444</c:v>
                </c:pt>
                <c:pt idx="500">
                  <c:v>8.2045013777589819</c:v>
                </c:pt>
                <c:pt idx="501">
                  <c:v>8.1765746683162881</c:v>
                </c:pt>
                <c:pt idx="502">
                  <c:v>8.1487318016962398</c:v>
                </c:pt>
                <c:pt idx="503">
                  <c:v>8.1209723137966812</c:v>
                </c:pt>
                <c:pt idx="504">
                  <c:v>8.0932957438537851</c:v>
                </c:pt>
                <c:pt idx="505">
                  <c:v>8.065701634419197</c:v>
                </c:pt>
                <c:pt idx="506">
                  <c:v>8.0381895313371157</c:v>
                </c:pt>
                <c:pt idx="507">
                  <c:v>8.0107589837213258</c:v>
                </c:pt>
                <c:pt idx="508">
                  <c:v>7.9834095439322583</c:v>
                </c:pt>
                <c:pt idx="509">
                  <c:v>7.9561407675539764</c:v>
                </c:pt>
                <c:pt idx="510">
                  <c:v>7.9289522133712058</c:v>
                </c:pt>
                <c:pt idx="511">
                  <c:v>7.9018434433463449</c:v>
                </c:pt>
                <c:pt idx="512">
                  <c:v>7.8748140225965111</c:v>
                </c:pt>
                <c:pt idx="513">
                  <c:v>7.8478635193705761</c:v>
                </c:pt>
                <c:pt idx="514">
                  <c:v>7.8209915050262415</c:v>
                </c:pt>
                <c:pt idx="515">
                  <c:v>7.7941975540071802</c:v>
                </c:pt>
                <c:pt idx="516">
                  <c:v>7.7674812438201695</c:v>
                </c:pt>
                <c:pt idx="517">
                  <c:v>7.7408421550123041</c:v>
                </c:pt>
                <c:pt idx="518">
                  <c:v>7.7142798711482694</c:v>
                </c:pt>
                <c:pt idx="519">
                  <c:v>7.6877939787876306</c:v>
                </c:pt>
                <c:pt idx="520">
                  <c:v>7.6613840674622544</c:v>
                </c:pt>
                <c:pt idx="521">
                  <c:v>7.6350497296537387</c:v>
                </c:pt>
                <c:pt idx="522">
                  <c:v>7.6087905607709505</c:v>
                </c:pt>
                <c:pt idx="523">
                  <c:v>7.582606159127641</c:v>
                </c:pt>
                <c:pt idx="524">
                  <c:v>7.5564961259201322</c:v>
                </c:pt>
                <c:pt idx="525">
                  <c:v>7.5304600652051104</c:v>
                </c:pt>
                <c:pt idx="526">
                  <c:v>7.5044975838774981</c:v>
                </c:pt>
                <c:pt idx="527">
                  <c:v>7.4786082916484178</c:v>
                </c:pt>
                <c:pt idx="528">
                  <c:v>7.4527918010232819</c:v>
                </c:pt>
                <c:pt idx="529">
                  <c:v>7.4270477272799393</c:v>
                </c:pt>
                <c:pt idx="530">
                  <c:v>7.4013756884469748</c:v>
                </c:pt>
                <c:pt idx="531">
                  <c:v>7.3757753052820965</c:v>
                </c:pt>
                <c:pt idx="532">
                  <c:v>7.3502462012506262</c:v>
                </c:pt>
                <c:pt idx="533">
                  <c:v>7.324788002504123</c:v>
                </c:pt>
                <c:pt idx="534">
                  <c:v>7.2994003378590939</c:v>
                </c:pt>
                <c:pt idx="535">
                  <c:v>7.2740828387758718</c:v>
                </c:pt>
                <c:pt idx="536">
                  <c:v>7.2488351393375563</c:v>
                </c:pt>
                <c:pt idx="537">
                  <c:v>7.2236568762291133</c:v>
                </c:pt>
                <c:pt idx="538">
                  <c:v>7.1985476887166024</c:v>
                </c:pt>
                <c:pt idx="539">
                  <c:v>7.1735072186264937</c:v>
                </c:pt>
                <c:pt idx="540">
                  <c:v>7.1485351103251595</c:v>
                </c:pt>
                <c:pt idx="541">
                  <c:v>7.1236310106984622</c:v>
                </c:pt>
                <c:pt idx="542">
                  <c:v>7.0987945691314795</c:v>
                </c:pt>
                <c:pt idx="543">
                  <c:v>7.074025437488368</c:v>
                </c:pt>
                <c:pt idx="544">
                  <c:v>7.0493232700923505</c:v>
                </c:pt>
                <c:pt idx="545">
                  <c:v>7.0246877237058456</c:v>
                </c:pt>
                <c:pt idx="546">
                  <c:v>7.0001184575107258</c:v>
                </c:pt>
                <c:pt idx="547">
                  <c:v>6.9756151330887048</c:v>
                </c:pt>
                <c:pt idx="548">
                  <c:v>6.9511774144018732</c:v>
                </c:pt>
                <c:pt idx="549">
                  <c:v>6.9268049677733785</c:v>
                </c:pt>
                <c:pt idx="550">
                  <c:v>6.9024974618681965</c:v>
                </c:pt>
                <c:pt idx="551">
                  <c:v>6.8782545676741034</c:v>
                </c:pt>
                <c:pt idx="552">
                  <c:v>6.8540759584827429</c:v>
                </c:pt>
                <c:pt idx="553">
                  <c:v>6.8299613098708409</c:v>
                </c:pt>
                <c:pt idx="554">
                  <c:v>6.8059102996815639</c:v>
                </c:pt>
                <c:pt idx="555">
                  <c:v>6.7819226080060098</c:v>
                </c:pt>
                <c:pt idx="556">
                  <c:v>6.7579979171648539</c:v>
                </c:pt>
                <c:pt idx="557">
                  <c:v>6.7341359116901032</c:v>
                </c:pt>
                <c:pt idx="558">
                  <c:v>6.7103362783070208</c:v>
                </c:pt>
                <c:pt idx="559">
                  <c:v>6.68659870591617</c:v>
                </c:pt>
                <c:pt idx="560">
                  <c:v>6.6629228855755906</c:v>
                </c:pt>
                <c:pt idx="561">
                  <c:v>6.6393085104831604</c:v>
                </c:pt>
                <c:pt idx="562">
                  <c:v>6.6157552759590299</c:v>
                </c:pt>
                <c:pt idx="563">
                  <c:v>6.5922628794282234</c:v>
                </c:pt>
                <c:pt idx="564">
                  <c:v>6.5688310204034046</c:v>
                </c:pt>
                <c:pt idx="565">
                  <c:v>6.5454594004677489</c:v>
                </c:pt>
                <c:pt idx="566">
                  <c:v>6.5221477232579437</c:v>
                </c:pt>
                <c:pt idx="567">
                  <c:v>6.4988956944473575</c:v>
                </c:pt>
                <c:pt idx="568">
                  <c:v>6.4757030217293332</c:v>
                </c:pt>
                <c:pt idx="569">
                  <c:v>6.4525694148005917</c:v>
                </c:pt>
                <c:pt idx="570">
                  <c:v>6.4294945853448233</c:v>
                </c:pt>
                <c:pt idx="571">
                  <c:v>6.4064782470163752</c:v>
                </c:pt>
                <c:pt idx="572">
                  <c:v>6.3835201154240604</c:v>
                </c:pt>
                <c:pt idx="573">
                  <c:v>6.3606199081151518</c:v>
                </c:pt>
                <c:pt idx="574">
                  <c:v>6.3377773445594752</c:v>
                </c:pt>
                <c:pt idx="575">
                  <c:v>6.3149921461336325</c:v>
                </c:pt>
                <c:pt idx="576">
                  <c:v>6.2922640361053794</c:v>
                </c:pt>
                <c:pt idx="577">
                  <c:v>6.2695927396180924</c:v>
                </c:pt>
                <c:pt idx="578">
                  <c:v>6.2469779836754471</c:v>
                </c:pt>
                <c:pt idx="579">
                  <c:v>6.224419497126112</c:v>
                </c:pt>
                <c:pt idx="580">
                  <c:v>6.2019170106486872</c:v>
                </c:pt>
                <c:pt idx="581">
                  <c:v>6.1794702567366961</c:v>
                </c:pt>
                <c:pt idx="582">
                  <c:v>6.1570789696837283</c:v>
                </c:pt>
                <c:pt idx="583">
                  <c:v>6.1347428855687181</c:v>
                </c:pt>
                <c:pt idx="584">
                  <c:v>6.1124617422413383</c:v>
                </c:pt>
                <c:pt idx="585">
                  <c:v>6.0902352793075192</c:v>
                </c:pt>
                <c:pt idx="586">
                  <c:v>6.068063238115105</c:v>
                </c:pt>
                <c:pt idx="587">
                  <c:v>6.0459453617396264</c:v>
                </c:pt>
                <c:pt idx="588">
                  <c:v>6.0238813949701839</c:v>
                </c:pt>
                <c:pt idx="589">
                  <c:v>6.0018710842954848</c:v>
                </c:pt>
                <c:pt idx="590">
                  <c:v>5.9799141778899774</c:v>
                </c:pt>
                <c:pt idx="591">
                  <c:v>5.9580104256000936</c:v>
                </c:pt>
                <c:pt idx="592">
                  <c:v>5.9361595789306554</c:v>
                </c:pt>
                <c:pt idx="593">
                  <c:v>5.9143613910313784</c:v>
                </c:pt>
                <c:pt idx="594">
                  <c:v>5.8926156166834689</c:v>
                </c:pt>
                <c:pt idx="595">
                  <c:v>5.870922012286373</c:v>
                </c:pt>
                <c:pt idx="596">
                  <c:v>5.8492803358446324</c:v>
                </c:pt>
                <c:pt idx="597">
                  <c:v>5.8276903469548635</c:v>
                </c:pt>
                <c:pt idx="598">
                  <c:v>5.8061518067928199</c:v>
                </c:pt>
                <c:pt idx="599">
                  <c:v>5.7846644781006002</c:v>
                </c:pt>
                <c:pt idx="600">
                  <c:v>5.7632281251739714</c:v>
                </c:pt>
                <c:pt idx="601">
                  <c:v>5.7418425138497931</c:v>
                </c:pt>
                <c:pt idx="602">
                  <c:v>5.7205074114935357</c:v>
                </c:pt>
                <c:pt idx="603">
                  <c:v>5.6992225869869504</c:v>
                </c:pt>
                <c:pt idx="604">
                  <c:v>5.6779878107158153</c:v>
                </c:pt>
                <c:pt idx="605">
                  <c:v>5.6568028545577986</c:v>
                </c:pt>
                <c:pt idx="606">
                  <c:v>4.6564356401455331</c:v>
                </c:pt>
                <c:pt idx="607">
                  <c:v>3.7563654546182934</c:v>
                </c:pt>
                <c:pt idx="608">
                  <c:v>2.9385051470100532</c:v>
                </c:pt>
                <c:pt idx="609">
                  <c:v>2.1891568680888733</c:v>
                </c:pt>
                <c:pt idx="610">
                  <c:v>1.4977242710456609</c:v>
                </c:pt>
                <c:pt idx="611">
                  <c:v>0.85585526722883931</c:v>
                </c:pt>
                <c:pt idx="612">
                  <c:v>0.25685736851311269</c:v>
                </c:pt>
                <c:pt idx="613">
                  <c:v>-0.30471046778287036</c:v>
                </c:pt>
                <c:pt idx="614">
                  <c:v>-0.83332898831516755</c:v>
                </c:pt>
                <c:pt idx="615">
                  <c:v>-1.3327304518823802</c:v>
                </c:pt>
                <c:pt idx="616">
                  <c:v>-1.8060554872108856</c:v>
                </c:pt>
                <c:pt idx="617">
                  <c:v>-2.2559711452459834</c:v>
                </c:pt>
                <c:pt idx="618">
                  <c:v>-2.4296278657544605</c:v>
                </c:pt>
                <c:pt idx="619">
                  <c:v>-2.5999579343787067</c:v>
                </c:pt>
                <c:pt idx="620">
                  <c:v>-2.7670924357631237</c:v>
                </c:pt>
                <c:pt idx="621">
                  <c:v>-2.9311549073250989</c:v>
                </c:pt>
                <c:pt idx="622">
                  <c:v>-3.0922619110355702</c:v>
                </c:pt>
                <c:pt idx="623">
                  <c:v>-3.2505235517395032</c:v>
                </c:pt>
                <c:pt idx="624">
                  <c:v>-3.4060439479328575</c:v>
                </c:pt>
                <c:pt idx="625">
                  <c:v>-3.5589216601598599</c:v>
                </c:pt>
                <c:pt idx="626">
                  <c:v>-3.7092500815487819</c:v>
                </c:pt>
                <c:pt idx="627">
                  <c:v>-3.8571177944503763</c:v>
                </c:pt>
                <c:pt idx="628">
                  <c:v>-4.002608896665202</c:v>
                </c:pt>
                <c:pt idx="629">
                  <c:v>-4.1458033003333252</c:v>
                </c:pt>
                <c:pt idx="630">
                  <c:v>-4.2867770062020369</c:v>
                </c:pt>
                <c:pt idx="631">
                  <c:v>-4.4256023556766184</c:v>
                </c:pt>
                <c:pt idx="632">
                  <c:v>-4.5623482627883414</c:v>
                </c:pt>
                <c:pt idx="633">
                  <c:v>-4.6970804279778076</c:v>
                </c:pt>
                <c:pt idx="634">
                  <c:v>-4.8298615353847634</c:v>
                </c:pt>
                <c:pt idx="635">
                  <c:v>-4.9607514351542736</c:v>
                </c:pt>
                <c:pt idx="636">
                  <c:v>-5.0898073121098726</c:v>
                </c:pt>
                <c:pt idx="637">
                  <c:v>-5.2170838420036176</c:v>
                </c:pt>
                <c:pt idx="638">
                  <c:v>-5.342633336429417</c:v>
                </c:pt>
                <c:pt idx="639">
                  <c:v>-5.4665058773761599</c:v>
                </c:pt>
                <c:pt idx="640">
                  <c:v>-5.5887494423002293</c:v>
                </c:pt>
                <c:pt idx="641">
                  <c:v>-5.7094100205108225</c:v>
                </c:pt>
                <c:pt idx="642">
                  <c:v>-5.828531721584671</c:v>
                </c:pt>
                <c:pt idx="643">
                  <c:v>-5.9461568764588186</c:v>
                </c:pt>
                <c:pt idx="644">
                  <c:v>-6.0623261317888595</c:v>
                </c:pt>
                <c:pt idx="645">
                  <c:v>-6.1770785381058335</c:v>
                </c:pt>
                <c:pt idx="646">
                  <c:v>-6.2904516322561257</c:v>
                </c:pt>
                <c:pt idx="647">
                  <c:v>-6.4024815145650562</c:v>
                </c:pt>
                <c:pt idx="648">
                  <c:v>-6.5132029211255489</c:v>
                </c:pt>
                <c:pt idx="649">
                  <c:v>-6.622649291578143</c:v>
                </c:pt>
                <c:pt idx="650">
                  <c:v>-6.7308528327165593</c:v>
                </c:pt>
                <c:pt idx="651">
                  <c:v>-6.8378445782246988</c:v>
                </c:pt>
                <c:pt idx="652">
                  <c:v>-6.9436544448248219</c:v>
                </c:pt>
                <c:pt idx="653">
                  <c:v>-7.0483112850933569</c:v>
                </c:pt>
                <c:pt idx="654">
                  <c:v>-7.1518429371796808</c:v>
                </c:pt>
                <c:pt idx="655">
                  <c:v>-7.2542762716438123</c:v>
                </c:pt>
                <c:pt idx="656">
                  <c:v>-7.3556372356117787</c:v>
                </c:pt>
                <c:pt idx="657">
                  <c:v>-7.4559508944313624</c:v>
                </c:pt>
                <c:pt idx="658">
                  <c:v>-7.5552414709966822</c:v>
                </c:pt>
                <c:pt idx="659">
                  <c:v>-7.653532382896822</c:v>
                </c:pt>
                <c:pt idx="660">
                  <c:v>-7.750846277531914</c:v>
                </c:pt>
                <c:pt idx="661">
                  <c:v>-7.8472050653289935</c:v>
                </c:pt>
                <c:pt idx="662">
                  <c:v>-7.9426299511800478</c:v>
                </c:pt>
                <c:pt idx="663">
                  <c:v>-8.037141464215626</c:v>
                </c:pt>
                <c:pt idx="664">
                  <c:v>-8.1307594860188512</c:v>
                </c:pt>
                <c:pt idx="665">
                  <c:v>-8.2235032773772243</c:v>
                </c:pt>
                <c:pt idx="666">
                  <c:v>-8.3153915036624131</c:v>
                </c:pt>
                <c:pt idx="667">
                  <c:v>-8.4064422589218548</c:v>
                </c:pt>
              </c:numCache>
            </c:numRef>
          </c:yVal>
          <c:smooth val="1"/>
          <c:extLst>
            <c:ext xmlns:c16="http://schemas.microsoft.com/office/drawing/2014/chart" uri="{C3380CC4-5D6E-409C-BE32-E72D297353CC}">
              <c16:uniqueId val="{00000000-F0C2-4983-97E7-558C9F8AD757}"/>
            </c:ext>
          </c:extLst>
        </c:ser>
        <c:ser>
          <c:idx val="0"/>
          <c:order val="2"/>
          <c:tx>
            <c:v>Measured Gain</c:v>
          </c:tx>
          <c:spPr>
            <a:ln w="12700">
              <a:solidFill>
                <a:srgbClr val="000080"/>
              </a:solidFill>
              <a:prstDash val="solid"/>
            </a:ln>
          </c:spPr>
          <c:marker>
            <c:symbol val="diamond"/>
            <c:size val="5"/>
            <c:spPr>
              <a:solidFill>
                <a:srgbClr val="000080"/>
              </a:solidFill>
              <a:ln>
                <a:solidFill>
                  <a:srgbClr val="000080"/>
                </a:solidFill>
                <a:prstDash val="solid"/>
              </a:ln>
            </c:spPr>
          </c:marker>
          <c:xVal>
            <c:numRef>
              <c:f>'Bode Plots Calculations'!$BT$10:$BT$409</c:f>
              <c:numCache>
                <c:formatCode>#0.0#</c:formatCode>
                <c:ptCount val="400"/>
                <c:pt idx="0">
                  <c:v>100</c:v>
                </c:pt>
                <c:pt idx="1">
                  <c:v>102.32899999999999</c:v>
                </c:pt>
                <c:pt idx="2">
                  <c:v>104.71299999999999</c:v>
                </c:pt>
                <c:pt idx="3">
                  <c:v>107.152</c:v>
                </c:pt>
                <c:pt idx="4">
                  <c:v>109.648</c:v>
                </c:pt>
                <c:pt idx="5">
                  <c:v>112.202</c:v>
                </c:pt>
                <c:pt idx="6">
                  <c:v>114.815</c:v>
                </c:pt>
                <c:pt idx="7">
                  <c:v>117.49</c:v>
                </c:pt>
                <c:pt idx="8">
                  <c:v>120.226</c:v>
                </c:pt>
                <c:pt idx="9">
                  <c:v>123.027</c:v>
                </c:pt>
                <c:pt idx="10">
                  <c:v>125.893</c:v>
                </c:pt>
                <c:pt idx="11">
                  <c:v>128.82499999999999</c:v>
                </c:pt>
                <c:pt idx="12">
                  <c:v>131.82599999999999</c:v>
                </c:pt>
                <c:pt idx="13">
                  <c:v>134.89599999999999</c:v>
                </c:pt>
                <c:pt idx="14">
                  <c:v>138.03800000000001</c:v>
                </c:pt>
                <c:pt idx="15">
                  <c:v>141.25399999999999</c:v>
                </c:pt>
                <c:pt idx="16">
                  <c:v>144.54400000000001</c:v>
                </c:pt>
                <c:pt idx="17">
                  <c:v>147.911</c:v>
                </c:pt>
                <c:pt idx="18">
                  <c:v>151.35599999999999</c:v>
                </c:pt>
                <c:pt idx="19">
                  <c:v>154.88200000000001</c:v>
                </c:pt>
                <c:pt idx="20">
                  <c:v>158.489</c:v>
                </c:pt>
                <c:pt idx="21">
                  <c:v>162.18100000000001</c:v>
                </c:pt>
                <c:pt idx="22">
                  <c:v>165.959</c:v>
                </c:pt>
                <c:pt idx="23">
                  <c:v>169.82400000000001</c:v>
                </c:pt>
                <c:pt idx="24">
                  <c:v>173.78</c:v>
                </c:pt>
                <c:pt idx="25">
                  <c:v>177.828</c:v>
                </c:pt>
                <c:pt idx="26">
                  <c:v>181.97</c:v>
                </c:pt>
                <c:pt idx="27">
                  <c:v>186.209</c:v>
                </c:pt>
                <c:pt idx="28">
                  <c:v>190.54599999999999</c:v>
                </c:pt>
                <c:pt idx="29">
                  <c:v>194.98400000000001</c:v>
                </c:pt>
                <c:pt idx="30">
                  <c:v>199.52600000000001</c:v>
                </c:pt>
                <c:pt idx="31">
                  <c:v>204.17400000000001</c:v>
                </c:pt>
                <c:pt idx="32">
                  <c:v>208.93</c:v>
                </c:pt>
                <c:pt idx="33">
                  <c:v>213.79599999999999</c:v>
                </c:pt>
                <c:pt idx="34">
                  <c:v>218.77600000000001</c:v>
                </c:pt>
                <c:pt idx="35">
                  <c:v>223.87200000000001</c:v>
                </c:pt>
                <c:pt idx="36">
                  <c:v>229.08699999999999</c:v>
                </c:pt>
                <c:pt idx="37">
                  <c:v>234.423</c:v>
                </c:pt>
                <c:pt idx="38">
                  <c:v>239.88300000000001</c:v>
                </c:pt>
                <c:pt idx="39">
                  <c:v>245.471</c:v>
                </c:pt>
                <c:pt idx="40">
                  <c:v>251.18899999999999</c:v>
                </c:pt>
                <c:pt idx="41">
                  <c:v>257.04000000000002</c:v>
                </c:pt>
                <c:pt idx="42">
                  <c:v>263.02699999999999</c:v>
                </c:pt>
                <c:pt idx="43">
                  <c:v>269.15300000000002</c:v>
                </c:pt>
                <c:pt idx="44">
                  <c:v>275.423</c:v>
                </c:pt>
                <c:pt idx="45">
                  <c:v>281.83800000000002</c:v>
                </c:pt>
                <c:pt idx="46">
                  <c:v>288.40300000000002</c:v>
                </c:pt>
                <c:pt idx="47">
                  <c:v>295.12099999999998</c:v>
                </c:pt>
                <c:pt idx="48">
                  <c:v>301.995</c:v>
                </c:pt>
                <c:pt idx="49">
                  <c:v>309.02999999999997</c:v>
                </c:pt>
                <c:pt idx="50">
                  <c:v>316.22800000000001</c:v>
                </c:pt>
                <c:pt idx="51">
                  <c:v>323.59399999999999</c:v>
                </c:pt>
                <c:pt idx="52">
                  <c:v>331.13099999999997</c:v>
                </c:pt>
                <c:pt idx="53">
                  <c:v>338.84399999999999</c:v>
                </c:pt>
                <c:pt idx="54">
                  <c:v>346.73700000000002</c:v>
                </c:pt>
                <c:pt idx="55">
                  <c:v>354.81299999999999</c:v>
                </c:pt>
                <c:pt idx="56">
                  <c:v>363.07799999999997</c:v>
                </c:pt>
                <c:pt idx="57">
                  <c:v>371.53500000000003</c:v>
                </c:pt>
                <c:pt idx="58">
                  <c:v>380.18900000000002</c:v>
                </c:pt>
                <c:pt idx="59">
                  <c:v>389.04500000000002</c:v>
                </c:pt>
                <c:pt idx="60">
                  <c:v>398.10700000000003</c:v>
                </c:pt>
                <c:pt idx="61">
                  <c:v>407.38</c:v>
                </c:pt>
                <c:pt idx="62">
                  <c:v>416.86900000000003</c:v>
                </c:pt>
                <c:pt idx="63">
                  <c:v>426.58</c:v>
                </c:pt>
                <c:pt idx="64">
                  <c:v>436.51600000000002</c:v>
                </c:pt>
                <c:pt idx="65">
                  <c:v>446.68400000000003</c:v>
                </c:pt>
                <c:pt idx="66">
                  <c:v>457.08800000000002</c:v>
                </c:pt>
                <c:pt idx="67">
                  <c:v>467.73500000000001</c:v>
                </c:pt>
                <c:pt idx="68">
                  <c:v>478.63</c:v>
                </c:pt>
                <c:pt idx="69">
                  <c:v>489.779</c:v>
                </c:pt>
                <c:pt idx="70">
                  <c:v>501.18700000000001</c:v>
                </c:pt>
                <c:pt idx="71">
                  <c:v>512.86099999999999</c:v>
                </c:pt>
                <c:pt idx="72">
                  <c:v>524.80700000000002</c:v>
                </c:pt>
                <c:pt idx="73">
                  <c:v>537.03200000000004</c:v>
                </c:pt>
                <c:pt idx="74">
                  <c:v>549.54100000000005</c:v>
                </c:pt>
                <c:pt idx="75">
                  <c:v>562.34100000000001</c:v>
                </c:pt>
                <c:pt idx="76">
                  <c:v>575.44000000000005</c:v>
                </c:pt>
                <c:pt idx="77">
                  <c:v>588.84400000000005</c:v>
                </c:pt>
                <c:pt idx="78">
                  <c:v>602.55999999999995</c:v>
                </c:pt>
                <c:pt idx="79">
                  <c:v>616.59500000000003</c:v>
                </c:pt>
                <c:pt idx="80">
                  <c:v>630.95699999999999</c:v>
                </c:pt>
                <c:pt idx="81">
                  <c:v>645.654</c:v>
                </c:pt>
                <c:pt idx="82">
                  <c:v>660.69299999999998</c:v>
                </c:pt>
                <c:pt idx="83">
                  <c:v>676.08299999999997</c:v>
                </c:pt>
                <c:pt idx="84">
                  <c:v>691.83100000000002</c:v>
                </c:pt>
                <c:pt idx="85">
                  <c:v>707.94600000000003</c:v>
                </c:pt>
                <c:pt idx="86">
                  <c:v>724.43600000000004</c:v>
                </c:pt>
                <c:pt idx="87">
                  <c:v>741.31</c:v>
                </c:pt>
                <c:pt idx="88">
                  <c:v>758.57799999999997</c:v>
                </c:pt>
                <c:pt idx="89">
                  <c:v>776.24699999999996</c:v>
                </c:pt>
                <c:pt idx="90">
                  <c:v>794.32799999999997</c:v>
                </c:pt>
                <c:pt idx="91">
                  <c:v>812.83100000000002</c:v>
                </c:pt>
                <c:pt idx="92">
                  <c:v>831.76400000000001</c:v>
                </c:pt>
                <c:pt idx="93">
                  <c:v>851.13800000000003</c:v>
                </c:pt>
                <c:pt idx="94">
                  <c:v>870.96400000000006</c:v>
                </c:pt>
                <c:pt idx="95">
                  <c:v>891.25099999999998</c:v>
                </c:pt>
                <c:pt idx="96">
                  <c:v>912.01099999999997</c:v>
                </c:pt>
                <c:pt idx="97">
                  <c:v>933.25400000000002</c:v>
                </c:pt>
                <c:pt idx="98">
                  <c:v>954.99300000000005</c:v>
                </c:pt>
                <c:pt idx="99">
                  <c:v>977.23699999999997</c:v>
                </c:pt>
                <c:pt idx="100">
                  <c:v>1000</c:v>
                </c:pt>
                <c:pt idx="101">
                  <c:v>1023.293</c:v>
                </c:pt>
                <c:pt idx="102">
                  <c:v>1047.1289999999999</c:v>
                </c:pt>
                <c:pt idx="103">
                  <c:v>1071.519</c:v>
                </c:pt>
                <c:pt idx="104">
                  <c:v>1096.4780000000001</c:v>
                </c:pt>
                <c:pt idx="105">
                  <c:v>1122.018</c:v>
                </c:pt>
                <c:pt idx="106">
                  <c:v>1148.154</c:v>
                </c:pt>
                <c:pt idx="107">
                  <c:v>1174.8979999999999</c:v>
                </c:pt>
                <c:pt idx="108">
                  <c:v>1202.2639999999999</c:v>
                </c:pt>
                <c:pt idx="109">
                  <c:v>1230.269</c:v>
                </c:pt>
                <c:pt idx="110">
                  <c:v>1258.925</c:v>
                </c:pt>
                <c:pt idx="111">
                  <c:v>1288.25</c:v>
                </c:pt>
                <c:pt idx="112">
                  <c:v>1318.2570000000001</c:v>
                </c:pt>
                <c:pt idx="113">
                  <c:v>1348.963</c:v>
                </c:pt>
                <c:pt idx="114">
                  <c:v>1380.384</c:v>
                </c:pt>
                <c:pt idx="115">
                  <c:v>1412.538</c:v>
                </c:pt>
                <c:pt idx="116">
                  <c:v>1445.44</c:v>
                </c:pt>
                <c:pt idx="117">
                  <c:v>1479.1079999999999</c:v>
                </c:pt>
                <c:pt idx="118">
                  <c:v>1513.5609999999999</c:v>
                </c:pt>
                <c:pt idx="119">
                  <c:v>1548.817</c:v>
                </c:pt>
                <c:pt idx="120">
                  <c:v>1584.893</c:v>
                </c:pt>
                <c:pt idx="121">
                  <c:v>1621.81</c:v>
                </c:pt>
                <c:pt idx="122">
                  <c:v>1659.587</c:v>
                </c:pt>
                <c:pt idx="123">
                  <c:v>1698.2439999999999</c:v>
                </c:pt>
                <c:pt idx="124">
                  <c:v>1737.8009999999999</c:v>
                </c:pt>
                <c:pt idx="125">
                  <c:v>1778.279</c:v>
                </c:pt>
                <c:pt idx="126">
                  <c:v>1819.701</c:v>
                </c:pt>
                <c:pt idx="127">
                  <c:v>1862.087</c:v>
                </c:pt>
                <c:pt idx="128">
                  <c:v>1905.461</c:v>
                </c:pt>
                <c:pt idx="129">
                  <c:v>1949.845</c:v>
                </c:pt>
                <c:pt idx="130">
                  <c:v>1995.2619999999999</c:v>
                </c:pt>
                <c:pt idx="131">
                  <c:v>2041.7380000000001</c:v>
                </c:pt>
                <c:pt idx="132">
                  <c:v>2089.2959999999998</c:v>
                </c:pt>
                <c:pt idx="133">
                  <c:v>2137.962</c:v>
                </c:pt>
                <c:pt idx="134">
                  <c:v>2187.7620000000002</c:v>
                </c:pt>
                <c:pt idx="135">
                  <c:v>2238.721</c:v>
                </c:pt>
                <c:pt idx="136">
                  <c:v>2290.8679999999999</c:v>
                </c:pt>
                <c:pt idx="137">
                  <c:v>2344.2289999999998</c:v>
                </c:pt>
                <c:pt idx="138">
                  <c:v>2398.8330000000001</c:v>
                </c:pt>
                <c:pt idx="139">
                  <c:v>2454.7089999999998</c:v>
                </c:pt>
                <c:pt idx="140">
                  <c:v>2511.886</c:v>
                </c:pt>
                <c:pt idx="141">
                  <c:v>2570.3960000000002</c:v>
                </c:pt>
                <c:pt idx="142">
                  <c:v>2630.268</c:v>
                </c:pt>
                <c:pt idx="143">
                  <c:v>2691.5349999999999</c:v>
                </c:pt>
                <c:pt idx="144">
                  <c:v>2754.2289999999998</c:v>
                </c:pt>
                <c:pt idx="145">
                  <c:v>2818.3829999999998</c:v>
                </c:pt>
                <c:pt idx="146">
                  <c:v>2884.0320000000002</c:v>
                </c:pt>
                <c:pt idx="147">
                  <c:v>2951.2089999999998</c:v>
                </c:pt>
                <c:pt idx="148">
                  <c:v>3019.9520000000002</c:v>
                </c:pt>
                <c:pt idx="149">
                  <c:v>3090.2950000000001</c:v>
                </c:pt>
                <c:pt idx="150">
                  <c:v>3162.2779999999998</c:v>
                </c:pt>
                <c:pt idx="151">
                  <c:v>3235.9369999999999</c:v>
                </c:pt>
                <c:pt idx="152">
                  <c:v>3311.3110000000001</c:v>
                </c:pt>
                <c:pt idx="153">
                  <c:v>3388.442</c:v>
                </c:pt>
                <c:pt idx="154">
                  <c:v>3467.3690000000001</c:v>
                </c:pt>
                <c:pt idx="155">
                  <c:v>3548.134</c:v>
                </c:pt>
                <c:pt idx="156">
                  <c:v>3630.7809999999999</c:v>
                </c:pt>
                <c:pt idx="157">
                  <c:v>3715.3519999999999</c:v>
                </c:pt>
                <c:pt idx="158">
                  <c:v>3801.8939999999998</c:v>
                </c:pt>
                <c:pt idx="159">
                  <c:v>3890.451</c:v>
                </c:pt>
                <c:pt idx="160">
                  <c:v>3981.0720000000001</c:v>
                </c:pt>
                <c:pt idx="161">
                  <c:v>4073.8029999999999</c:v>
                </c:pt>
                <c:pt idx="162">
                  <c:v>4168.6940000000004</c:v>
                </c:pt>
                <c:pt idx="163">
                  <c:v>4265.7950000000001</c:v>
                </c:pt>
                <c:pt idx="164">
                  <c:v>4365.1580000000004</c:v>
                </c:pt>
                <c:pt idx="165">
                  <c:v>4466.8360000000002</c:v>
                </c:pt>
                <c:pt idx="166">
                  <c:v>4570.8819999999996</c:v>
                </c:pt>
                <c:pt idx="167">
                  <c:v>4677.3509999999997</c:v>
                </c:pt>
                <c:pt idx="168">
                  <c:v>4786.3010000000004</c:v>
                </c:pt>
                <c:pt idx="169">
                  <c:v>4897.7879999999996</c:v>
                </c:pt>
                <c:pt idx="170">
                  <c:v>5011.8720000000003</c:v>
                </c:pt>
                <c:pt idx="171">
                  <c:v>5128.6139999999996</c:v>
                </c:pt>
                <c:pt idx="172">
                  <c:v>5248.0749999999998</c:v>
                </c:pt>
                <c:pt idx="173">
                  <c:v>5370.3180000000002</c:v>
                </c:pt>
                <c:pt idx="174">
                  <c:v>5495.4089999999997</c:v>
                </c:pt>
                <c:pt idx="175">
                  <c:v>5623.4129999999996</c:v>
                </c:pt>
                <c:pt idx="176">
                  <c:v>5754.3990000000003</c:v>
                </c:pt>
                <c:pt idx="177">
                  <c:v>5888.4369999999999</c:v>
                </c:pt>
                <c:pt idx="178">
                  <c:v>6025.5959999999995</c:v>
                </c:pt>
                <c:pt idx="179">
                  <c:v>6165.95</c:v>
                </c:pt>
                <c:pt idx="180">
                  <c:v>6309.5730000000003</c:v>
                </c:pt>
                <c:pt idx="181">
                  <c:v>6456.5420000000004</c:v>
                </c:pt>
                <c:pt idx="182">
                  <c:v>6606.9340000000002</c:v>
                </c:pt>
                <c:pt idx="183">
                  <c:v>6760.83</c:v>
                </c:pt>
                <c:pt idx="184">
                  <c:v>6918.31</c:v>
                </c:pt>
                <c:pt idx="185">
                  <c:v>7079.4579999999996</c:v>
                </c:pt>
                <c:pt idx="186">
                  <c:v>7244.36</c:v>
                </c:pt>
                <c:pt idx="187">
                  <c:v>7413.1019999999999</c:v>
                </c:pt>
                <c:pt idx="188">
                  <c:v>7585.7759999999998</c:v>
                </c:pt>
                <c:pt idx="189">
                  <c:v>7762.4709999999995</c:v>
                </c:pt>
                <c:pt idx="190">
                  <c:v>7943.2820000000002</c:v>
                </c:pt>
                <c:pt idx="191">
                  <c:v>8128.3050000000003</c:v>
                </c:pt>
                <c:pt idx="192">
                  <c:v>8317.6380000000008</c:v>
                </c:pt>
                <c:pt idx="193">
                  <c:v>8511.3799999999992</c:v>
                </c:pt>
                <c:pt idx="194">
                  <c:v>8709.6360000000004</c:v>
                </c:pt>
                <c:pt idx="195">
                  <c:v>8912.509</c:v>
                </c:pt>
                <c:pt idx="196">
                  <c:v>9120.1080000000002</c:v>
                </c:pt>
                <c:pt idx="197">
                  <c:v>9332.5429999999997</c:v>
                </c:pt>
                <c:pt idx="198">
                  <c:v>9549.9259999999995</c:v>
                </c:pt>
                <c:pt idx="199">
                  <c:v>9772.3719999999994</c:v>
                </c:pt>
                <c:pt idx="200">
                  <c:v>10000</c:v>
                </c:pt>
                <c:pt idx="201">
                  <c:v>10232.93</c:v>
                </c:pt>
                <c:pt idx="202">
                  <c:v>10471.285</c:v>
                </c:pt>
                <c:pt idx="203">
                  <c:v>10715.192999999999</c:v>
                </c:pt>
                <c:pt idx="204">
                  <c:v>10964.781999999999</c:v>
                </c:pt>
                <c:pt idx="205">
                  <c:v>11220.184999999999</c:v>
                </c:pt>
                <c:pt idx="206">
                  <c:v>11481.536</c:v>
                </c:pt>
                <c:pt idx="207">
                  <c:v>11748.976000000001</c:v>
                </c:pt>
                <c:pt idx="208">
                  <c:v>12022.644</c:v>
                </c:pt>
                <c:pt idx="209">
                  <c:v>12302.688</c:v>
                </c:pt>
                <c:pt idx="210">
                  <c:v>12589.254000000001</c:v>
                </c:pt>
                <c:pt idx="211">
                  <c:v>12882.495999999999</c:v>
                </c:pt>
                <c:pt idx="212">
                  <c:v>13182.566999999999</c:v>
                </c:pt>
                <c:pt idx="213">
                  <c:v>13489.629000000001</c:v>
                </c:pt>
                <c:pt idx="214">
                  <c:v>13803.843000000001</c:v>
                </c:pt>
                <c:pt idx="215">
                  <c:v>14125.375</c:v>
                </c:pt>
                <c:pt idx="216">
                  <c:v>14454.397999999999</c:v>
                </c:pt>
                <c:pt idx="217">
                  <c:v>14791.084000000001</c:v>
                </c:pt>
                <c:pt idx="218">
                  <c:v>15135.611999999999</c:v>
                </c:pt>
                <c:pt idx="219">
                  <c:v>15488.165999999999</c:v>
                </c:pt>
                <c:pt idx="220">
                  <c:v>15848.932000000001</c:v>
                </c:pt>
                <c:pt idx="221">
                  <c:v>16218.101000000001</c:v>
                </c:pt>
                <c:pt idx="222">
                  <c:v>16595.868999999999</c:v>
                </c:pt>
                <c:pt idx="223">
                  <c:v>16982.437000000002</c:v>
                </c:pt>
                <c:pt idx="224">
                  <c:v>17378.008000000002</c:v>
                </c:pt>
                <c:pt idx="225">
                  <c:v>17782.794000000002</c:v>
                </c:pt>
                <c:pt idx="226">
                  <c:v>18197.008999999998</c:v>
                </c:pt>
                <c:pt idx="227">
                  <c:v>18620.870999999999</c:v>
                </c:pt>
                <c:pt idx="228">
                  <c:v>19054.607</c:v>
                </c:pt>
                <c:pt idx="229">
                  <c:v>19498.446</c:v>
                </c:pt>
                <c:pt idx="230">
                  <c:v>19952.623</c:v>
                </c:pt>
                <c:pt idx="231">
                  <c:v>20417.379000000001</c:v>
                </c:pt>
                <c:pt idx="232">
                  <c:v>20892.960999999999</c:v>
                </c:pt>
                <c:pt idx="233">
                  <c:v>21379.620999999999</c:v>
                </c:pt>
                <c:pt idx="234">
                  <c:v>21877.616000000002</c:v>
                </c:pt>
                <c:pt idx="235">
                  <c:v>22387.210999999999</c:v>
                </c:pt>
                <c:pt idx="236">
                  <c:v>22908.677</c:v>
                </c:pt>
                <c:pt idx="237">
                  <c:v>23442.288</c:v>
                </c:pt>
                <c:pt idx="238">
                  <c:v>23988.329000000002</c:v>
                </c:pt>
                <c:pt idx="239">
                  <c:v>24547.089</c:v>
                </c:pt>
                <c:pt idx="240">
                  <c:v>25118.864000000001</c:v>
                </c:pt>
                <c:pt idx="241">
                  <c:v>25703.957999999999</c:v>
                </c:pt>
                <c:pt idx="242">
                  <c:v>26302.68</c:v>
                </c:pt>
                <c:pt idx="243">
                  <c:v>26915.348000000002</c:v>
                </c:pt>
                <c:pt idx="244">
                  <c:v>27542.287</c:v>
                </c:pt>
                <c:pt idx="245">
                  <c:v>28183.829000000002</c:v>
                </c:pt>
                <c:pt idx="246">
                  <c:v>28840.314999999999</c:v>
                </c:pt>
                <c:pt idx="247">
                  <c:v>29512.092000000001</c:v>
                </c:pt>
                <c:pt idx="248">
                  <c:v>30199.517</c:v>
                </c:pt>
                <c:pt idx="249">
                  <c:v>30902.954000000002</c:v>
                </c:pt>
                <c:pt idx="250">
                  <c:v>31622.776999999998</c:v>
                </c:pt>
                <c:pt idx="251">
                  <c:v>32359.366000000002</c:v>
                </c:pt>
                <c:pt idx="252">
                  <c:v>33113.112000000001</c:v>
                </c:pt>
                <c:pt idx="253">
                  <c:v>33884.415999999997</c:v>
                </c:pt>
                <c:pt idx="254">
                  <c:v>34673.684999999998</c:v>
                </c:pt>
                <c:pt idx="255">
                  <c:v>35481.339</c:v>
                </c:pt>
                <c:pt idx="256">
                  <c:v>36307.805</c:v>
                </c:pt>
                <c:pt idx="257">
                  <c:v>37153.523000000001</c:v>
                </c:pt>
                <c:pt idx="258">
                  <c:v>38018.94</c:v>
                </c:pt>
                <c:pt idx="259">
                  <c:v>38904.514000000003</c:v>
                </c:pt>
                <c:pt idx="260">
                  <c:v>39810.716999999997</c:v>
                </c:pt>
                <c:pt idx="261">
                  <c:v>40738.027999999998</c:v>
                </c:pt>
                <c:pt idx="262">
                  <c:v>41686.938000000002</c:v>
                </c:pt>
                <c:pt idx="263">
                  <c:v>42657.951999999997</c:v>
                </c:pt>
                <c:pt idx="264">
                  <c:v>43651.582999999999</c:v>
                </c:pt>
                <c:pt idx="265">
                  <c:v>44668.358999999997</c:v>
                </c:pt>
                <c:pt idx="266">
                  <c:v>45708.819000000003</c:v>
                </c:pt>
                <c:pt idx="267">
                  <c:v>46773.514000000003</c:v>
                </c:pt>
                <c:pt idx="268">
                  <c:v>47863.008999999998</c:v>
                </c:pt>
                <c:pt idx="269">
                  <c:v>48977.881999999998</c:v>
                </c:pt>
                <c:pt idx="270">
                  <c:v>50118.722999999998</c:v>
                </c:pt>
                <c:pt idx="271">
                  <c:v>51286.137999999999</c:v>
                </c:pt>
                <c:pt idx="272">
                  <c:v>52480.745999999999</c:v>
                </c:pt>
                <c:pt idx="273">
                  <c:v>53703.18</c:v>
                </c:pt>
                <c:pt idx="274">
                  <c:v>54954.087</c:v>
                </c:pt>
                <c:pt idx="275">
                  <c:v>56234.133000000002</c:v>
                </c:pt>
                <c:pt idx="276">
                  <c:v>57543.993999999999</c:v>
                </c:pt>
                <c:pt idx="277">
                  <c:v>58884.366000000002</c:v>
                </c:pt>
                <c:pt idx="278">
                  <c:v>60255.959000000003</c:v>
                </c:pt>
                <c:pt idx="279">
                  <c:v>61659.5</c:v>
                </c:pt>
                <c:pt idx="280">
                  <c:v>63095.733999999997</c:v>
                </c:pt>
                <c:pt idx="281">
                  <c:v>64565.423000000003</c:v>
                </c:pt>
                <c:pt idx="282">
                  <c:v>66069.345000000001</c:v>
                </c:pt>
                <c:pt idx="283">
                  <c:v>67608.297999999995</c:v>
                </c:pt>
                <c:pt idx="284">
                  <c:v>69183.096999999994</c:v>
                </c:pt>
                <c:pt idx="285">
                  <c:v>70794.577999999994</c:v>
                </c:pt>
                <c:pt idx="286">
                  <c:v>72443.596000000005</c:v>
                </c:pt>
                <c:pt idx="287">
                  <c:v>74131.024000000005</c:v>
                </c:pt>
                <c:pt idx="288">
                  <c:v>75857.758000000002</c:v>
                </c:pt>
                <c:pt idx="289">
                  <c:v>77624.712</c:v>
                </c:pt>
                <c:pt idx="290">
                  <c:v>79432.823000000004</c:v>
                </c:pt>
                <c:pt idx="291">
                  <c:v>81283.051999999996</c:v>
                </c:pt>
                <c:pt idx="292">
                  <c:v>83176.376999999993</c:v>
                </c:pt>
                <c:pt idx="293">
                  <c:v>85113.804000000004</c:v>
                </c:pt>
                <c:pt idx="294">
                  <c:v>87096.358999999997</c:v>
                </c:pt>
                <c:pt idx="295">
                  <c:v>89125.093999999997</c:v>
                </c:pt>
                <c:pt idx="296">
                  <c:v>91201.084000000003</c:v>
                </c:pt>
                <c:pt idx="297">
                  <c:v>93325.43</c:v>
                </c:pt>
                <c:pt idx="298">
                  <c:v>95499.259000000005</c:v>
                </c:pt>
                <c:pt idx="299">
                  <c:v>97723.721999999994</c:v>
                </c:pt>
                <c:pt idx="300">
                  <c:v>100000</c:v>
                </c:pt>
                <c:pt idx="301">
                  <c:v>102329.299</c:v>
                </c:pt>
                <c:pt idx="302">
                  <c:v>104712.855</c:v>
                </c:pt>
                <c:pt idx="303">
                  <c:v>107151.931</c:v>
                </c:pt>
                <c:pt idx="304">
                  <c:v>109647.82</c:v>
                </c:pt>
                <c:pt idx="305">
                  <c:v>112201.845</c:v>
                </c:pt>
                <c:pt idx="306">
                  <c:v>114815.36199999999</c:v>
                </c:pt>
                <c:pt idx="307">
                  <c:v>117489.755</c:v>
                </c:pt>
                <c:pt idx="308">
                  <c:v>120226.443</c:v>
                </c:pt>
                <c:pt idx="309">
                  <c:v>123026.87699999999</c:v>
                </c:pt>
                <c:pt idx="310">
                  <c:v>125892.541</c:v>
                </c:pt>
                <c:pt idx="311">
                  <c:v>128824.955</c:v>
                </c:pt>
                <c:pt idx="312">
                  <c:v>131825.674</c:v>
                </c:pt>
                <c:pt idx="313">
                  <c:v>134896.288</c:v>
                </c:pt>
                <c:pt idx="314">
                  <c:v>138038.42600000001</c:v>
                </c:pt>
                <c:pt idx="315">
                  <c:v>141253.75399999999</c:v>
                </c:pt>
                <c:pt idx="316">
                  <c:v>144543.97700000001</c:v>
                </c:pt>
                <c:pt idx="317">
                  <c:v>147910.83900000001</c:v>
                </c:pt>
                <c:pt idx="318">
                  <c:v>151356.125</c:v>
                </c:pt>
                <c:pt idx="319">
                  <c:v>154881.66200000001</c:v>
                </c:pt>
                <c:pt idx="320">
                  <c:v>158489.31899999999</c:v>
                </c:pt>
                <c:pt idx="321">
                  <c:v>162181.01</c:v>
                </c:pt>
                <c:pt idx="322">
                  <c:v>165958.69099999999</c:v>
                </c:pt>
                <c:pt idx="323">
                  <c:v>169824.36499999999</c:v>
                </c:pt>
                <c:pt idx="324">
                  <c:v>173780.08300000001</c:v>
                </c:pt>
                <c:pt idx="325">
                  <c:v>177827.94099999999</c:v>
                </c:pt>
                <c:pt idx="326">
                  <c:v>181970.08600000001</c:v>
                </c:pt>
                <c:pt idx="327">
                  <c:v>186208.71400000001</c:v>
                </c:pt>
                <c:pt idx="328">
                  <c:v>190546.07199999999</c:v>
                </c:pt>
                <c:pt idx="329">
                  <c:v>194984.46</c:v>
                </c:pt>
                <c:pt idx="330">
                  <c:v>199526.231</c:v>
                </c:pt>
                <c:pt idx="331">
                  <c:v>204173.79399999999</c:v>
                </c:pt>
                <c:pt idx="332">
                  <c:v>208929.61300000001</c:v>
                </c:pt>
                <c:pt idx="333">
                  <c:v>213796.209</c:v>
                </c:pt>
                <c:pt idx="334">
                  <c:v>218776.16200000001</c:v>
                </c:pt>
                <c:pt idx="335">
                  <c:v>223872.114</c:v>
                </c:pt>
                <c:pt idx="336">
                  <c:v>229086.76500000001</c:v>
                </c:pt>
                <c:pt idx="337">
                  <c:v>234422.88200000001</c:v>
                </c:pt>
                <c:pt idx="338">
                  <c:v>239883.29199999999</c:v>
                </c:pt>
                <c:pt idx="339">
                  <c:v>245470.89199999999</c:v>
                </c:pt>
                <c:pt idx="340">
                  <c:v>251188.64300000001</c:v>
                </c:pt>
                <c:pt idx="341">
                  <c:v>257039.57800000001</c:v>
                </c:pt>
                <c:pt idx="342">
                  <c:v>263026.799</c:v>
                </c:pt>
                <c:pt idx="343">
                  <c:v>269153.48</c:v>
                </c:pt>
                <c:pt idx="344">
                  <c:v>275422.87</c:v>
                </c:pt>
                <c:pt idx="345">
                  <c:v>281838.29300000001</c:v>
                </c:pt>
                <c:pt idx="346">
                  <c:v>288403.15000000002</c:v>
                </c:pt>
                <c:pt idx="347">
                  <c:v>295120.92300000001</c:v>
                </c:pt>
                <c:pt idx="348">
                  <c:v>301995.17200000002</c:v>
                </c:pt>
                <c:pt idx="349">
                  <c:v>309029.54300000001</c:v>
                </c:pt>
                <c:pt idx="350">
                  <c:v>316227.766</c:v>
                </c:pt>
                <c:pt idx="351">
                  <c:v>323593.65700000001</c:v>
                </c:pt>
                <c:pt idx="352">
                  <c:v>331131.12099999998</c:v>
                </c:pt>
                <c:pt idx="353">
                  <c:v>338844.15600000002</c:v>
                </c:pt>
                <c:pt idx="354">
                  <c:v>346736.85</c:v>
                </c:pt>
                <c:pt idx="355">
                  <c:v>354813.38900000002</c:v>
                </c:pt>
                <c:pt idx="356">
                  <c:v>363078.05499999999</c:v>
                </c:pt>
                <c:pt idx="357">
                  <c:v>371535.22899999999</c:v>
                </c:pt>
                <c:pt idx="358">
                  <c:v>380189.39600000001</c:v>
                </c:pt>
                <c:pt idx="359">
                  <c:v>389045.14500000002</c:v>
                </c:pt>
                <c:pt idx="360">
                  <c:v>398107.17099999997</c:v>
                </c:pt>
                <c:pt idx="361">
                  <c:v>407380.27799999999</c:v>
                </c:pt>
                <c:pt idx="362">
                  <c:v>416869.38299999997</c:v>
                </c:pt>
                <c:pt idx="363">
                  <c:v>426579.51899999997</c:v>
                </c:pt>
                <c:pt idx="364">
                  <c:v>436515.83199999999</c:v>
                </c:pt>
                <c:pt idx="365">
                  <c:v>446683.592</c:v>
                </c:pt>
                <c:pt idx="366">
                  <c:v>457088.19</c:v>
                </c:pt>
                <c:pt idx="367">
                  <c:v>467735.141</c:v>
                </c:pt>
                <c:pt idx="368">
                  <c:v>478630.092</c:v>
                </c:pt>
                <c:pt idx="369">
                  <c:v>489778.81900000002</c:v>
                </c:pt>
                <c:pt idx="370">
                  <c:v>501187.234</c:v>
                </c:pt>
                <c:pt idx="371">
                  <c:v>512861.38400000002</c:v>
                </c:pt>
                <c:pt idx="372">
                  <c:v>524807.46</c:v>
                </c:pt>
                <c:pt idx="373">
                  <c:v>537031.79599999997</c:v>
                </c:pt>
                <c:pt idx="374">
                  <c:v>549540.87399999995</c:v>
                </c:pt>
                <c:pt idx="375">
                  <c:v>562341.32499999995</c:v>
                </c:pt>
                <c:pt idx="376">
                  <c:v>575439.93700000003</c:v>
                </c:pt>
                <c:pt idx="377">
                  <c:v>588843.65500000003</c:v>
                </c:pt>
                <c:pt idx="378">
                  <c:v>602559.58600000001</c:v>
                </c:pt>
                <c:pt idx="379">
                  <c:v>616595.00199999998</c:v>
                </c:pt>
                <c:pt idx="380">
                  <c:v>630957.34400000004</c:v>
                </c:pt>
                <c:pt idx="381">
                  <c:v>645654.22900000005</c:v>
                </c:pt>
                <c:pt idx="382">
                  <c:v>660693.44799999997</c:v>
                </c:pt>
                <c:pt idx="383">
                  <c:v>676082.97499999998</c:v>
                </c:pt>
                <c:pt idx="384">
                  <c:v>691830.97100000002</c:v>
                </c:pt>
                <c:pt idx="385">
                  <c:v>707945.78399999999</c:v>
                </c:pt>
                <c:pt idx="386">
                  <c:v>724435.96</c:v>
                </c:pt>
                <c:pt idx="387">
                  <c:v>741310.24100000004</c:v>
                </c:pt>
                <c:pt idx="388">
                  <c:v>758577.57499999995</c:v>
                </c:pt>
                <c:pt idx="389">
                  <c:v>776247.11699999997</c:v>
                </c:pt>
                <c:pt idx="390">
                  <c:v>794328.23499999999</c:v>
                </c:pt>
                <c:pt idx="391">
                  <c:v>812830.51599999995</c:v>
                </c:pt>
                <c:pt idx="392">
                  <c:v>831763.77099999995</c:v>
                </c:pt>
                <c:pt idx="393">
                  <c:v>851138.03799999994</c:v>
                </c:pt>
                <c:pt idx="394">
                  <c:v>870963.59</c:v>
                </c:pt>
                <c:pt idx="395">
                  <c:v>891250.93799999997</c:v>
                </c:pt>
                <c:pt idx="396">
                  <c:v>912010.83900000004</c:v>
                </c:pt>
                <c:pt idx="397">
                  <c:v>933254.30099999998</c:v>
                </c:pt>
                <c:pt idx="398">
                  <c:v>954992.58600000001</c:v>
                </c:pt>
                <c:pt idx="399">
                  <c:v>977237.22100000002</c:v>
                </c:pt>
              </c:numCache>
            </c:numRef>
          </c:xVal>
          <c:yVal>
            <c:numRef>
              <c:f>'Bode Plots Calculations'!$BU$10:$BU$409</c:f>
              <c:numCache>
                <c:formatCode>#0.0#</c:formatCode>
                <c:ptCount val="400"/>
                <c:pt idx="0">
                  <c:v>35.359299999999998</c:v>
                </c:pt>
                <c:pt idx="1">
                  <c:v>34.936799999999998</c:v>
                </c:pt>
                <c:pt idx="2">
                  <c:v>34.190800000000003</c:v>
                </c:pt>
                <c:pt idx="3">
                  <c:v>34.477699999999999</c:v>
                </c:pt>
                <c:pt idx="4">
                  <c:v>34.114400000000003</c:v>
                </c:pt>
                <c:pt idx="5">
                  <c:v>34.297699999999999</c:v>
                </c:pt>
                <c:pt idx="6">
                  <c:v>33.346499999999999</c:v>
                </c:pt>
                <c:pt idx="7">
                  <c:v>33.0246</c:v>
                </c:pt>
                <c:pt idx="8">
                  <c:v>33.735999999999997</c:v>
                </c:pt>
                <c:pt idx="9">
                  <c:v>32.764899999999997</c:v>
                </c:pt>
                <c:pt idx="10">
                  <c:v>32.247199999999999</c:v>
                </c:pt>
                <c:pt idx="11">
                  <c:v>32.3142</c:v>
                </c:pt>
                <c:pt idx="12">
                  <c:v>32.155799999999999</c:v>
                </c:pt>
                <c:pt idx="13">
                  <c:v>32.875300000000003</c:v>
                </c:pt>
                <c:pt idx="14">
                  <c:v>32.538699999999999</c:v>
                </c:pt>
                <c:pt idx="15">
                  <c:v>32.377000000000002</c:v>
                </c:pt>
                <c:pt idx="16">
                  <c:v>31.499099999999999</c:v>
                </c:pt>
                <c:pt idx="17">
                  <c:v>31.4819</c:v>
                </c:pt>
                <c:pt idx="18">
                  <c:v>31.0519</c:v>
                </c:pt>
                <c:pt idx="19">
                  <c:v>31.248699999999999</c:v>
                </c:pt>
                <c:pt idx="20">
                  <c:v>31.003699999999998</c:v>
                </c:pt>
                <c:pt idx="21">
                  <c:v>30.429300000000001</c:v>
                </c:pt>
                <c:pt idx="22">
                  <c:v>29.9194</c:v>
                </c:pt>
                <c:pt idx="23">
                  <c:v>29.808900000000001</c:v>
                </c:pt>
                <c:pt idx="24">
                  <c:v>30.070900000000002</c:v>
                </c:pt>
                <c:pt idx="25">
                  <c:v>29.720099999999999</c:v>
                </c:pt>
                <c:pt idx="26">
                  <c:v>30.042100000000001</c:v>
                </c:pt>
                <c:pt idx="27">
                  <c:v>29.901800000000001</c:v>
                </c:pt>
                <c:pt idx="28">
                  <c:v>29.566700000000001</c:v>
                </c:pt>
                <c:pt idx="29">
                  <c:v>29.685600000000001</c:v>
                </c:pt>
                <c:pt idx="30">
                  <c:v>29.050999999999998</c:v>
                </c:pt>
                <c:pt idx="31">
                  <c:v>28.424299999999999</c:v>
                </c:pt>
                <c:pt idx="32">
                  <c:v>28.510899999999999</c:v>
                </c:pt>
                <c:pt idx="33">
                  <c:v>28.178999999999998</c:v>
                </c:pt>
                <c:pt idx="34">
                  <c:v>27.706399999999999</c:v>
                </c:pt>
                <c:pt idx="35">
                  <c:v>27.937100000000001</c:v>
                </c:pt>
                <c:pt idx="36">
                  <c:v>27.676300000000001</c:v>
                </c:pt>
                <c:pt idx="37">
                  <c:v>27.670300000000001</c:v>
                </c:pt>
                <c:pt idx="38">
                  <c:v>27.2761</c:v>
                </c:pt>
                <c:pt idx="39">
                  <c:v>27.075500000000002</c:v>
                </c:pt>
                <c:pt idx="40">
                  <c:v>27.043399999999998</c:v>
                </c:pt>
                <c:pt idx="41">
                  <c:v>26.677600000000002</c:v>
                </c:pt>
                <c:pt idx="42">
                  <c:v>26.270299999999999</c:v>
                </c:pt>
                <c:pt idx="43">
                  <c:v>26.235900000000001</c:v>
                </c:pt>
                <c:pt idx="44">
                  <c:v>25.845600000000001</c:v>
                </c:pt>
                <c:pt idx="45">
                  <c:v>26.1068</c:v>
                </c:pt>
                <c:pt idx="46">
                  <c:v>25.784400000000002</c:v>
                </c:pt>
                <c:pt idx="47">
                  <c:v>25.581099999999999</c:v>
                </c:pt>
                <c:pt idx="48">
                  <c:v>24.917000000000002</c:v>
                </c:pt>
                <c:pt idx="49">
                  <c:v>24.825199999999999</c:v>
                </c:pt>
                <c:pt idx="50">
                  <c:v>24.722000000000001</c:v>
                </c:pt>
                <c:pt idx="51">
                  <c:v>24.5962</c:v>
                </c:pt>
                <c:pt idx="52">
                  <c:v>24.386800000000001</c:v>
                </c:pt>
                <c:pt idx="53">
                  <c:v>24.136900000000001</c:v>
                </c:pt>
                <c:pt idx="54">
                  <c:v>24.040400000000002</c:v>
                </c:pt>
                <c:pt idx="55">
                  <c:v>23.629000000000001</c:v>
                </c:pt>
                <c:pt idx="56">
                  <c:v>23.6126</c:v>
                </c:pt>
                <c:pt idx="57">
                  <c:v>23.315999999999999</c:v>
                </c:pt>
                <c:pt idx="58">
                  <c:v>23.2133</c:v>
                </c:pt>
                <c:pt idx="59">
                  <c:v>22.955200000000001</c:v>
                </c:pt>
                <c:pt idx="60">
                  <c:v>22.738499999999998</c:v>
                </c:pt>
                <c:pt idx="61">
                  <c:v>22.7593</c:v>
                </c:pt>
                <c:pt idx="62">
                  <c:v>22.4206</c:v>
                </c:pt>
                <c:pt idx="63">
                  <c:v>22.373699999999999</c:v>
                </c:pt>
                <c:pt idx="64">
                  <c:v>22.074100000000001</c:v>
                </c:pt>
                <c:pt idx="65">
                  <c:v>21.761099999999999</c:v>
                </c:pt>
                <c:pt idx="66">
                  <c:v>21.6126</c:v>
                </c:pt>
                <c:pt idx="67">
                  <c:v>21.3672</c:v>
                </c:pt>
                <c:pt idx="68">
                  <c:v>21.195799999999998</c:v>
                </c:pt>
                <c:pt idx="69">
                  <c:v>20.944800000000001</c:v>
                </c:pt>
                <c:pt idx="70">
                  <c:v>20.7819</c:v>
                </c:pt>
                <c:pt idx="71">
                  <c:v>20.634799999999998</c:v>
                </c:pt>
                <c:pt idx="72">
                  <c:v>20.243600000000001</c:v>
                </c:pt>
                <c:pt idx="73">
                  <c:v>20.2926</c:v>
                </c:pt>
                <c:pt idx="74">
                  <c:v>19.992000000000001</c:v>
                </c:pt>
                <c:pt idx="75">
                  <c:v>19.682300000000001</c:v>
                </c:pt>
                <c:pt idx="76">
                  <c:v>19.596</c:v>
                </c:pt>
                <c:pt idx="77">
                  <c:v>19.373200000000001</c:v>
                </c:pt>
                <c:pt idx="78">
                  <c:v>19.198</c:v>
                </c:pt>
                <c:pt idx="79">
                  <c:v>18.983699999999999</c:v>
                </c:pt>
                <c:pt idx="80">
                  <c:v>18.802900000000001</c:v>
                </c:pt>
                <c:pt idx="81">
                  <c:v>18.598600000000001</c:v>
                </c:pt>
                <c:pt idx="82">
                  <c:v>18.468</c:v>
                </c:pt>
                <c:pt idx="83">
                  <c:v>18.2744</c:v>
                </c:pt>
                <c:pt idx="84">
                  <c:v>18.092600000000001</c:v>
                </c:pt>
                <c:pt idx="85">
                  <c:v>17.887</c:v>
                </c:pt>
                <c:pt idx="86">
                  <c:v>17.753599999999999</c:v>
                </c:pt>
                <c:pt idx="87">
                  <c:v>17.416399999999999</c:v>
                </c:pt>
                <c:pt idx="88">
                  <c:v>17.283200000000001</c:v>
                </c:pt>
                <c:pt idx="89">
                  <c:v>17.007100000000001</c:v>
                </c:pt>
                <c:pt idx="90">
                  <c:v>16.8354</c:v>
                </c:pt>
                <c:pt idx="91">
                  <c:v>16.6614</c:v>
                </c:pt>
                <c:pt idx="92">
                  <c:v>16.509799999999998</c:v>
                </c:pt>
                <c:pt idx="93">
                  <c:v>16.276800000000001</c:v>
                </c:pt>
                <c:pt idx="94">
                  <c:v>16.106100000000001</c:v>
                </c:pt>
                <c:pt idx="95">
                  <c:v>15.882400000000001</c:v>
                </c:pt>
                <c:pt idx="96">
                  <c:v>15.6715</c:v>
                </c:pt>
                <c:pt idx="97">
                  <c:v>15.471399999999999</c:v>
                </c:pt>
                <c:pt idx="98">
                  <c:v>15.352499999999999</c:v>
                </c:pt>
                <c:pt idx="99">
                  <c:v>15.0807</c:v>
                </c:pt>
                <c:pt idx="100">
                  <c:v>14.883800000000001</c:v>
                </c:pt>
                <c:pt idx="101">
                  <c:v>14.7437</c:v>
                </c:pt>
                <c:pt idx="102">
                  <c:v>14.586600000000001</c:v>
                </c:pt>
                <c:pt idx="103">
                  <c:v>14.3581</c:v>
                </c:pt>
                <c:pt idx="104">
                  <c:v>14.1501</c:v>
                </c:pt>
                <c:pt idx="105">
                  <c:v>13.9679</c:v>
                </c:pt>
                <c:pt idx="106">
                  <c:v>13.7508</c:v>
                </c:pt>
                <c:pt idx="107">
                  <c:v>13.6038</c:v>
                </c:pt>
                <c:pt idx="108">
                  <c:v>13.412800000000001</c:v>
                </c:pt>
                <c:pt idx="109">
                  <c:v>13.1837</c:v>
                </c:pt>
                <c:pt idx="110">
                  <c:v>13.0792</c:v>
                </c:pt>
                <c:pt idx="111">
                  <c:v>12.807</c:v>
                </c:pt>
                <c:pt idx="112">
                  <c:v>12.682600000000001</c:v>
                </c:pt>
                <c:pt idx="113">
                  <c:v>12.475899999999999</c:v>
                </c:pt>
                <c:pt idx="114">
                  <c:v>12.2584</c:v>
                </c:pt>
                <c:pt idx="115">
                  <c:v>12.0929</c:v>
                </c:pt>
                <c:pt idx="116">
                  <c:v>11.918900000000001</c:v>
                </c:pt>
                <c:pt idx="117">
                  <c:v>11.714700000000001</c:v>
                </c:pt>
                <c:pt idx="118">
                  <c:v>11.5252</c:v>
                </c:pt>
                <c:pt idx="119">
                  <c:v>11.3354</c:v>
                </c:pt>
                <c:pt idx="120">
                  <c:v>11.160399999999999</c:v>
                </c:pt>
                <c:pt idx="121">
                  <c:v>10.9787</c:v>
                </c:pt>
                <c:pt idx="122">
                  <c:v>10.7578</c:v>
                </c:pt>
                <c:pt idx="123">
                  <c:v>10.580500000000001</c:v>
                </c:pt>
                <c:pt idx="124">
                  <c:v>10.4643</c:v>
                </c:pt>
                <c:pt idx="125">
                  <c:v>10.213699999999999</c:v>
                </c:pt>
                <c:pt idx="126">
                  <c:v>10.045199999999999</c:v>
                </c:pt>
                <c:pt idx="127">
                  <c:v>9.8767200000000006</c:v>
                </c:pt>
                <c:pt idx="128">
                  <c:v>9.7134199999999993</c:v>
                </c:pt>
                <c:pt idx="129">
                  <c:v>9.5268499999999996</c:v>
                </c:pt>
                <c:pt idx="130">
                  <c:v>9.3349399999999996</c:v>
                </c:pt>
                <c:pt idx="131">
                  <c:v>9.0884699999999992</c:v>
                </c:pt>
                <c:pt idx="132">
                  <c:v>8.9698600000000006</c:v>
                </c:pt>
                <c:pt idx="133">
                  <c:v>8.68736</c:v>
                </c:pt>
                <c:pt idx="134">
                  <c:v>8.5308799999999998</c:v>
                </c:pt>
                <c:pt idx="135">
                  <c:v>8.3496900000000007</c:v>
                </c:pt>
                <c:pt idx="136">
                  <c:v>8.2818299999999994</c:v>
                </c:pt>
                <c:pt idx="137">
                  <c:v>8.0662299999999991</c:v>
                </c:pt>
                <c:pt idx="138">
                  <c:v>7.8140200000000002</c:v>
                </c:pt>
                <c:pt idx="139">
                  <c:v>7.6423899999999998</c:v>
                </c:pt>
                <c:pt idx="140">
                  <c:v>7.45716</c:v>
                </c:pt>
                <c:pt idx="141">
                  <c:v>7.31271</c:v>
                </c:pt>
                <c:pt idx="142">
                  <c:v>7.13504</c:v>
                </c:pt>
                <c:pt idx="143">
                  <c:v>6.8809300000000002</c:v>
                </c:pt>
                <c:pt idx="144">
                  <c:v>6.7009400000000001</c:v>
                </c:pt>
                <c:pt idx="145">
                  <c:v>6.5356199999999998</c:v>
                </c:pt>
                <c:pt idx="146">
                  <c:v>6.3265200000000004</c:v>
                </c:pt>
                <c:pt idx="147">
                  <c:v>6.1830800000000004</c:v>
                </c:pt>
                <c:pt idx="148">
                  <c:v>6.0130600000000003</c:v>
                </c:pt>
                <c:pt idx="149">
                  <c:v>5.8544900000000002</c:v>
                </c:pt>
                <c:pt idx="150">
                  <c:v>5.6099300000000003</c:v>
                </c:pt>
                <c:pt idx="151">
                  <c:v>5.4320899999999996</c:v>
                </c:pt>
                <c:pt idx="152">
                  <c:v>5.2356100000000003</c:v>
                </c:pt>
                <c:pt idx="153">
                  <c:v>5.0528199999999996</c:v>
                </c:pt>
                <c:pt idx="154">
                  <c:v>4.9028999999999998</c:v>
                </c:pt>
                <c:pt idx="155">
                  <c:v>4.6522600000000001</c:v>
                </c:pt>
                <c:pt idx="156">
                  <c:v>4.4950999999999999</c:v>
                </c:pt>
                <c:pt idx="157">
                  <c:v>4.3437000000000001</c:v>
                </c:pt>
                <c:pt idx="158">
                  <c:v>4.1437400000000002</c:v>
                </c:pt>
                <c:pt idx="159">
                  <c:v>3.9573</c:v>
                </c:pt>
                <c:pt idx="160">
                  <c:v>3.8980899999999998</c:v>
                </c:pt>
                <c:pt idx="161">
                  <c:v>3.5600999999999998</c:v>
                </c:pt>
                <c:pt idx="162">
                  <c:v>3.4098799999999998</c:v>
                </c:pt>
                <c:pt idx="163">
                  <c:v>3.2244999999999999</c:v>
                </c:pt>
                <c:pt idx="164">
                  <c:v>3.07782</c:v>
                </c:pt>
                <c:pt idx="165">
                  <c:v>2.9233199999999999</c:v>
                </c:pt>
                <c:pt idx="166">
                  <c:v>2.7266900000000001</c:v>
                </c:pt>
                <c:pt idx="167">
                  <c:v>2.54392</c:v>
                </c:pt>
                <c:pt idx="168">
                  <c:v>2.5307499999999998</c:v>
                </c:pt>
                <c:pt idx="169">
                  <c:v>2.1795599999999999</c:v>
                </c:pt>
                <c:pt idx="170">
                  <c:v>2.08934</c:v>
                </c:pt>
                <c:pt idx="171">
                  <c:v>1.7954699999999999</c:v>
                </c:pt>
                <c:pt idx="172">
                  <c:v>1.6024099999999999</c:v>
                </c:pt>
                <c:pt idx="173">
                  <c:v>1.48515</c:v>
                </c:pt>
                <c:pt idx="174">
                  <c:v>1.35836</c:v>
                </c:pt>
                <c:pt idx="175">
                  <c:v>1.07298</c:v>
                </c:pt>
                <c:pt idx="176">
                  <c:v>0.86915299999999995</c:v>
                </c:pt>
                <c:pt idx="177">
                  <c:v>0.80323599999999995</c:v>
                </c:pt>
                <c:pt idx="178">
                  <c:v>0.76992799999999995</c:v>
                </c:pt>
                <c:pt idx="179">
                  <c:v>0.46947800000000001</c:v>
                </c:pt>
                <c:pt idx="180">
                  <c:v>0.36985299999999999</c:v>
                </c:pt>
                <c:pt idx="181">
                  <c:v>0.12767600000000001</c:v>
                </c:pt>
                <c:pt idx="182">
                  <c:v>3.6938100000000001E-2</c:v>
                </c:pt>
                <c:pt idx="183">
                  <c:v>-4.9019100000000003E-2</c:v>
                </c:pt>
                <c:pt idx="184">
                  <c:v>-0.21798300000000001</c:v>
                </c:pt>
                <c:pt idx="185">
                  <c:v>-0.38401400000000002</c:v>
                </c:pt>
                <c:pt idx="186">
                  <c:v>-0.57486000000000004</c:v>
                </c:pt>
                <c:pt idx="187">
                  <c:v>-0.73329999999999995</c:v>
                </c:pt>
                <c:pt idx="188">
                  <c:v>-0.87090199999999995</c:v>
                </c:pt>
                <c:pt idx="189">
                  <c:v>-1.0348599999999999</c:v>
                </c:pt>
                <c:pt idx="190">
                  <c:v>-1.2307999999999999</c:v>
                </c:pt>
                <c:pt idx="191">
                  <c:v>-1.3526100000000001</c:v>
                </c:pt>
                <c:pt idx="192">
                  <c:v>-1.29555</c:v>
                </c:pt>
                <c:pt idx="193">
                  <c:v>-1.5137499999999999</c:v>
                </c:pt>
                <c:pt idx="194">
                  <c:v>-1.62094</c:v>
                </c:pt>
                <c:pt idx="195">
                  <c:v>-1.6954</c:v>
                </c:pt>
                <c:pt idx="196">
                  <c:v>-1.76502</c:v>
                </c:pt>
                <c:pt idx="197">
                  <c:v>-1.99203</c:v>
                </c:pt>
                <c:pt idx="198">
                  <c:v>-2.1278299999999999</c:v>
                </c:pt>
                <c:pt idx="199">
                  <c:v>-1.9944299999999999</c:v>
                </c:pt>
                <c:pt idx="200">
                  <c:v>-2.2209699999999999</c:v>
                </c:pt>
                <c:pt idx="201">
                  <c:v>-2.4867400000000002</c:v>
                </c:pt>
                <c:pt idx="202">
                  <c:v>-2.3517399999999999</c:v>
                </c:pt>
                <c:pt idx="203">
                  <c:v>-2.5136799999999999</c:v>
                </c:pt>
                <c:pt idx="204">
                  <c:v>-2.5043700000000002</c:v>
                </c:pt>
                <c:pt idx="205">
                  <c:v>-2.7486899999999999</c:v>
                </c:pt>
                <c:pt idx="206">
                  <c:v>-2.86917</c:v>
                </c:pt>
                <c:pt idx="207">
                  <c:v>-3.0396299999999998</c:v>
                </c:pt>
                <c:pt idx="208">
                  <c:v>-3.2097500000000001</c:v>
                </c:pt>
                <c:pt idx="209">
                  <c:v>-3.2360000000000002</c:v>
                </c:pt>
                <c:pt idx="210">
                  <c:v>-3.6465100000000001</c:v>
                </c:pt>
                <c:pt idx="211">
                  <c:v>-3.6234700000000002</c:v>
                </c:pt>
                <c:pt idx="212">
                  <c:v>-4.1132799999999996</c:v>
                </c:pt>
                <c:pt idx="213">
                  <c:v>-3.8779599999999999</c:v>
                </c:pt>
                <c:pt idx="214">
                  <c:v>-4.0306600000000001</c:v>
                </c:pt>
                <c:pt idx="215">
                  <c:v>-4.0179099999999996</c:v>
                </c:pt>
                <c:pt idx="216">
                  <c:v>-3.9652699999999999</c:v>
                </c:pt>
                <c:pt idx="217">
                  <c:v>-3.9583900000000001</c:v>
                </c:pt>
                <c:pt idx="218">
                  <c:v>-3.8792200000000001</c:v>
                </c:pt>
                <c:pt idx="219">
                  <c:v>-3.9822899999999999</c:v>
                </c:pt>
                <c:pt idx="220">
                  <c:v>-3.9450400000000001</c:v>
                </c:pt>
                <c:pt idx="221">
                  <c:v>-3.9639700000000002</c:v>
                </c:pt>
                <c:pt idx="222">
                  <c:v>-3.91065</c:v>
                </c:pt>
                <c:pt idx="223">
                  <c:v>-3.9488799999999999</c:v>
                </c:pt>
                <c:pt idx="224">
                  <c:v>-3.8028900000000001</c:v>
                </c:pt>
                <c:pt idx="225">
                  <c:v>-3.8474200000000001</c:v>
                </c:pt>
                <c:pt idx="226">
                  <c:v>-3.8303199999999999</c:v>
                </c:pt>
                <c:pt idx="227">
                  <c:v>-3.77474</c:v>
                </c:pt>
                <c:pt idx="228">
                  <c:v>-3.7312500000000002</c:v>
                </c:pt>
                <c:pt idx="229">
                  <c:v>-3.7243200000000001</c:v>
                </c:pt>
                <c:pt idx="230">
                  <c:v>-3.67421</c:v>
                </c:pt>
                <c:pt idx="231">
                  <c:v>-3.6440899999999998</c:v>
                </c:pt>
                <c:pt idx="232">
                  <c:v>-3.5620099999999999</c:v>
                </c:pt>
                <c:pt idx="233">
                  <c:v>-3.5589</c:v>
                </c:pt>
                <c:pt idx="234">
                  <c:v>-3.49654</c:v>
                </c:pt>
                <c:pt idx="235">
                  <c:v>-3.4356</c:v>
                </c:pt>
                <c:pt idx="236">
                  <c:v>-3.37297</c:v>
                </c:pt>
                <c:pt idx="237">
                  <c:v>-3.29522</c:v>
                </c:pt>
                <c:pt idx="238">
                  <c:v>-3.2437399999999998</c:v>
                </c:pt>
                <c:pt idx="239">
                  <c:v>-3.1709299999999998</c:v>
                </c:pt>
                <c:pt idx="240">
                  <c:v>-3.1069800000000001</c:v>
                </c:pt>
                <c:pt idx="241">
                  <c:v>-3.0172699999999999</c:v>
                </c:pt>
                <c:pt idx="242">
                  <c:v>-2.9494799999999999</c:v>
                </c:pt>
                <c:pt idx="243">
                  <c:v>-2.8411300000000002</c:v>
                </c:pt>
                <c:pt idx="244">
                  <c:v>-2.7366600000000001</c:v>
                </c:pt>
                <c:pt idx="245">
                  <c:v>-2.6523400000000001</c:v>
                </c:pt>
                <c:pt idx="246">
                  <c:v>-2.5506799999999998</c:v>
                </c:pt>
                <c:pt idx="247">
                  <c:v>-2.44991</c:v>
                </c:pt>
                <c:pt idx="248">
                  <c:v>-2.3553299999999999</c:v>
                </c:pt>
                <c:pt idx="249">
                  <c:v>-2.2543500000000001</c:v>
                </c:pt>
                <c:pt idx="250">
                  <c:v>-2.1282199999999998</c:v>
                </c:pt>
                <c:pt idx="251">
                  <c:v>-2.03586</c:v>
                </c:pt>
                <c:pt idx="252">
                  <c:v>-1.91717</c:v>
                </c:pt>
                <c:pt idx="253">
                  <c:v>-1.81593</c:v>
                </c:pt>
                <c:pt idx="254">
                  <c:v>-1.6807799999999999</c:v>
                </c:pt>
                <c:pt idx="255">
                  <c:v>-1.5620799999999999</c:v>
                </c:pt>
                <c:pt idx="256">
                  <c:v>-1.4274800000000001</c:v>
                </c:pt>
                <c:pt idx="257">
                  <c:v>-1.30297</c:v>
                </c:pt>
                <c:pt idx="258">
                  <c:v>-1.18652</c:v>
                </c:pt>
                <c:pt idx="259">
                  <c:v>-1.0515600000000001</c:v>
                </c:pt>
                <c:pt idx="260">
                  <c:v>-0.92721699999999996</c:v>
                </c:pt>
                <c:pt idx="261">
                  <c:v>-0.80365399999999998</c:v>
                </c:pt>
                <c:pt idx="262">
                  <c:v>-0.666377</c:v>
                </c:pt>
                <c:pt idx="263">
                  <c:v>-0.55182299999999995</c:v>
                </c:pt>
                <c:pt idx="264">
                  <c:v>-0.43071199999999998</c:v>
                </c:pt>
                <c:pt idx="265">
                  <c:v>-0.21105299999999999</c:v>
                </c:pt>
                <c:pt idx="266">
                  <c:v>0.52166999999999997</c:v>
                </c:pt>
                <c:pt idx="267">
                  <c:v>0.78233600000000003</c:v>
                </c:pt>
                <c:pt idx="268">
                  <c:v>0.81724300000000005</c:v>
                </c:pt>
                <c:pt idx="269">
                  <c:v>0.86195100000000002</c:v>
                </c:pt>
                <c:pt idx="270">
                  <c:v>0.950021</c:v>
                </c:pt>
                <c:pt idx="271">
                  <c:v>1.0492999999999999</c:v>
                </c:pt>
                <c:pt idx="272">
                  <c:v>1.1752400000000001</c:v>
                </c:pt>
                <c:pt idx="273">
                  <c:v>1.3152900000000001</c:v>
                </c:pt>
                <c:pt idx="274">
                  <c:v>1.4637500000000001</c:v>
                </c:pt>
                <c:pt idx="275">
                  <c:v>1.62296</c:v>
                </c:pt>
                <c:pt idx="276">
                  <c:v>1.78169</c:v>
                </c:pt>
                <c:pt idx="277">
                  <c:v>1.9421999999999999</c:v>
                </c:pt>
                <c:pt idx="278">
                  <c:v>2.1075200000000001</c:v>
                </c:pt>
                <c:pt idx="279">
                  <c:v>2.2781099999999999</c:v>
                </c:pt>
                <c:pt idx="280">
                  <c:v>2.4499300000000002</c:v>
                </c:pt>
                <c:pt idx="281">
                  <c:v>2.6258699999999999</c:v>
                </c:pt>
                <c:pt idx="282">
                  <c:v>2.7940900000000002</c:v>
                </c:pt>
                <c:pt idx="283">
                  <c:v>2.9581400000000002</c:v>
                </c:pt>
                <c:pt idx="284">
                  <c:v>3.15646</c:v>
                </c:pt>
                <c:pt idx="285">
                  <c:v>3.32565</c:v>
                </c:pt>
                <c:pt idx="286">
                  <c:v>3.4992100000000002</c:v>
                </c:pt>
                <c:pt idx="287">
                  <c:v>3.6540400000000002</c:v>
                </c:pt>
                <c:pt idx="288">
                  <c:v>3.8307899999999999</c:v>
                </c:pt>
                <c:pt idx="289">
                  <c:v>4.0309799999999996</c:v>
                </c:pt>
                <c:pt idx="290">
                  <c:v>4.23407</c:v>
                </c:pt>
                <c:pt idx="291">
                  <c:v>4.4202000000000004</c:v>
                </c:pt>
                <c:pt idx="292">
                  <c:v>4.5639399999999997</c:v>
                </c:pt>
                <c:pt idx="293">
                  <c:v>4.7605300000000002</c:v>
                </c:pt>
                <c:pt idx="294">
                  <c:v>4.9475499999999997</c:v>
                </c:pt>
                <c:pt idx="295">
                  <c:v>5.2143100000000002</c:v>
                </c:pt>
                <c:pt idx="296">
                  <c:v>5.4050900000000004</c:v>
                </c:pt>
                <c:pt idx="297">
                  <c:v>5.6014999999999997</c:v>
                </c:pt>
                <c:pt idx="298">
                  <c:v>5.7946099999999996</c:v>
                </c:pt>
                <c:pt idx="299">
                  <c:v>5.9855799999999997</c:v>
                </c:pt>
                <c:pt idx="300">
                  <c:v>6.1811499999999997</c:v>
                </c:pt>
                <c:pt idx="301">
                  <c:v>6.3762999999999996</c:v>
                </c:pt>
                <c:pt idx="302">
                  <c:v>6.5692300000000001</c:v>
                </c:pt>
                <c:pt idx="303">
                  <c:v>6.77081</c:v>
                </c:pt>
                <c:pt idx="304">
                  <c:v>6.9849899999999998</c:v>
                </c:pt>
                <c:pt idx="305">
                  <c:v>7.2120699999999998</c:v>
                </c:pt>
                <c:pt idx="306">
                  <c:v>7.47248</c:v>
                </c:pt>
                <c:pt idx="307">
                  <c:v>7.6753600000000004</c:v>
                </c:pt>
                <c:pt idx="308">
                  <c:v>7.9446199999999996</c:v>
                </c:pt>
                <c:pt idx="309">
                  <c:v>8.1865900000000007</c:v>
                </c:pt>
                <c:pt idx="310">
                  <c:v>8.4445800000000002</c:v>
                </c:pt>
                <c:pt idx="311">
                  <c:v>8.6780500000000007</c:v>
                </c:pt>
                <c:pt idx="312">
                  <c:v>8.8889499999999995</c:v>
                </c:pt>
                <c:pt idx="313">
                  <c:v>9.0986999999999991</c:v>
                </c:pt>
                <c:pt idx="314">
                  <c:v>9.3196600000000007</c:v>
                </c:pt>
                <c:pt idx="315">
                  <c:v>9.5290400000000002</c:v>
                </c:pt>
                <c:pt idx="316">
                  <c:v>9.7312899999999996</c:v>
                </c:pt>
                <c:pt idx="317">
                  <c:v>9.9010099999999994</c:v>
                </c:pt>
                <c:pt idx="318">
                  <c:v>10.0764</c:v>
                </c:pt>
                <c:pt idx="319">
                  <c:v>10.266</c:v>
                </c:pt>
                <c:pt idx="320">
                  <c:v>10.4788</c:v>
                </c:pt>
                <c:pt idx="321">
                  <c:v>10.741899999999999</c:v>
                </c:pt>
                <c:pt idx="322">
                  <c:v>11.0235</c:v>
                </c:pt>
                <c:pt idx="323">
                  <c:v>11.234299999999999</c:v>
                </c:pt>
                <c:pt idx="324">
                  <c:v>11.3918</c:v>
                </c:pt>
                <c:pt idx="325">
                  <c:v>11.612500000000001</c:v>
                </c:pt>
                <c:pt idx="326">
                  <c:v>11.8933</c:v>
                </c:pt>
                <c:pt idx="327">
                  <c:v>12.027799999999999</c:v>
                </c:pt>
                <c:pt idx="328">
                  <c:v>12.182600000000001</c:v>
                </c:pt>
                <c:pt idx="329">
                  <c:v>12.458399999999999</c:v>
                </c:pt>
                <c:pt idx="330">
                  <c:v>12.6511</c:v>
                </c:pt>
                <c:pt idx="331">
                  <c:v>12.903600000000001</c:v>
                </c:pt>
                <c:pt idx="332">
                  <c:v>13.1541</c:v>
                </c:pt>
                <c:pt idx="333">
                  <c:v>13.368399999999999</c:v>
                </c:pt>
                <c:pt idx="334">
                  <c:v>13.6015</c:v>
                </c:pt>
                <c:pt idx="335">
                  <c:v>13.8704</c:v>
                </c:pt>
                <c:pt idx="336">
                  <c:v>14.1297</c:v>
                </c:pt>
                <c:pt idx="337">
                  <c:v>14.451599999999999</c:v>
                </c:pt>
                <c:pt idx="338">
                  <c:v>14.4628</c:v>
                </c:pt>
                <c:pt idx="339">
                  <c:v>14.575900000000001</c:v>
                </c:pt>
                <c:pt idx="340">
                  <c:v>14.7446</c:v>
                </c:pt>
                <c:pt idx="341">
                  <c:v>14.891</c:v>
                </c:pt>
                <c:pt idx="342">
                  <c:v>14.9779</c:v>
                </c:pt>
                <c:pt idx="343">
                  <c:v>15.0854</c:v>
                </c:pt>
                <c:pt idx="344">
                  <c:v>15.1145</c:v>
                </c:pt>
                <c:pt idx="345">
                  <c:v>15.1486</c:v>
                </c:pt>
                <c:pt idx="346">
                  <c:v>14.961</c:v>
                </c:pt>
                <c:pt idx="347">
                  <c:v>14.946199999999999</c:v>
                </c:pt>
                <c:pt idx="348">
                  <c:v>15.1762</c:v>
                </c:pt>
                <c:pt idx="349">
                  <c:v>15.284700000000001</c:v>
                </c:pt>
                <c:pt idx="350">
                  <c:v>15.331799999999999</c:v>
                </c:pt>
                <c:pt idx="351">
                  <c:v>15.3347</c:v>
                </c:pt>
                <c:pt idx="352">
                  <c:v>15.331</c:v>
                </c:pt>
                <c:pt idx="353">
                  <c:v>15.2844</c:v>
                </c:pt>
                <c:pt idx="354">
                  <c:v>15.295400000000001</c:v>
                </c:pt>
                <c:pt idx="355">
                  <c:v>15.3028</c:v>
                </c:pt>
                <c:pt idx="356">
                  <c:v>15.049200000000001</c:v>
                </c:pt>
                <c:pt idx="357">
                  <c:v>14.9002</c:v>
                </c:pt>
                <c:pt idx="358">
                  <c:v>14.938000000000001</c:v>
                </c:pt>
                <c:pt idx="359">
                  <c:v>14.7561</c:v>
                </c:pt>
                <c:pt idx="360">
                  <c:v>14.525499999999999</c:v>
                </c:pt>
                <c:pt idx="361">
                  <c:v>14.4298</c:v>
                </c:pt>
                <c:pt idx="362">
                  <c:v>14.126799999999999</c:v>
                </c:pt>
                <c:pt idx="363">
                  <c:v>14.106299999999999</c:v>
                </c:pt>
                <c:pt idx="364">
                  <c:v>13.8226</c:v>
                </c:pt>
                <c:pt idx="365">
                  <c:v>13.599500000000001</c:v>
                </c:pt>
                <c:pt idx="366">
                  <c:v>13.3674</c:v>
                </c:pt>
                <c:pt idx="367">
                  <c:v>13.1959</c:v>
                </c:pt>
                <c:pt idx="368">
                  <c:v>13.0069</c:v>
                </c:pt>
                <c:pt idx="369">
                  <c:v>12.7394</c:v>
                </c:pt>
                <c:pt idx="370">
                  <c:v>12.4757</c:v>
                </c:pt>
                <c:pt idx="371">
                  <c:v>12.1639</c:v>
                </c:pt>
                <c:pt idx="372">
                  <c:v>11.9579</c:v>
                </c:pt>
                <c:pt idx="373">
                  <c:v>11.690200000000001</c:v>
                </c:pt>
                <c:pt idx="374">
                  <c:v>11.575799999999999</c:v>
                </c:pt>
                <c:pt idx="375">
                  <c:v>11.314</c:v>
                </c:pt>
                <c:pt idx="376">
                  <c:v>11.0791</c:v>
                </c:pt>
                <c:pt idx="377">
                  <c:v>10.8666</c:v>
                </c:pt>
                <c:pt idx="378">
                  <c:v>10.6013</c:v>
                </c:pt>
                <c:pt idx="379">
                  <c:v>10.4749</c:v>
                </c:pt>
                <c:pt idx="380">
                  <c:v>10.283799999999999</c:v>
                </c:pt>
                <c:pt idx="381">
                  <c:v>9.9821899999999992</c:v>
                </c:pt>
                <c:pt idx="382">
                  <c:v>9.7520900000000008</c:v>
                </c:pt>
                <c:pt idx="383">
                  <c:v>9.5117999999999991</c:v>
                </c:pt>
                <c:pt idx="384">
                  <c:v>9.28308</c:v>
                </c:pt>
                <c:pt idx="385">
                  <c:v>9.1002899999999993</c:v>
                </c:pt>
                <c:pt idx="386">
                  <c:v>8.7908299999999997</c:v>
                </c:pt>
                <c:pt idx="387">
                  <c:v>8.6150300000000009</c:v>
                </c:pt>
                <c:pt idx="388">
                  <c:v>8.3056699999999992</c:v>
                </c:pt>
                <c:pt idx="389">
                  <c:v>7.9999099999999999</c:v>
                </c:pt>
                <c:pt idx="390">
                  <c:v>7.7399399999999998</c:v>
                </c:pt>
                <c:pt idx="391">
                  <c:v>7.5259600000000004</c:v>
                </c:pt>
                <c:pt idx="392">
                  <c:v>7.3913599999999997</c:v>
                </c:pt>
                <c:pt idx="393">
                  <c:v>7.3125499999999999</c:v>
                </c:pt>
                <c:pt idx="394">
                  <c:v>7.1463099999999997</c:v>
                </c:pt>
                <c:pt idx="395">
                  <c:v>6.8612700000000002</c:v>
                </c:pt>
                <c:pt idx="396">
                  <c:v>6.4708399999999999</c:v>
                </c:pt>
                <c:pt idx="397">
                  <c:v>6.2453099999999999</c:v>
                </c:pt>
                <c:pt idx="398">
                  <c:v>6.1328699999999996</c:v>
                </c:pt>
                <c:pt idx="399">
                  <c:v>5.7547600000000001</c:v>
                </c:pt>
              </c:numCache>
            </c:numRef>
          </c:yVal>
          <c:smooth val="1"/>
          <c:extLst>
            <c:ext xmlns:c16="http://schemas.microsoft.com/office/drawing/2014/chart" uri="{C3380CC4-5D6E-409C-BE32-E72D297353CC}">
              <c16:uniqueId val="{00000001-F0C2-4983-97E7-558C9F8AD757}"/>
            </c:ext>
          </c:extLst>
        </c:ser>
        <c:dLbls>
          <c:showLegendKey val="0"/>
          <c:showVal val="0"/>
          <c:showCatName val="0"/>
          <c:showSerName val="0"/>
          <c:showPercent val="0"/>
          <c:showBubbleSize val="0"/>
        </c:dLbls>
        <c:axId val="156820224"/>
        <c:axId val="156822528"/>
      </c:scatterChart>
      <c:scatterChart>
        <c:scatterStyle val="lineMarker"/>
        <c:varyColors val="0"/>
        <c:ser>
          <c:idx val="3"/>
          <c:order val="1"/>
          <c:tx>
            <c:v>Theoretical Phase</c:v>
          </c:tx>
          <c:spPr>
            <a:ln w="38100">
              <a:solidFill>
                <a:srgbClr val="660066"/>
              </a:solidFill>
              <a:prstDash val="solid"/>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Calculations'!$BD$9:$BD$676</c:f>
              <c:numCache>
                <c:formatCode>General</c:formatCode>
                <c:ptCount val="668"/>
                <c:pt idx="0">
                  <c:v>-211.32966540973041</c:v>
                </c:pt>
                <c:pt idx="1">
                  <c:v>-230.57628411866477</c:v>
                </c:pt>
                <c:pt idx="2">
                  <c:v>-241.23971397025716</c:v>
                </c:pt>
                <c:pt idx="3">
                  <c:v>-247.58569466225006</c:v>
                </c:pt>
                <c:pt idx="4">
                  <c:v>-251.69493140510241</c:v>
                </c:pt>
                <c:pt idx="5">
                  <c:v>-254.54160374000389</c:v>
                </c:pt>
                <c:pt idx="6">
                  <c:v>-256.61753974056421</c:v>
                </c:pt>
                <c:pt idx="7">
                  <c:v>-258.1921838532665</c:v>
                </c:pt>
                <c:pt idx="8">
                  <c:v>-259.42388073066411</c:v>
                </c:pt>
                <c:pt idx="9">
                  <c:v>-260.41122345770725</c:v>
                </c:pt>
                <c:pt idx="10">
                  <c:v>-264.77067368806445</c:v>
                </c:pt>
                <c:pt idx="11">
                  <c:v>-266.06111674820318</c:v>
                </c:pt>
                <c:pt idx="12">
                  <c:v>-266.57361221507364</c:v>
                </c:pt>
                <c:pt idx="13">
                  <c:v>-266.77386891786369</c:v>
                </c:pt>
                <c:pt idx="14">
                  <c:v>-266.81779937978303</c:v>
                </c:pt>
                <c:pt idx="15">
                  <c:v>-266.77235086478265</c:v>
                </c:pt>
                <c:pt idx="16">
                  <c:v>-266.67103267662714</c:v>
                </c:pt>
                <c:pt idx="17">
                  <c:v>-266.53247435322425</c:v>
                </c:pt>
                <c:pt idx="18">
                  <c:v>-266.36785989910783</c:v>
                </c:pt>
                <c:pt idx="19">
                  <c:v>-264.15087456052981</c:v>
                </c:pt>
                <c:pt idx="20">
                  <c:v>-261.63032679684534</c:v>
                </c:pt>
                <c:pt idx="21">
                  <c:v>-259.04595135211463</c:v>
                </c:pt>
                <c:pt idx="22">
                  <c:v>-256.44929796938357</c:v>
                </c:pt>
                <c:pt idx="23">
                  <c:v>-253.86033487200768</c:v>
                </c:pt>
                <c:pt idx="24">
                  <c:v>-251.28978733751066</c:v>
                </c:pt>
                <c:pt idx="25">
                  <c:v>-248.74469745502819</c:v>
                </c:pt>
                <c:pt idx="26">
                  <c:v>-246.23026245498579</c:v>
                </c:pt>
                <c:pt idx="27">
                  <c:v>-243.75056323562885</c:v>
                </c:pt>
                <c:pt idx="28">
                  <c:v>-231.96872785305578</c:v>
                </c:pt>
                <c:pt idx="29">
                  <c:v>-221.34167511713457</c:v>
                </c:pt>
                <c:pt idx="30">
                  <c:v>-211.89239658755258</c:v>
                </c:pt>
                <c:pt idx="31">
                  <c:v>-203.53644517354439</c:v>
                </c:pt>
                <c:pt idx="32">
                  <c:v>-196.14831472099928</c:v>
                </c:pt>
                <c:pt idx="33">
                  <c:v>-189.59819994749236</c:v>
                </c:pt>
                <c:pt idx="34">
                  <c:v>-183.76808017917375</c:v>
                </c:pt>
                <c:pt idx="35">
                  <c:v>-178.55650491334271</c:v>
                </c:pt>
                <c:pt idx="36">
                  <c:v>-173.87830060246284</c:v>
                </c:pt>
                <c:pt idx="37">
                  <c:v>-169.66247260729688</c:v>
                </c:pt>
                <c:pt idx="38">
                  <c:v>-165.8497746168126</c:v>
                </c:pt>
                <c:pt idx="39">
                  <c:v>-162.39050512304749</c:v>
                </c:pt>
                <c:pt idx="40">
                  <c:v>-159.24268259208338</c:v>
                </c:pt>
                <c:pt idx="41">
                  <c:v>-156.37059059728665</c:v>
                </c:pt>
                <c:pt idx="42">
                  <c:v>-153.74363376466448</c:v>
                </c:pt>
                <c:pt idx="43">
                  <c:v>-151.33543909481324</c:v>
                </c:pt>
                <c:pt idx="44">
                  <c:v>-149.12314596989719</c:v>
                </c:pt>
                <c:pt idx="45">
                  <c:v>-147.08684007331416</c:v>
                </c:pt>
                <c:pt idx="46">
                  <c:v>-145.20909729462221</c:v>
                </c:pt>
                <c:pt idx="47">
                  <c:v>-143.474612348025</c:v>
                </c:pt>
                <c:pt idx="48">
                  <c:v>-141.86989335007189</c:v>
                </c:pt>
                <c:pt idx="49">
                  <c:v>-140.38300837774813</c:v>
                </c:pt>
                <c:pt idx="50">
                  <c:v>-139.00337349038585</c:v>
                </c:pt>
                <c:pt idx="51">
                  <c:v>-137.72157420761101</c:v>
                </c:pt>
                <c:pt idx="52">
                  <c:v>-136.52921426432914</c:v>
                </c:pt>
                <c:pt idx="53">
                  <c:v>-135.41878681053439</c:v>
                </c:pt>
                <c:pt idx="54">
                  <c:v>-134.38356422829048</c:v>
                </c:pt>
                <c:pt idx="55">
                  <c:v>-133.4175034981435</c:v>
                </c:pt>
                <c:pt idx="56">
                  <c:v>-132.51516463036577</c:v>
                </c:pt>
                <c:pt idx="57">
                  <c:v>-131.67164013016631</c:v>
                </c:pt>
                <c:pt idx="58">
                  <c:v>-130.88249382364046</c:v>
                </c:pt>
                <c:pt idx="59">
                  <c:v>-130.14370765643204</c:v>
                </c:pt>
                <c:pt idx="60">
                  <c:v>-129.45163530687691</c:v>
                </c:pt>
                <c:pt idx="61">
                  <c:v>-128.80296164222295</c:v>
                </c:pt>
                <c:pt idx="62">
                  <c:v>-128.19466719960286</c:v>
                </c:pt>
                <c:pt idx="63">
                  <c:v>-127.62399699970067</c:v>
                </c:pt>
                <c:pt idx="64">
                  <c:v>-127.08843310580684</c:v>
                </c:pt>
                <c:pt idx="65">
                  <c:v>-126.58567042829397</c:v>
                </c:pt>
                <c:pt idx="66">
                  <c:v>-126.11359534767686</c:v>
                </c:pt>
                <c:pt idx="67">
                  <c:v>-125.67026679089383</c:v>
                </c:pt>
                <c:pt idx="68">
                  <c:v>-125.25389944729318</c:v>
                </c:pt>
                <c:pt idx="69">
                  <c:v>-124.86284885467026</c:v>
                </c:pt>
                <c:pt idx="70">
                  <c:v>-124.49559812291297</c:v>
                </c:pt>
                <c:pt idx="71">
                  <c:v>-124.15074609446316</c:v>
                </c:pt>
                <c:pt idx="72">
                  <c:v>-123.82699676778635</c:v>
                </c:pt>
                <c:pt idx="73">
                  <c:v>-123.52314983310237</c:v>
                </c:pt>
                <c:pt idx="74">
                  <c:v>-123.23809218937757</c:v>
                </c:pt>
                <c:pt idx="75">
                  <c:v>-122.97079032852682</c:v>
                </c:pt>
                <c:pt idx="76">
                  <c:v>-122.72028348734526</c:v>
                </c:pt>
                <c:pt idx="77">
                  <c:v>-122.48567748024536</c:v>
                </c:pt>
                <c:pt idx="78">
                  <c:v>-122.26613913671159</c:v>
                </c:pt>
                <c:pt idx="79">
                  <c:v>-122.06089127675509</c:v>
                </c:pt>
                <c:pt idx="80">
                  <c:v>-121.86920816576989</c:v>
                </c:pt>
                <c:pt idx="81">
                  <c:v>-121.69041139723686</c:v>
                </c:pt>
                <c:pt idx="82">
                  <c:v>-121.52386615784445</c:v>
                </c:pt>
                <c:pt idx="83">
                  <c:v>-121.36897783492986</c:v>
                </c:pt>
                <c:pt idx="84">
                  <c:v>-121.22518893079442</c:v>
                </c:pt>
                <c:pt idx="85">
                  <c:v>-121.09197625250974</c:v>
                </c:pt>
                <c:pt idx="86">
                  <c:v>-120.96884834938842</c:v>
                </c:pt>
                <c:pt idx="87">
                  <c:v>-120.85534317340826</c:v>
                </c:pt>
                <c:pt idx="88">
                  <c:v>-120.7510259406134</c:v>
                </c:pt>
                <c:pt idx="89">
                  <c:v>-120.65548717392264</c:v>
                </c:pt>
                <c:pt idx="90">
                  <c:v>-120.56834090988934</c:v>
                </c:pt>
                <c:pt idx="91">
                  <c:v>-120.48922305382607</c:v>
                </c:pt>
                <c:pt idx="92">
                  <c:v>-120.41778986935412</c:v>
                </c:pt>
                <c:pt idx="93">
                  <c:v>-120.35371658989575</c:v>
                </c:pt>
                <c:pt idx="94">
                  <c:v>-120.29669614091685</c:v>
                </c:pt>
                <c:pt idx="95">
                  <c:v>-120.24643796287307</c:v>
                </c:pt>
                <c:pt idx="96">
                  <c:v>-120.20266692582689</c:v>
                </c:pt>
                <c:pt idx="97">
                  <c:v>-120.16512232760789</c:v>
                </c:pt>
                <c:pt idx="98">
                  <c:v>-120.1335569681905</c:v>
                </c:pt>
                <c:pt idx="99">
                  <c:v>-120.10773629368286</c:v>
                </c:pt>
                <c:pt idx="100">
                  <c:v>-120.08743760395733</c:v>
                </c:pt>
                <c:pt idx="101">
                  <c:v>-120.07244931852665</c:v>
                </c:pt>
                <c:pt idx="102">
                  <c:v>-120.06257029578074</c:v>
                </c:pt>
                <c:pt idx="103">
                  <c:v>-120.05760920115624</c:v>
                </c:pt>
                <c:pt idx="104">
                  <c:v>-120.05738392022312</c:v>
                </c:pt>
                <c:pt idx="105">
                  <c:v>-120.06172101304051</c:v>
                </c:pt>
                <c:pt idx="106">
                  <c:v>-120.07045520646579</c:v>
                </c:pt>
                <c:pt idx="107">
                  <c:v>-120.0834289213991</c:v>
                </c:pt>
                <c:pt idx="108">
                  <c:v>-120.10049183221454</c:v>
                </c:pt>
                <c:pt idx="109">
                  <c:v>-120.12150045587127</c:v>
                </c:pt>
                <c:pt idx="110">
                  <c:v>-120.14631776841664</c:v>
                </c:pt>
                <c:pt idx="111">
                  <c:v>-120.17481284679144</c:v>
                </c:pt>
                <c:pt idx="112">
                  <c:v>-120.20686053402565</c:v>
                </c:pt>
                <c:pt idx="113">
                  <c:v>-120.24234112607584</c:v>
                </c:pt>
                <c:pt idx="114">
                  <c:v>-120.28114007870107</c:v>
                </c:pt>
                <c:pt idx="115">
                  <c:v>-120.32314773290861</c:v>
                </c:pt>
                <c:pt idx="116">
                  <c:v>-120.36825905762063</c:v>
                </c:pt>
                <c:pt idx="117">
                  <c:v>-120.41637340832398</c:v>
                </c:pt>
                <c:pt idx="118">
                  <c:v>-120.4673943005638</c:v>
                </c:pt>
                <c:pt idx="119">
                  <c:v>-120.52122919723472</c:v>
                </c:pt>
                <c:pt idx="120">
                  <c:v>-120.57778930870468</c:v>
                </c:pt>
                <c:pt idx="121">
                  <c:v>-120.6369894048832</c:v>
                </c:pt>
                <c:pt idx="122">
                  <c:v>-120.69874763841472</c:v>
                </c:pt>
                <c:pt idx="123">
                  <c:v>-120.76298537824097</c:v>
                </c:pt>
                <c:pt idx="124">
                  <c:v>-120.82962705283384</c:v>
                </c:pt>
                <c:pt idx="125">
                  <c:v>-120.89860000245372</c:v>
                </c:pt>
                <c:pt idx="126">
                  <c:v>-120.9698343398361</c:v>
                </c:pt>
                <c:pt idx="127">
                  <c:v>-121.04326281875403</c:v>
                </c:pt>
                <c:pt idx="128">
                  <c:v>-121.11882070994494</c:v>
                </c:pt>
                <c:pt idx="129">
                  <c:v>-121.1964456839271</c:v>
                </c:pt>
                <c:pt idx="130">
                  <c:v>-121.27607770026643</c:v>
                </c:pt>
                <c:pt idx="131">
                  <c:v>-121.35765890288479</c:v>
                </c:pt>
                <c:pt idx="132">
                  <c:v>-121.44113352103153</c:v>
                </c:pt>
                <c:pt idx="133">
                  <c:v>-121.52644777556473</c:v>
                </c:pt>
                <c:pt idx="134">
                  <c:v>-121.61354979021573</c:v>
                </c:pt>
                <c:pt idx="135">
                  <c:v>-121.70238950753151</c:v>
                </c:pt>
                <c:pt idx="136">
                  <c:v>-121.7929186092111</c:v>
                </c:pt>
                <c:pt idx="137">
                  <c:v>-121.88509044057211</c:v>
                </c:pt>
                <c:pt idx="138">
                  <c:v>-121.97885993890017</c:v>
                </c:pt>
                <c:pt idx="139">
                  <c:v>-122.07418356545219</c:v>
                </c:pt>
                <c:pt idx="140">
                  <c:v>-122.17101924089854</c:v>
                </c:pt>
                <c:pt idx="141">
                  <c:v>-122.26932628400394</c:v>
                </c:pt>
                <c:pt idx="142">
                  <c:v>-122.36906535335983</c:v>
                </c:pt>
                <c:pt idx="143">
                  <c:v>-122.47019839199353</c:v>
                </c:pt>
                <c:pt idx="144">
                  <c:v>-122.57268857469049</c:v>
                </c:pt>
                <c:pt idx="145">
                  <c:v>-122.67650025787628</c:v>
                </c:pt>
                <c:pt idx="146">
                  <c:v>-122.78159893191531</c:v>
                </c:pt>
                <c:pt idx="147">
                  <c:v>-122.88795117569211</c:v>
                </c:pt>
                <c:pt idx="148">
                  <c:v>-122.99552461334868</c:v>
                </c:pt>
                <c:pt idx="149">
                  <c:v>-123.10428787306058</c:v>
                </c:pt>
                <c:pt idx="150">
                  <c:v>-123.21421054774078</c:v>
                </c:pt>
                <c:pt idx="151">
                  <c:v>-123.32526315756726</c:v>
                </c:pt>
                <c:pt idx="152">
                  <c:v>-123.43741711423682</c:v>
                </c:pt>
                <c:pt idx="153">
                  <c:v>-123.55064468685369</c:v>
                </c:pt>
                <c:pt idx="154">
                  <c:v>-123.66491896936614</c:v>
                </c:pt>
                <c:pt idx="155">
                  <c:v>-123.78021384947084</c:v>
                </c:pt>
                <c:pt idx="156">
                  <c:v>-123.89650397890793</c:v>
                </c:pt>
                <c:pt idx="157">
                  <c:v>-124.01376474507575</c:v>
                </c:pt>
                <c:pt idx="158">
                  <c:v>-124.13197224389688</c:v>
                </c:pt>
                <c:pt idx="159">
                  <c:v>-124.2511032538728</c:v>
                </c:pt>
                <c:pt idx="160">
                  <c:v>-124.37113521126599</c:v>
                </c:pt>
                <c:pt idx="161">
                  <c:v>-124.49204618635409</c:v>
                </c:pt>
                <c:pt idx="162">
                  <c:v>-124.61381486070164</c:v>
                </c:pt>
                <c:pt idx="163">
                  <c:v>-124.73642050540022</c:v>
                </c:pt>
                <c:pt idx="164">
                  <c:v>-124.85984296022808</c:v>
                </c:pt>
                <c:pt idx="165">
                  <c:v>-124.98406261368575</c:v>
                </c:pt>
                <c:pt idx="166">
                  <c:v>-125.10906038386409</c:v>
                </c:pt>
                <c:pt idx="167">
                  <c:v>-125.23481770010548</c:v>
                </c:pt>
                <c:pt idx="168">
                  <c:v>-125.36131648541968</c:v>
                </c:pt>
                <c:pt idx="169">
                  <c:v>-125.48853913961895</c:v>
                </c:pt>
                <c:pt idx="170">
                  <c:v>-125.61646852313814</c:v>
                </c:pt>
                <c:pt idx="171">
                  <c:v>-125.74508794150788</c:v>
                </c:pt>
                <c:pt idx="172">
                  <c:v>-125.87438113045036</c:v>
                </c:pt>
                <c:pt idx="173">
                  <c:v>-126.00433224156896</c:v>
                </c:pt>
                <c:pt idx="174">
                  <c:v>-126.1349258286043</c:v>
                </c:pt>
                <c:pt idx="175">
                  <c:v>-126.26614683423092</c:v>
                </c:pt>
                <c:pt idx="176">
                  <c:v>-126.39798057737019</c:v>
                </c:pt>
                <c:pt idx="177">
                  <c:v>-126.53041274099581</c:v>
                </c:pt>
                <c:pt idx="178">
                  <c:v>-126.66342936041048</c:v>
                </c:pt>
                <c:pt idx="179">
                  <c:v>-126.79701681197172</c:v>
                </c:pt>
                <c:pt idx="180">
                  <c:v>-126.93116180224801</c:v>
                </c:pt>
                <c:pt idx="181">
                  <c:v>-127.06585135758587</c:v>
                </c:pt>
                <c:pt idx="182">
                  <c:v>-127.20107281406965</c:v>
                </c:pt>
                <c:pt idx="183">
                  <c:v>-127.33681380785765</c:v>
                </c:pt>
                <c:pt idx="184">
                  <c:v>-127.47306226587747</c:v>
                </c:pt>
                <c:pt idx="185">
                  <c:v>-127.60980639686595</c:v>
                </c:pt>
                <c:pt idx="186">
                  <c:v>-127.74703468273859</c:v>
                </c:pt>
                <c:pt idx="187">
                  <c:v>-127.88473587027443</c:v>
                </c:pt>
                <c:pt idx="188">
                  <c:v>-128.02289896310333</c:v>
                </c:pt>
                <c:pt idx="189">
                  <c:v>-128.16151321398289</c:v>
                </c:pt>
                <c:pt idx="190">
                  <c:v>-128.30056811735278</c:v>
                </c:pt>
                <c:pt idx="191">
                  <c:v>-128.440053402155</c:v>
                </c:pt>
                <c:pt idx="192">
                  <c:v>-128.57995902490981</c:v>
                </c:pt>
                <c:pt idx="193">
                  <c:v>-128.7202751630355</c:v>
                </c:pt>
                <c:pt idx="194">
                  <c:v>-128.8609922084035</c:v>
                </c:pt>
                <c:pt idx="195">
                  <c:v>-129.00210076111816</c:v>
                </c:pt>
                <c:pt idx="196">
                  <c:v>-129.14359162351312</c:v>
                </c:pt>
                <c:pt idx="197">
                  <c:v>-129.28545579435476</c:v>
                </c:pt>
                <c:pt idx="198">
                  <c:v>-129.42768446324521</c:v>
                </c:pt>
                <c:pt idx="199">
                  <c:v>-129.57026900521612</c:v>
                </c:pt>
                <c:pt idx="200">
                  <c:v>-129.71320097550699</c:v>
                </c:pt>
                <c:pt idx="201">
                  <c:v>-129.85647210451964</c:v>
                </c:pt>
                <c:pt idx="202">
                  <c:v>-130.00007429294214</c:v>
                </c:pt>
                <c:pt idx="203">
                  <c:v>-130.14399960703668</c:v>
                </c:pt>
                <c:pt idx="204">
                  <c:v>-130.28824027408348</c:v>
                </c:pt>
                <c:pt idx="205">
                  <c:v>-130.43278867797619</c:v>
                </c:pt>
                <c:pt idx="206">
                  <c:v>-130.57763735496218</c:v>
                </c:pt>
                <c:pt idx="207">
                  <c:v>-130.72277898952211</c:v>
                </c:pt>
                <c:pt idx="208">
                  <c:v>-130.86820641038452</c:v>
                </c:pt>
                <c:pt idx="209">
                  <c:v>-131.01391258666919</c:v>
                </c:pt>
                <c:pt idx="210">
                  <c:v>-131.15989062415528</c:v>
                </c:pt>
                <c:pt idx="211">
                  <c:v>-131.3061337616692</c:v>
                </c:pt>
                <c:pt idx="212">
                  <c:v>-131.45263536758807</c:v>
                </c:pt>
                <c:pt idx="213">
                  <c:v>-131.59938893645426</c:v>
                </c:pt>
                <c:pt idx="214">
                  <c:v>-131.74638808569708</c:v>
                </c:pt>
                <c:pt idx="215">
                  <c:v>-131.89362655245796</c:v>
                </c:pt>
                <c:pt idx="216">
                  <c:v>-132.04109819051482</c:v>
                </c:pt>
                <c:pt idx="217">
                  <c:v>-132.18879696730249</c:v>
                </c:pt>
                <c:pt idx="218">
                  <c:v>-132.3367169610259</c:v>
                </c:pt>
                <c:pt idx="219">
                  <c:v>-132.48485235786205</c:v>
                </c:pt>
                <c:pt idx="220">
                  <c:v>-132.63319744924834</c:v>
                </c:pt>
                <c:pt idx="221">
                  <c:v>-132.78174662925389</c:v>
                </c:pt>
                <c:pt idx="222">
                  <c:v>-132.93049439203068</c:v>
                </c:pt>
                <c:pt idx="223">
                  <c:v>-133.07943532934243</c:v>
                </c:pt>
                <c:pt idx="224">
                  <c:v>-133.22856412816773</c:v>
                </c:pt>
                <c:pt idx="225">
                  <c:v>-133.37787556837549</c:v>
                </c:pt>
                <c:pt idx="226">
                  <c:v>-134.87994891350689</c:v>
                </c:pt>
                <c:pt idx="227">
                  <c:v>-136.39515506106227</c:v>
                </c:pt>
                <c:pt idx="228">
                  <c:v>-137.91950818202514</c:v>
                </c:pt>
                <c:pt idx="229">
                  <c:v>-139.44958628394028</c:v>
                </c:pt>
                <c:pt idx="230">
                  <c:v>-140.98242380510604</c:v>
                </c:pt>
                <c:pt idx="231">
                  <c:v>-142.51542942659518</c:v>
                </c:pt>
                <c:pt idx="232">
                  <c:v>-144.0463225675694</c:v>
                </c:pt>
                <c:pt idx="233">
                  <c:v>-145.5730838725791</c:v>
                </c:pt>
                <c:pt idx="234">
                  <c:v>-147.09391627685909</c:v>
                </c:pt>
                <c:pt idx="235">
                  <c:v>-148.60721413418668</c:v>
                </c:pt>
                <c:pt idx="236">
                  <c:v>-150.11153853294604</c:v>
                </c:pt>
                <c:pt idx="237">
                  <c:v>-151.60559738952423</c:v>
                </c:pt>
                <c:pt idx="238">
                  <c:v>-153.08822924747295</c:v>
                </c:pt>
                <c:pt idx="239">
                  <c:v>-154.55838996222633</c:v>
                </c:pt>
                <c:pt idx="240">
                  <c:v>-156.01514163944276</c:v>
                </c:pt>
                <c:pt idx="241">
                  <c:v>-157.45764333753806</c:v>
                </c:pt>
                <c:pt idx="242">
                  <c:v>-158.88514315385899</c:v>
                </c:pt>
                <c:pt idx="243">
                  <c:v>-160.29697139785821</c:v>
                </c:pt>
                <c:pt idx="244">
                  <c:v>-161.69253461979119</c:v>
                </c:pt>
                <c:pt idx="245">
                  <c:v>-163.07131031437328</c:v>
                </c:pt>
                <c:pt idx="246">
                  <c:v>-164.43284215882662</c:v>
                </c:pt>
                <c:pt idx="247">
                  <c:v>-165.77673567626954</c:v>
                </c:pt>
                <c:pt idx="248">
                  <c:v>-167.10265424029893</c:v>
                </c:pt>
                <c:pt idx="249">
                  <c:v>-168.4103153562906</c:v>
                </c:pt>
                <c:pt idx="250">
                  <c:v>-169.69948717046668</c:v>
                </c:pt>
                <c:pt idx="251">
                  <c:v>-170.96998516998781</c:v>
                </c:pt>
                <c:pt idx="252">
                  <c:v>-172.22166904687759</c:v>
                </c:pt>
                <c:pt idx="253">
                  <c:v>-173.45443970599658</c:v>
                </c:pt>
                <c:pt idx="254">
                  <c:v>-174.66823640297011</c:v>
                </c:pt>
                <c:pt idx="255">
                  <c:v>-175.86303400228022</c:v>
                </c:pt>
                <c:pt idx="256">
                  <c:v>-177.03884034892306</c:v>
                </c:pt>
                <c:pt idx="257">
                  <c:v>-178.19569374934426</c:v>
                </c:pt>
                <c:pt idx="258">
                  <c:v>-179.33366055897261</c:v>
                </c:pt>
                <c:pt idx="259">
                  <c:v>-180.45283287473336</c:v>
                </c:pt>
                <c:pt idx="260">
                  <c:v>-181.55332633155871</c:v>
                </c:pt>
                <c:pt idx="261">
                  <c:v>-182.6352780022298</c:v>
                </c:pt>
                <c:pt idx="262">
                  <c:v>-183.69884439996002</c:v>
                </c:pt>
                <c:pt idx="263">
                  <c:v>-184.74419958303838</c:v>
                </c:pt>
                <c:pt idx="264">
                  <c:v>-185.77153336064029</c:v>
                </c:pt>
                <c:pt idx="265">
                  <c:v>-186.78104959863248</c:v>
                </c:pt>
                <c:pt idx="266">
                  <c:v>-187.77296462387494</c:v>
                </c:pt>
                <c:pt idx="267">
                  <c:v>-188.74750572518798</c:v>
                </c:pt>
                <c:pt idx="268">
                  <c:v>-189.70490974882219</c:v>
                </c:pt>
                <c:pt idx="269">
                  <c:v>-190.64542178595849</c:v>
                </c:pt>
                <c:pt idx="270">
                  <c:v>-191.5692939494854</c:v>
                </c:pt>
                <c:pt idx="271">
                  <c:v>-192.47678423705449</c:v>
                </c:pt>
                <c:pt idx="272">
                  <c:v>-193.36815547721071</c:v>
                </c:pt>
                <c:pt idx="273">
                  <c:v>-194.24367435522709</c:v>
                </c:pt>
                <c:pt idx="274">
                  <c:v>-195.10361051515082</c:v>
                </c:pt>
                <c:pt idx="275">
                  <c:v>-195.94823573447832</c:v>
                </c:pt>
                <c:pt idx="276">
                  <c:v>-196.77782316782893</c:v>
                </c:pt>
                <c:pt idx="277">
                  <c:v>-197.59264665596987</c:v>
                </c:pt>
                <c:pt idx="278">
                  <c:v>-198.39298009655704</c:v>
                </c:pt>
                <c:pt idx="279">
                  <c:v>-199.17909687299701</c:v>
                </c:pt>
                <c:pt idx="280">
                  <c:v>-199.95126933789751</c:v>
                </c:pt>
                <c:pt idx="281">
                  <c:v>-200.70976834765708</c:v>
                </c:pt>
                <c:pt idx="282">
                  <c:v>-201.45486284484059</c:v>
                </c:pt>
                <c:pt idx="283">
                  <c:v>-202.18681948510215</c:v>
                </c:pt>
                <c:pt idx="284">
                  <c:v>-202.90590230553553</c:v>
                </c:pt>
                <c:pt idx="285">
                  <c:v>-203.61237243146542</c:v>
                </c:pt>
                <c:pt idx="286">
                  <c:v>-204.30648781882434</c:v>
                </c:pt>
                <c:pt idx="287">
                  <c:v>-204.98850302940298</c:v>
                </c:pt>
                <c:pt idx="288">
                  <c:v>-205.6586690363979</c:v>
                </c:pt>
                <c:pt idx="289">
                  <c:v>-206.31723305782447</c:v>
                </c:pt>
                <c:pt idx="290">
                  <c:v>-206.96443841549979</c:v>
                </c:pt>
                <c:pt idx="291">
                  <c:v>-207.60052441743937</c:v>
                </c:pt>
                <c:pt idx="292">
                  <c:v>-208.22572626164427</c:v>
                </c:pt>
                <c:pt idx="293">
                  <c:v>-208.84027495938508</c:v>
                </c:pt>
                <c:pt idx="294">
                  <c:v>-209.4443972762167</c:v>
                </c:pt>
                <c:pt idx="295">
                  <c:v>-210.03831568907643</c:v>
                </c:pt>
                <c:pt idx="296">
                  <c:v>-210.62224835793518</c:v>
                </c:pt>
                <c:pt idx="297">
                  <c:v>-211.1964091105809</c:v>
                </c:pt>
                <c:pt idx="298">
                  <c:v>-211.76100743921918</c:v>
                </c:pt>
                <c:pt idx="299">
                  <c:v>-212.31624850767344</c:v>
                </c:pt>
                <c:pt idx="300">
                  <c:v>-212.862333168063</c:v>
                </c:pt>
                <c:pt idx="301">
                  <c:v>-213.39945798592387</c:v>
                </c:pt>
                <c:pt idx="302">
                  <c:v>-213.92781527282034</c:v>
                </c:pt>
                <c:pt idx="303">
                  <c:v>-214.44759312557395</c:v>
                </c:pt>
                <c:pt idx="304">
                  <c:v>-214.95897547130795</c:v>
                </c:pt>
                <c:pt idx="305">
                  <c:v>-215.46214211757396</c:v>
                </c:pt>
                <c:pt idx="306">
                  <c:v>-215.9572688068894</c:v>
                </c:pt>
                <c:pt idx="307">
                  <c:v>-216.44452727507587</c:v>
                </c:pt>
                <c:pt idx="308">
                  <c:v>-216.92408531283868</c:v>
                </c:pt>
                <c:pt idx="309">
                  <c:v>-217.3961068300826</c:v>
                </c:pt>
                <c:pt idx="310">
                  <c:v>-217.86075192250331</c:v>
                </c:pt>
                <c:pt idx="311">
                  <c:v>-218.31817694003684</c:v>
                </c:pt>
                <c:pt idx="312">
                  <c:v>-218.76853455679131</c:v>
                </c:pt>
                <c:pt idx="313">
                  <c:v>-219.21197384211973</c:v>
                </c:pt>
                <c:pt idx="314">
                  <c:v>-219.64864033252746</c:v>
                </c:pt>
                <c:pt idx="315">
                  <c:v>-220.07867610413965</c:v>
                </c:pt>
                <c:pt idx="316">
                  <c:v>-220.50221984548028</c:v>
                </c:pt>
                <c:pt idx="317">
                  <c:v>-220.91940693034411</c:v>
                </c:pt>
                <c:pt idx="318">
                  <c:v>-221.3303694905625</c:v>
                </c:pt>
                <c:pt idx="319">
                  <c:v>-221.73523648849016</c:v>
                </c:pt>
                <c:pt idx="320">
                  <c:v>-222.13413378905656</c:v>
                </c:pt>
                <c:pt idx="321">
                  <c:v>-222.52718423124648</c:v>
                </c:pt>
                <c:pt idx="322">
                  <c:v>-222.91450769888874</c:v>
                </c:pt>
                <c:pt idx="323">
                  <c:v>-223.29622119064942</c:v>
                </c:pt>
                <c:pt idx="324">
                  <c:v>-223.67243888913768</c:v>
                </c:pt>
                <c:pt idx="325">
                  <c:v>-224.04327222904635</c:v>
                </c:pt>
                <c:pt idx="326">
                  <c:v>-224.40882996425975</c:v>
                </c:pt>
                <c:pt idx="327">
                  <c:v>-224.76921823387204</c:v>
                </c:pt>
                <c:pt idx="328">
                  <c:v>-225.124540627069</c:v>
                </c:pt>
                <c:pt idx="329">
                  <c:v>-225.47489824683339</c:v>
                </c:pt>
                <c:pt idx="330">
                  <c:v>-225.8203897724425</c:v>
                </c:pt>
                <c:pt idx="331">
                  <c:v>-226.16111152073404</c:v>
                </c:pt>
                <c:pt idx="332">
                  <c:v>-226.49715750611989</c:v>
                </c:pt>
                <c:pt idx="333">
                  <c:v>-226.82861949933664</c:v>
                </c:pt>
                <c:pt idx="334">
                  <c:v>-227.15558708492281</c:v>
                </c:pt>
                <c:pt idx="335">
                  <c:v>-227.47814771742031</c:v>
                </c:pt>
                <c:pt idx="336">
                  <c:v>-227.79638677629887</c:v>
                </c:pt>
                <c:pt idx="337">
                  <c:v>-228.11038761960816</c:v>
                </c:pt>
                <c:pt idx="338">
                  <c:v>-228.4202316363625</c:v>
                </c:pt>
                <c:pt idx="339">
                  <c:v>-228.72599829766941</c:v>
                </c:pt>
                <c:pt idx="340">
                  <c:v>-229.02776520661106</c:v>
                </c:pt>
                <c:pt idx="341">
                  <c:v>-229.32560814689461</c:v>
                </c:pt>
                <c:pt idx="342">
                  <c:v>-229.61960113028493</c:v>
                </c:pt>
                <c:pt idx="343">
                  <c:v>-229.90981644283778</c:v>
                </c:pt>
                <c:pt idx="344">
                  <c:v>-230.1963246899511</c:v>
                </c:pt>
                <c:pt idx="345">
                  <c:v>-230.4791948402538</c:v>
                </c:pt>
                <c:pt idx="346">
                  <c:v>-230.75849426835271</c:v>
                </c:pt>
                <c:pt idx="347">
                  <c:v>-231.03428879645807</c:v>
                </c:pt>
                <c:pt idx="348">
                  <c:v>-231.30664273490979</c:v>
                </c:pt>
                <c:pt idx="349">
                  <c:v>-231.5756189216265</c:v>
                </c:pt>
                <c:pt idx="350">
                  <c:v>-231.84127876049953</c:v>
                </c:pt>
                <c:pt idx="351">
                  <c:v>-232.10368225875524</c:v>
                </c:pt>
                <c:pt idx="352">
                  <c:v>-232.36288806330816</c:v>
                </c:pt>
                <c:pt idx="353">
                  <c:v>-232.61895349612814</c:v>
                </c:pt>
                <c:pt idx="354">
                  <c:v>-232.87193458864485</c:v>
                </c:pt>
                <c:pt idx="355">
                  <c:v>-233.12188611521208</c:v>
                </c:pt>
                <c:pt idx="356">
                  <c:v>-233.36886162565528</c:v>
                </c:pt>
                <c:pt idx="357">
                  <c:v>-233.6129134769248</c:v>
                </c:pt>
                <c:pt idx="358">
                  <c:v>-233.85409286387741</c:v>
                </c:pt>
                <c:pt idx="359">
                  <c:v>-234.09244984920838</c:v>
                </c:pt>
                <c:pt idx="360">
                  <c:v>-234.32803339255634</c:v>
                </c:pt>
                <c:pt idx="361">
                  <c:v>-234.5608913788019</c:v>
                </c:pt>
                <c:pt idx="362">
                  <c:v>-234.79107064558281</c:v>
                </c:pt>
                <c:pt idx="363">
                  <c:v>-235.01861701004472</c:v>
                </c:pt>
                <c:pt idx="364">
                  <c:v>-235.24357529485002</c:v>
                </c:pt>
                <c:pt idx="365">
                  <c:v>-235.46598935346375</c:v>
                </c:pt>
                <c:pt idx="366">
                  <c:v>-235.68590209473723</c:v>
                </c:pt>
                <c:pt idx="367">
                  <c:v>-235.90335550680788</c:v>
                </c:pt>
                <c:pt idx="368">
                  <c:v>-236.11839068033566</c:v>
                </c:pt>
                <c:pt idx="369">
                  <c:v>-236.3310478310932</c:v>
                </c:pt>
                <c:pt idx="370">
                  <c:v>-236.54136632192888</c:v>
                </c:pt>
                <c:pt idx="371">
                  <c:v>-236.74938468412012</c:v>
                </c:pt>
                <c:pt idx="372">
                  <c:v>-236.95514063813422</c:v>
                </c:pt>
                <c:pt idx="373">
                  <c:v>-237.15867111381391</c:v>
                </c:pt>
                <c:pt idx="374">
                  <c:v>-237.36001227000358</c:v>
                </c:pt>
                <c:pt idx="375">
                  <c:v>-237.55919951363296</c:v>
                </c:pt>
                <c:pt idx="376">
                  <c:v>-237.75626751827303</c:v>
                </c:pt>
                <c:pt idx="377">
                  <c:v>-237.95125024218007</c:v>
                </c:pt>
                <c:pt idx="378">
                  <c:v>-238.14418094584232</c:v>
                </c:pt>
                <c:pt idx="379">
                  <c:v>-238.33509220904381</c:v>
                </c:pt>
                <c:pt idx="380">
                  <c:v>-238.52401594745925</c:v>
                </c:pt>
                <c:pt idx="381">
                  <c:v>-238.7109834287935</c:v>
                </c:pt>
                <c:pt idx="382">
                  <c:v>-238.89602528847968</c:v>
                </c:pt>
                <c:pt idx="383">
                  <c:v>-239.07917154494717</c:v>
                </c:pt>
                <c:pt idx="384">
                  <c:v>-239.26045161447391</c:v>
                </c:pt>
                <c:pt idx="385">
                  <c:v>-239.43989432563382</c:v>
                </c:pt>
                <c:pt idx="386">
                  <c:v>-239.61752793335157</c:v>
                </c:pt>
                <c:pt idx="387">
                  <c:v>-239.79338013257635</c:v>
                </c:pt>
                <c:pt idx="388">
                  <c:v>-239.96747807158542</c:v>
                </c:pt>
                <c:pt idx="389">
                  <c:v>-240.13984836492858</c:v>
                </c:pt>
                <c:pt idx="390">
                  <c:v>-240.31051710602367</c:v>
                </c:pt>
                <c:pt idx="391">
                  <c:v>-240.47950987941365</c:v>
                </c:pt>
                <c:pt idx="392">
                  <c:v>-240.6468517726951</c:v>
                </c:pt>
                <c:pt idx="393">
                  <c:v>-240.81256738812726</c:v>
                </c:pt>
                <c:pt idx="394">
                  <c:v>-240.97668085393144</c:v>
                </c:pt>
                <c:pt idx="395">
                  <c:v>-241.13921583528978</c:v>
                </c:pt>
                <c:pt idx="396">
                  <c:v>-241.30019554505159</c:v>
                </c:pt>
                <c:pt idx="397">
                  <c:v>-241.45964275415642</c:v>
                </c:pt>
                <c:pt idx="398">
                  <c:v>-241.61757980178174</c:v>
                </c:pt>
                <c:pt idx="399">
                  <c:v>-241.77402860522307</c:v>
                </c:pt>
                <c:pt idx="400">
                  <c:v>-241.92901066951461</c:v>
                </c:pt>
                <c:pt idx="401">
                  <c:v>-242.08254709679792</c:v>
                </c:pt>
                <c:pt idx="402">
                  <c:v>-242.23465859544552</c:v>
                </c:pt>
                <c:pt idx="403">
                  <c:v>-242.38536548894663</c:v>
                </c:pt>
                <c:pt idx="404">
                  <c:v>-242.53468772456233</c:v>
                </c:pt>
                <c:pt idx="405">
                  <c:v>-242.68264488175618</c:v>
                </c:pt>
                <c:pt idx="406">
                  <c:v>-242.82925618040676</c:v>
                </c:pt>
                <c:pt idx="407">
                  <c:v>-242.97454048880923</c:v>
                </c:pt>
                <c:pt idx="408">
                  <c:v>-243.1185163314704</c:v>
                </c:pt>
                <c:pt idx="409">
                  <c:v>-243.26120189670482</c:v>
                </c:pt>
                <c:pt idx="410">
                  <c:v>-243.40261504403662</c:v>
                </c:pt>
                <c:pt idx="411">
                  <c:v>-243.54277331141253</c:v>
                </c:pt>
                <c:pt idx="412">
                  <c:v>-243.6816939222322</c:v>
                </c:pt>
                <c:pt idx="413">
                  <c:v>-243.81939379220009</c:v>
                </c:pt>
                <c:pt idx="414">
                  <c:v>-243.95588953600461</c:v>
                </c:pt>
                <c:pt idx="415">
                  <c:v>-244.09119747382925</c:v>
                </c:pt>
                <c:pt idx="416">
                  <c:v>-244.22533363769998</c:v>
                </c:pt>
                <c:pt idx="417">
                  <c:v>-244.35831377767437</c:v>
                </c:pt>
                <c:pt idx="418">
                  <c:v>-244.49015336787579</c:v>
                </c:pt>
                <c:pt idx="419">
                  <c:v>-244.62086761237811</c:v>
                </c:pt>
                <c:pt idx="420">
                  <c:v>-244.75047145094413</c:v>
                </c:pt>
                <c:pt idx="421">
                  <c:v>-244.87897956462234</c:v>
                </c:pt>
                <c:pt idx="422">
                  <c:v>-245.00640638120603</c:v>
                </c:pt>
                <c:pt idx="423">
                  <c:v>-245.13276608055781</c:v>
                </c:pt>
                <c:pt idx="424">
                  <c:v>-245.25807259980451</c:v>
                </c:pt>
                <c:pt idx="425">
                  <c:v>-245.3823396384044</c:v>
                </c:pt>
                <c:pt idx="426">
                  <c:v>-245.50558066309202</c:v>
                </c:pt>
                <c:pt idx="427">
                  <c:v>-245.62780891270233</c:v>
                </c:pt>
                <c:pt idx="428">
                  <c:v>-245.74903740287886</c:v>
                </c:pt>
                <c:pt idx="429">
                  <c:v>-245.86927893066769</c:v>
                </c:pt>
                <c:pt idx="430">
                  <c:v>-245.98854607900176</c:v>
                </c:pt>
                <c:pt idx="431">
                  <c:v>-246.10685122107742</c:v>
                </c:pt>
                <c:pt idx="432">
                  <c:v>-246.2242065246262</c:v>
                </c:pt>
                <c:pt idx="433">
                  <c:v>-246.34062395608566</c:v>
                </c:pt>
                <c:pt idx="434">
                  <c:v>-246.45611528467049</c:v>
                </c:pt>
                <c:pt idx="435">
                  <c:v>-246.57069208634795</c:v>
                </c:pt>
                <c:pt idx="436">
                  <c:v>-246.68436574771914</c:v>
                </c:pt>
                <c:pt idx="437">
                  <c:v>-246.79714746980932</c:v>
                </c:pt>
                <c:pt idx="438">
                  <c:v>-246.90904827176945</c:v>
                </c:pt>
                <c:pt idx="439">
                  <c:v>-247.02007899449109</c:v>
                </c:pt>
                <c:pt idx="440">
                  <c:v>-247.13025030413726</c:v>
                </c:pt>
                <c:pt idx="441">
                  <c:v>-247.23957269559145</c:v>
                </c:pt>
                <c:pt idx="442">
                  <c:v>-247.34805649582677</c:v>
                </c:pt>
                <c:pt idx="443">
                  <c:v>-247.45571186719735</c:v>
                </c:pt>
                <c:pt idx="444">
                  <c:v>-247.56254881065433</c:v>
                </c:pt>
                <c:pt idx="445">
                  <c:v>-247.66857716888779</c:v>
                </c:pt>
                <c:pt idx="446">
                  <c:v>-247.77380662939731</c:v>
                </c:pt>
                <c:pt idx="447">
                  <c:v>-247.87824672749238</c:v>
                </c:pt>
                <c:pt idx="448">
                  <c:v>-247.98190684922488</c:v>
                </c:pt>
                <c:pt idx="449">
                  <c:v>-248.08479623425504</c:v>
                </c:pt>
                <c:pt idx="450">
                  <c:v>-248.18692397865289</c:v>
                </c:pt>
                <c:pt idx="451">
                  <c:v>-248.28829903763676</c:v>
                </c:pt>
                <c:pt idx="452">
                  <c:v>-248.38893022825044</c:v>
                </c:pt>
                <c:pt idx="453">
                  <c:v>-248.48882623198025</c:v>
                </c:pt>
                <c:pt idx="454">
                  <c:v>-248.58799559731438</c:v>
                </c:pt>
                <c:pt idx="455">
                  <c:v>-248.68644674224481</c:v>
                </c:pt>
                <c:pt idx="456">
                  <c:v>-248.78418795671442</c:v>
                </c:pt>
                <c:pt idx="457">
                  <c:v>-248.88122740500972</c:v>
                </c:pt>
                <c:pt idx="458">
                  <c:v>-248.97757312810126</c:v>
                </c:pt>
                <c:pt idx="459">
                  <c:v>-249.07323304593245</c:v>
                </c:pt>
                <c:pt idx="460">
                  <c:v>-249.16821495965883</c:v>
                </c:pt>
                <c:pt idx="461">
                  <c:v>-249.26252655383792</c:v>
                </c:pt>
                <c:pt idx="462">
                  <c:v>-249.35617539857225</c:v>
                </c:pt>
                <c:pt idx="463">
                  <c:v>-249.44916895160537</c:v>
                </c:pt>
                <c:pt idx="464">
                  <c:v>-249.54151456037312</c:v>
                </c:pt>
                <c:pt idx="465">
                  <c:v>-249.63321946401044</c:v>
                </c:pt>
                <c:pt idx="466">
                  <c:v>-249.72429079531543</c:v>
                </c:pt>
                <c:pt idx="467">
                  <c:v>-249.81473558267123</c:v>
                </c:pt>
                <c:pt idx="468">
                  <c:v>-249.90456075192691</c:v>
                </c:pt>
                <c:pt idx="469">
                  <c:v>-249.99377312823876</c:v>
                </c:pt>
                <c:pt idx="470">
                  <c:v>-250.08237943787213</c:v>
                </c:pt>
                <c:pt idx="471">
                  <c:v>-250.17038630996564</c:v>
                </c:pt>
                <c:pt idx="472">
                  <c:v>-250.25780027825783</c:v>
                </c:pt>
                <c:pt idx="473">
                  <c:v>-250.34462778277813</c:v>
                </c:pt>
                <c:pt idx="474">
                  <c:v>-250.43087517150204</c:v>
                </c:pt>
                <c:pt idx="475">
                  <c:v>-250.51654870197189</c:v>
                </c:pt>
                <c:pt idx="476">
                  <c:v>-250.60165454288401</c:v>
                </c:pt>
                <c:pt idx="477">
                  <c:v>-250.68619877564305</c:v>
                </c:pt>
                <c:pt idx="478">
                  <c:v>-250.77018739588391</c:v>
                </c:pt>
                <c:pt idx="479">
                  <c:v>-250.85362631496278</c:v>
                </c:pt>
                <c:pt idx="480">
                  <c:v>-250.93652136141708</c:v>
                </c:pt>
                <c:pt idx="481">
                  <c:v>-251.01887828239592</c:v>
                </c:pt>
                <c:pt idx="482">
                  <c:v>-251.10070274506108</c:v>
                </c:pt>
                <c:pt idx="483">
                  <c:v>-251.18200033795966</c:v>
                </c:pt>
                <c:pt idx="484">
                  <c:v>-251.26277657236903</c:v>
                </c:pt>
                <c:pt idx="485">
                  <c:v>-251.34303688361405</c:v>
                </c:pt>
                <c:pt idx="486">
                  <c:v>-251.4227866323584</c:v>
                </c:pt>
                <c:pt idx="487">
                  <c:v>-251.50203110586938</c:v>
                </c:pt>
                <c:pt idx="488">
                  <c:v>-251.580775519258</c:v>
                </c:pt>
                <c:pt idx="489">
                  <c:v>-251.6590250166935</c:v>
                </c:pt>
                <c:pt idx="490">
                  <c:v>-251.73678467259447</c:v>
                </c:pt>
                <c:pt idx="491">
                  <c:v>-251.81405949279579</c:v>
                </c:pt>
                <c:pt idx="492">
                  <c:v>-251.89085441569264</c:v>
                </c:pt>
                <c:pt idx="493">
                  <c:v>-251.96717431336208</c:v>
                </c:pt>
                <c:pt idx="494">
                  <c:v>-252.04302399266214</c:v>
                </c:pt>
                <c:pt idx="495">
                  <c:v>-252.11840819631001</c:v>
                </c:pt>
                <c:pt idx="496">
                  <c:v>-252.19333160393833</c:v>
                </c:pt>
                <c:pt idx="497">
                  <c:v>-252.26779883313168</c:v>
                </c:pt>
                <c:pt idx="498">
                  <c:v>-252.34181444044219</c:v>
                </c:pt>
                <c:pt idx="499">
                  <c:v>-252.41538292238596</c:v>
                </c:pt>
                <c:pt idx="500">
                  <c:v>-252.48850871642031</c:v>
                </c:pt>
                <c:pt idx="501">
                  <c:v>-252.56119620190145</c:v>
                </c:pt>
                <c:pt idx="502">
                  <c:v>-252.63344970102457</c:v>
                </c:pt>
                <c:pt idx="503">
                  <c:v>-252.70527347974553</c:v>
                </c:pt>
                <c:pt idx="504">
                  <c:v>-252.77667174868503</c:v>
                </c:pt>
                <c:pt idx="505">
                  <c:v>-252.84764866401545</c:v>
                </c:pt>
                <c:pt idx="506">
                  <c:v>-252.91820832833099</c:v>
                </c:pt>
                <c:pt idx="507">
                  <c:v>-252.98835479150125</c:v>
                </c:pt>
                <c:pt idx="508">
                  <c:v>-253.05809205150865</c:v>
                </c:pt>
                <c:pt idx="509">
                  <c:v>-253.12742405527035</c:v>
                </c:pt>
                <c:pt idx="510">
                  <c:v>-253.19635469944421</c:v>
                </c:pt>
                <c:pt idx="511">
                  <c:v>-253.26488783122022</c:v>
                </c:pt>
                <c:pt idx="512">
                  <c:v>-253.33302724909703</c:v>
                </c:pt>
                <c:pt idx="513">
                  <c:v>-253.40077670364349</c:v>
                </c:pt>
                <c:pt idx="514">
                  <c:v>-253.46813989824699</c:v>
                </c:pt>
                <c:pt idx="515">
                  <c:v>-253.53512048984706</c:v>
                </c:pt>
                <c:pt idx="516">
                  <c:v>-253.60172208965614</c:v>
                </c:pt>
                <c:pt idx="517">
                  <c:v>-253.66794826386649</c:v>
                </c:pt>
                <c:pt idx="518">
                  <c:v>-253.7338025343447</c:v>
                </c:pt>
                <c:pt idx="519">
                  <c:v>-253.79928837931291</c:v>
                </c:pt>
                <c:pt idx="520">
                  <c:v>-253.86440923401813</c:v>
                </c:pt>
                <c:pt idx="521">
                  <c:v>-253.92916849138905</c:v>
                </c:pt>
                <c:pt idx="522">
                  <c:v>-253.99356950268117</c:v>
                </c:pt>
                <c:pt idx="523">
                  <c:v>-254.05761557810985</c:v>
                </c:pt>
                <c:pt idx="524">
                  <c:v>-254.12130998747256</c:v>
                </c:pt>
                <c:pt idx="525">
                  <c:v>-254.18465596075941</c:v>
                </c:pt>
                <c:pt idx="526">
                  <c:v>-254.24765668875287</c:v>
                </c:pt>
                <c:pt idx="527">
                  <c:v>-254.31031532361703</c:v>
                </c:pt>
                <c:pt idx="528">
                  <c:v>-254.37263497947592</c:v>
                </c:pt>
                <c:pt idx="529">
                  <c:v>-254.43461873298185</c:v>
                </c:pt>
                <c:pt idx="530">
                  <c:v>-254.4962696238735</c:v>
                </c:pt>
                <c:pt idx="531">
                  <c:v>-254.55759065552436</c:v>
                </c:pt>
                <c:pt idx="532">
                  <c:v>-254.61858479548127</c:v>
                </c:pt>
                <c:pt idx="533">
                  <c:v>-254.67925497599339</c:v>
                </c:pt>
                <c:pt idx="534">
                  <c:v>-254.73960409453235</c:v>
                </c:pt>
                <c:pt idx="535">
                  <c:v>-254.79963501430296</c:v>
                </c:pt>
                <c:pt idx="536">
                  <c:v>-254.85935056474477</c:v>
                </c:pt>
                <c:pt idx="537">
                  <c:v>-254.91875354202557</c:v>
                </c:pt>
                <c:pt idx="538">
                  <c:v>-254.97784670952566</c:v>
                </c:pt>
                <c:pt idx="539">
                  <c:v>-255.03663279831437</c:v>
                </c:pt>
                <c:pt idx="540">
                  <c:v>-255.09511450761767</c:v>
                </c:pt>
                <c:pt idx="541">
                  <c:v>-255.15329450527821</c:v>
                </c:pt>
                <c:pt idx="542">
                  <c:v>-255.21117542820741</c:v>
                </c:pt>
                <c:pt idx="543">
                  <c:v>-255.26875988282967</c:v>
                </c:pt>
                <c:pt idx="544">
                  <c:v>-255.32605044551906</c:v>
                </c:pt>
                <c:pt idx="545">
                  <c:v>-255.38304966302854</c:v>
                </c:pt>
                <c:pt idx="546">
                  <c:v>-255.43976005291208</c:v>
                </c:pt>
                <c:pt idx="547">
                  <c:v>-255.49618410393924</c:v>
                </c:pt>
                <c:pt idx="548">
                  <c:v>-255.55232427650319</c:v>
                </c:pt>
                <c:pt idx="549">
                  <c:v>-255.60818300302157</c:v>
                </c:pt>
                <c:pt idx="550">
                  <c:v>-255.66376268833071</c:v>
                </c:pt>
                <c:pt idx="551">
                  <c:v>-255.71906571007321</c:v>
                </c:pt>
                <c:pt idx="552">
                  <c:v>-255.77409441907918</c:v>
                </c:pt>
                <c:pt idx="553">
                  <c:v>-255.82885113974081</c:v>
                </c:pt>
                <c:pt idx="554">
                  <c:v>-255.88333817038108</c:v>
                </c:pt>
                <c:pt idx="555">
                  <c:v>-255.9375577836162</c:v>
                </c:pt>
                <c:pt idx="556">
                  <c:v>-255.99151222671185</c:v>
                </c:pt>
                <c:pt idx="557">
                  <c:v>-256.045203721934</c:v>
                </c:pt>
                <c:pt idx="558">
                  <c:v>-256.0986344668936</c:v>
                </c:pt>
                <c:pt idx="559">
                  <c:v>-256.15180663488553</c:v>
                </c:pt>
                <c:pt idx="560">
                  <c:v>-256.20472237522267</c:v>
                </c:pt>
                <c:pt idx="561">
                  <c:v>-256.25738381356342</c:v>
                </c:pt>
                <c:pt idx="562">
                  <c:v>-256.30979305223508</c:v>
                </c:pt>
                <c:pt idx="563">
                  <c:v>-256.36195217055092</c:v>
                </c:pt>
                <c:pt idx="564">
                  <c:v>-256.41386322512301</c:v>
                </c:pt>
                <c:pt idx="565">
                  <c:v>-256.4655282501692</c:v>
                </c:pt>
                <c:pt idx="566">
                  <c:v>-256.51694925781601</c:v>
                </c:pt>
                <c:pt idx="567">
                  <c:v>-256.56812823839562</c:v>
                </c:pt>
                <c:pt idx="568">
                  <c:v>-256.61906716073918</c:v>
                </c:pt>
                <c:pt idx="569">
                  <c:v>-256.66976797246457</c:v>
                </c:pt>
                <c:pt idx="570">
                  <c:v>-256.72023260025998</c:v>
                </c:pt>
                <c:pt idx="571">
                  <c:v>-256.77046295016305</c:v>
                </c:pt>
                <c:pt idx="572">
                  <c:v>-256.82046090783535</c:v>
                </c:pt>
                <c:pt idx="573">
                  <c:v>-256.87022833883248</c:v>
                </c:pt>
                <c:pt idx="574">
                  <c:v>-256.91976708887029</c:v>
                </c:pt>
                <c:pt idx="575">
                  <c:v>-256.96907898408642</c:v>
                </c:pt>
                <c:pt idx="576">
                  <c:v>-257.01816583129801</c:v>
                </c:pt>
                <c:pt idx="577">
                  <c:v>-257.06702941825552</c:v>
                </c:pt>
                <c:pt idx="578">
                  <c:v>-257.11567151389204</c:v>
                </c:pt>
                <c:pt idx="579">
                  <c:v>-257.16409386856935</c:v>
                </c:pt>
                <c:pt idx="580">
                  <c:v>-257.21229821431979</c:v>
                </c:pt>
                <c:pt idx="581">
                  <c:v>-257.26028626508423</c:v>
                </c:pt>
                <c:pt idx="582">
                  <c:v>-257.3080597169469</c:v>
                </c:pt>
                <c:pt idx="583">
                  <c:v>-257.35562024836611</c:v>
                </c:pt>
                <c:pt idx="584">
                  <c:v>-257.40296952040148</c:v>
                </c:pt>
                <c:pt idx="585">
                  <c:v>-257.4501091769381</c:v>
                </c:pt>
                <c:pt idx="586">
                  <c:v>-257.49704084490651</c:v>
                </c:pt>
                <c:pt idx="587">
                  <c:v>-257.5437661345</c:v>
                </c:pt>
                <c:pt idx="588">
                  <c:v>-257.59028663938835</c:v>
                </c:pt>
                <c:pt idx="589">
                  <c:v>-257.63660393692817</c:v>
                </c:pt>
                <c:pt idx="590">
                  <c:v>-257.68271958837022</c:v>
                </c:pt>
                <c:pt idx="591">
                  <c:v>-257.72863513906361</c:v>
                </c:pt>
                <c:pt idx="592">
                  <c:v>-257.77435211865679</c:v>
                </c:pt>
                <c:pt idx="593">
                  <c:v>-257.81987204129575</c:v>
                </c:pt>
                <c:pt idx="594">
                  <c:v>-257.86519640581878</c:v>
                </c:pt>
                <c:pt idx="595">
                  <c:v>-257.91032669594875</c:v>
                </c:pt>
                <c:pt idx="596">
                  <c:v>-257.95526438048262</c:v>
                </c:pt>
                <c:pt idx="597">
                  <c:v>-258.00001091347724</c:v>
                </c:pt>
                <c:pt idx="598">
                  <c:v>-258.04456773443383</c:v>
                </c:pt>
                <c:pt idx="599">
                  <c:v>-258.08893626847816</c:v>
                </c:pt>
                <c:pt idx="600">
                  <c:v>-258.13311792653923</c:v>
                </c:pt>
                <c:pt idx="601">
                  <c:v>-258.17711410552477</c:v>
                </c:pt>
                <c:pt idx="602">
                  <c:v>-258.22092618849439</c:v>
                </c:pt>
                <c:pt idx="603">
                  <c:v>-258.26455554482976</c:v>
                </c:pt>
                <c:pt idx="604">
                  <c:v>-258.30800353040286</c:v>
                </c:pt>
                <c:pt idx="605">
                  <c:v>-258.35127148774143</c:v>
                </c:pt>
                <c:pt idx="606">
                  <c:v>-260.31135651519816</c:v>
                </c:pt>
                <c:pt idx="607">
                  <c:v>-261.95252268914902</c:v>
                </c:pt>
                <c:pt idx="608">
                  <c:v>-263.3609951379255</c:v>
                </c:pt>
                <c:pt idx="609">
                  <c:v>-264.59449059758919</c:v>
                </c:pt>
                <c:pt idx="610">
                  <c:v>-265.69308240396276</c:v>
                </c:pt>
                <c:pt idx="611">
                  <c:v>-266.6854540086552</c:v>
                </c:pt>
                <c:pt idx="612">
                  <c:v>-267.5926713041419</c:v>
                </c:pt>
                <c:pt idx="613">
                  <c:v>-268.43055005722965</c:v>
                </c:pt>
                <c:pt idx="614">
                  <c:v>-269.21119273609929</c:v>
                </c:pt>
                <c:pt idx="615">
                  <c:v>-269.94401571436083</c:v>
                </c:pt>
                <c:pt idx="616">
                  <c:v>-270.63645357513502</c:v>
                </c:pt>
                <c:pt idx="617">
                  <c:v>-271.29445298098506</c:v>
                </c:pt>
                <c:pt idx="618">
                  <c:v>-271.56858194302288</c:v>
                </c:pt>
                <c:pt idx="619">
                  <c:v>-271.83753796018107</c:v>
                </c:pt>
                <c:pt idx="620">
                  <c:v>-272.10161033541362</c:v>
                </c:pt>
                <c:pt idx="621">
                  <c:v>-272.36106676268565</c:v>
                </c:pt>
                <c:pt idx="622">
                  <c:v>-272.6161552966106</c:v>
                </c:pt>
                <c:pt idx="623">
                  <c:v>-272.86710611060471</c:v>
                </c:pt>
                <c:pt idx="624">
                  <c:v>-273.1141330695811</c:v>
                </c:pt>
                <c:pt idx="625">
                  <c:v>-273.35743513961222</c:v>
                </c:pt>
                <c:pt idx="626">
                  <c:v>-273.59719765394038</c:v>
                </c:pt>
                <c:pt idx="627">
                  <c:v>-273.83359345212813</c:v>
                </c:pt>
                <c:pt idx="628">
                  <c:v>-274.06678390693583</c:v>
                </c:pt>
                <c:pt idx="629">
                  <c:v>-274.29691985162566</c:v>
                </c:pt>
                <c:pt idx="630">
                  <c:v>-274.52414241877676</c:v>
                </c:pt>
                <c:pt idx="631">
                  <c:v>-274.74858380030969</c:v>
                </c:pt>
                <c:pt idx="632">
                  <c:v>-274.97036793721986</c:v>
                </c:pt>
                <c:pt idx="633">
                  <c:v>-275.18961114648977</c:v>
                </c:pt>
                <c:pt idx="634">
                  <c:v>-275.40642269175544</c:v>
                </c:pt>
                <c:pt idx="635">
                  <c:v>-275.62090530352827</c:v>
                </c:pt>
                <c:pt idx="636">
                  <c:v>-275.83315565409839</c:v>
                </c:pt>
                <c:pt idx="637">
                  <c:v>-276.04326479165974</c:v>
                </c:pt>
                <c:pt idx="638">
                  <c:v>-276.25131853768551</c:v>
                </c:pt>
                <c:pt idx="639">
                  <c:v>-276.45739785113187</c:v>
                </c:pt>
                <c:pt idx="640">
                  <c:v>-276.66157916265718</c:v>
                </c:pt>
                <c:pt idx="641">
                  <c:v>-276.86393468169786</c:v>
                </c:pt>
                <c:pt idx="642">
                  <c:v>-277.06453267893932</c:v>
                </c:pt>
                <c:pt idx="643">
                  <c:v>-277.26343774645039</c:v>
                </c:pt>
                <c:pt idx="644">
                  <c:v>-277.46071103751774</c:v>
                </c:pt>
                <c:pt idx="645">
                  <c:v>-277.65641048800285</c:v>
                </c:pt>
                <c:pt idx="646">
                  <c:v>-277.85059102086302</c:v>
                </c:pt>
                <c:pt idx="647">
                  <c:v>-278.04330473531166</c:v>
                </c:pt>
                <c:pt idx="648">
                  <c:v>-278.23460108194678</c:v>
                </c:pt>
                <c:pt idx="649">
                  <c:v>-278.42452702504829</c:v>
                </c:pt>
                <c:pt idx="650">
                  <c:v>-278.61312719312832</c:v>
                </c:pt>
                <c:pt idx="651">
                  <c:v>-278.80044401871311</c:v>
                </c:pt>
                <c:pt idx="652">
                  <c:v>-278.98651786824723</c:v>
                </c:pt>
                <c:pt idx="653">
                  <c:v>-279.17138716292322</c:v>
                </c:pt>
                <c:pt idx="654">
                  <c:v>-279.35508849116923</c:v>
                </c:pt>
                <c:pt idx="655">
                  <c:v>-279.53765671345843</c:v>
                </c:pt>
                <c:pt idx="656">
                  <c:v>-279.71912506004549</c:v>
                </c:pt>
                <c:pt idx="657">
                  <c:v>-279.89952522218061</c:v>
                </c:pt>
                <c:pt idx="658">
                  <c:v>-280.07888743730382</c:v>
                </c:pt>
                <c:pt idx="659">
                  <c:v>-280.25724056867841</c:v>
                </c:pt>
                <c:pt idx="660">
                  <c:v>-280.43461217988158</c:v>
                </c:pt>
                <c:pt idx="661">
                  <c:v>-280.61102860453752</c:v>
                </c:pt>
                <c:pt idx="662">
                  <c:v>-280.78651501164177</c:v>
                </c:pt>
                <c:pt idx="663">
                  <c:v>-280.96109546680117</c:v>
                </c:pt>
                <c:pt idx="664">
                  <c:v>-281.13479298968218</c:v>
                </c:pt>
                <c:pt idx="665">
                  <c:v>-281.30762960794038</c:v>
                </c:pt>
                <c:pt idx="666">
                  <c:v>-281.47962640787938</c:v>
                </c:pt>
                <c:pt idx="667">
                  <c:v>-281.65080358206842</c:v>
                </c:pt>
              </c:numCache>
            </c:numRef>
          </c:yVal>
          <c:smooth val="0"/>
          <c:extLst>
            <c:ext xmlns:c16="http://schemas.microsoft.com/office/drawing/2014/chart" uri="{C3380CC4-5D6E-409C-BE32-E72D297353CC}">
              <c16:uniqueId val="{00000002-F0C2-4983-97E7-558C9F8AD757}"/>
            </c:ext>
          </c:extLst>
        </c:ser>
        <c:ser>
          <c:idx val="1"/>
          <c:order val="3"/>
          <c:tx>
            <c:v>Measured Phase</c:v>
          </c:tx>
          <c:spPr>
            <a:ln w="12700">
              <a:solidFill>
                <a:srgbClr val="FF00FF"/>
              </a:solidFill>
              <a:prstDash val="solid"/>
            </a:ln>
          </c:spPr>
          <c:marker>
            <c:symbol val="square"/>
            <c:size val="5"/>
            <c:spPr>
              <a:solidFill>
                <a:srgbClr val="FF00FF"/>
              </a:solidFill>
              <a:ln>
                <a:solidFill>
                  <a:srgbClr val="FF00FF"/>
                </a:solidFill>
                <a:prstDash val="solid"/>
              </a:ln>
            </c:spPr>
          </c:marker>
          <c:xVal>
            <c:numRef>
              <c:f>'Bode Plots Calculations'!$BT$10:$BT$409</c:f>
              <c:numCache>
                <c:formatCode>#0.0#</c:formatCode>
                <c:ptCount val="400"/>
                <c:pt idx="0">
                  <c:v>100</c:v>
                </c:pt>
                <c:pt idx="1">
                  <c:v>102.32899999999999</c:v>
                </c:pt>
                <c:pt idx="2">
                  <c:v>104.71299999999999</c:v>
                </c:pt>
                <c:pt idx="3">
                  <c:v>107.152</c:v>
                </c:pt>
                <c:pt idx="4">
                  <c:v>109.648</c:v>
                </c:pt>
                <c:pt idx="5">
                  <c:v>112.202</c:v>
                </c:pt>
                <c:pt idx="6">
                  <c:v>114.815</c:v>
                </c:pt>
                <c:pt idx="7">
                  <c:v>117.49</c:v>
                </c:pt>
                <c:pt idx="8">
                  <c:v>120.226</c:v>
                </c:pt>
                <c:pt idx="9">
                  <c:v>123.027</c:v>
                </c:pt>
                <c:pt idx="10">
                  <c:v>125.893</c:v>
                </c:pt>
                <c:pt idx="11">
                  <c:v>128.82499999999999</c:v>
                </c:pt>
                <c:pt idx="12">
                  <c:v>131.82599999999999</c:v>
                </c:pt>
                <c:pt idx="13">
                  <c:v>134.89599999999999</c:v>
                </c:pt>
                <c:pt idx="14">
                  <c:v>138.03800000000001</c:v>
                </c:pt>
                <c:pt idx="15">
                  <c:v>141.25399999999999</c:v>
                </c:pt>
                <c:pt idx="16">
                  <c:v>144.54400000000001</c:v>
                </c:pt>
                <c:pt idx="17">
                  <c:v>147.911</c:v>
                </c:pt>
                <c:pt idx="18">
                  <c:v>151.35599999999999</c:v>
                </c:pt>
                <c:pt idx="19">
                  <c:v>154.88200000000001</c:v>
                </c:pt>
                <c:pt idx="20">
                  <c:v>158.489</c:v>
                </c:pt>
                <c:pt idx="21">
                  <c:v>162.18100000000001</c:v>
                </c:pt>
                <c:pt idx="22">
                  <c:v>165.959</c:v>
                </c:pt>
                <c:pt idx="23">
                  <c:v>169.82400000000001</c:v>
                </c:pt>
                <c:pt idx="24">
                  <c:v>173.78</c:v>
                </c:pt>
                <c:pt idx="25">
                  <c:v>177.828</c:v>
                </c:pt>
                <c:pt idx="26">
                  <c:v>181.97</c:v>
                </c:pt>
                <c:pt idx="27">
                  <c:v>186.209</c:v>
                </c:pt>
                <c:pt idx="28">
                  <c:v>190.54599999999999</c:v>
                </c:pt>
                <c:pt idx="29">
                  <c:v>194.98400000000001</c:v>
                </c:pt>
                <c:pt idx="30">
                  <c:v>199.52600000000001</c:v>
                </c:pt>
                <c:pt idx="31">
                  <c:v>204.17400000000001</c:v>
                </c:pt>
                <c:pt idx="32">
                  <c:v>208.93</c:v>
                </c:pt>
                <c:pt idx="33">
                  <c:v>213.79599999999999</c:v>
                </c:pt>
                <c:pt idx="34">
                  <c:v>218.77600000000001</c:v>
                </c:pt>
                <c:pt idx="35">
                  <c:v>223.87200000000001</c:v>
                </c:pt>
                <c:pt idx="36">
                  <c:v>229.08699999999999</c:v>
                </c:pt>
                <c:pt idx="37">
                  <c:v>234.423</c:v>
                </c:pt>
                <c:pt idx="38">
                  <c:v>239.88300000000001</c:v>
                </c:pt>
                <c:pt idx="39">
                  <c:v>245.471</c:v>
                </c:pt>
                <c:pt idx="40">
                  <c:v>251.18899999999999</c:v>
                </c:pt>
                <c:pt idx="41">
                  <c:v>257.04000000000002</c:v>
                </c:pt>
                <c:pt idx="42">
                  <c:v>263.02699999999999</c:v>
                </c:pt>
                <c:pt idx="43">
                  <c:v>269.15300000000002</c:v>
                </c:pt>
                <c:pt idx="44">
                  <c:v>275.423</c:v>
                </c:pt>
                <c:pt idx="45">
                  <c:v>281.83800000000002</c:v>
                </c:pt>
                <c:pt idx="46">
                  <c:v>288.40300000000002</c:v>
                </c:pt>
                <c:pt idx="47">
                  <c:v>295.12099999999998</c:v>
                </c:pt>
                <c:pt idx="48">
                  <c:v>301.995</c:v>
                </c:pt>
                <c:pt idx="49">
                  <c:v>309.02999999999997</c:v>
                </c:pt>
                <c:pt idx="50">
                  <c:v>316.22800000000001</c:v>
                </c:pt>
                <c:pt idx="51">
                  <c:v>323.59399999999999</c:v>
                </c:pt>
                <c:pt idx="52">
                  <c:v>331.13099999999997</c:v>
                </c:pt>
                <c:pt idx="53">
                  <c:v>338.84399999999999</c:v>
                </c:pt>
                <c:pt idx="54">
                  <c:v>346.73700000000002</c:v>
                </c:pt>
                <c:pt idx="55">
                  <c:v>354.81299999999999</c:v>
                </c:pt>
                <c:pt idx="56">
                  <c:v>363.07799999999997</c:v>
                </c:pt>
                <c:pt idx="57">
                  <c:v>371.53500000000003</c:v>
                </c:pt>
                <c:pt idx="58">
                  <c:v>380.18900000000002</c:v>
                </c:pt>
                <c:pt idx="59">
                  <c:v>389.04500000000002</c:v>
                </c:pt>
                <c:pt idx="60">
                  <c:v>398.10700000000003</c:v>
                </c:pt>
                <c:pt idx="61">
                  <c:v>407.38</c:v>
                </c:pt>
                <c:pt idx="62">
                  <c:v>416.86900000000003</c:v>
                </c:pt>
                <c:pt idx="63">
                  <c:v>426.58</c:v>
                </c:pt>
                <c:pt idx="64">
                  <c:v>436.51600000000002</c:v>
                </c:pt>
                <c:pt idx="65">
                  <c:v>446.68400000000003</c:v>
                </c:pt>
                <c:pt idx="66">
                  <c:v>457.08800000000002</c:v>
                </c:pt>
                <c:pt idx="67">
                  <c:v>467.73500000000001</c:v>
                </c:pt>
                <c:pt idx="68">
                  <c:v>478.63</c:v>
                </c:pt>
                <c:pt idx="69">
                  <c:v>489.779</c:v>
                </c:pt>
                <c:pt idx="70">
                  <c:v>501.18700000000001</c:v>
                </c:pt>
                <c:pt idx="71">
                  <c:v>512.86099999999999</c:v>
                </c:pt>
                <c:pt idx="72">
                  <c:v>524.80700000000002</c:v>
                </c:pt>
                <c:pt idx="73">
                  <c:v>537.03200000000004</c:v>
                </c:pt>
                <c:pt idx="74">
                  <c:v>549.54100000000005</c:v>
                </c:pt>
                <c:pt idx="75">
                  <c:v>562.34100000000001</c:v>
                </c:pt>
                <c:pt idx="76">
                  <c:v>575.44000000000005</c:v>
                </c:pt>
                <c:pt idx="77">
                  <c:v>588.84400000000005</c:v>
                </c:pt>
                <c:pt idx="78">
                  <c:v>602.55999999999995</c:v>
                </c:pt>
                <c:pt idx="79">
                  <c:v>616.59500000000003</c:v>
                </c:pt>
                <c:pt idx="80">
                  <c:v>630.95699999999999</c:v>
                </c:pt>
                <c:pt idx="81">
                  <c:v>645.654</c:v>
                </c:pt>
                <c:pt idx="82">
                  <c:v>660.69299999999998</c:v>
                </c:pt>
                <c:pt idx="83">
                  <c:v>676.08299999999997</c:v>
                </c:pt>
                <c:pt idx="84">
                  <c:v>691.83100000000002</c:v>
                </c:pt>
                <c:pt idx="85">
                  <c:v>707.94600000000003</c:v>
                </c:pt>
                <c:pt idx="86">
                  <c:v>724.43600000000004</c:v>
                </c:pt>
                <c:pt idx="87">
                  <c:v>741.31</c:v>
                </c:pt>
                <c:pt idx="88">
                  <c:v>758.57799999999997</c:v>
                </c:pt>
                <c:pt idx="89">
                  <c:v>776.24699999999996</c:v>
                </c:pt>
                <c:pt idx="90">
                  <c:v>794.32799999999997</c:v>
                </c:pt>
                <c:pt idx="91">
                  <c:v>812.83100000000002</c:v>
                </c:pt>
                <c:pt idx="92">
                  <c:v>831.76400000000001</c:v>
                </c:pt>
                <c:pt idx="93">
                  <c:v>851.13800000000003</c:v>
                </c:pt>
                <c:pt idx="94">
                  <c:v>870.96400000000006</c:v>
                </c:pt>
                <c:pt idx="95">
                  <c:v>891.25099999999998</c:v>
                </c:pt>
                <c:pt idx="96">
                  <c:v>912.01099999999997</c:v>
                </c:pt>
                <c:pt idx="97">
                  <c:v>933.25400000000002</c:v>
                </c:pt>
                <c:pt idx="98">
                  <c:v>954.99300000000005</c:v>
                </c:pt>
                <c:pt idx="99">
                  <c:v>977.23699999999997</c:v>
                </c:pt>
                <c:pt idx="100">
                  <c:v>1000</c:v>
                </c:pt>
                <c:pt idx="101">
                  <c:v>1023.293</c:v>
                </c:pt>
                <c:pt idx="102">
                  <c:v>1047.1289999999999</c:v>
                </c:pt>
                <c:pt idx="103">
                  <c:v>1071.519</c:v>
                </c:pt>
                <c:pt idx="104">
                  <c:v>1096.4780000000001</c:v>
                </c:pt>
                <c:pt idx="105">
                  <c:v>1122.018</c:v>
                </c:pt>
                <c:pt idx="106">
                  <c:v>1148.154</c:v>
                </c:pt>
                <c:pt idx="107">
                  <c:v>1174.8979999999999</c:v>
                </c:pt>
                <c:pt idx="108">
                  <c:v>1202.2639999999999</c:v>
                </c:pt>
                <c:pt idx="109">
                  <c:v>1230.269</c:v>
                </c:pt>
                <c:pt idx="110">
                  <c:v>1258.925</c:v>
                </c:pt>
                <c:pt idx="111">
                  <c:v>1288.25</c:v>
                </c:pt>
                <c:pt idx="112">
                  <c:v>1318.2570000000001</c:v>
                </c:pt>
                <c:pt idx="113">
                  <c:v>1348.963</c:v>
                </c:pt>
                <c:pt idx="114">
                  <c:v>1380.384</c:v>
                </c:pt>
                <c:pt idx="115">
                  <c:v>1412.538</c:v>
                </c:pt>
                <c:pt idx="116">
                  <c:v>1445.44</c:v>
                </c:pt>
                <c:pt idx="117">
                  <c:v>1479.1079999999999</c:v>
                </c:pt>
                <c:pt idx="118">
                  <c:v>1513.5609999999999</c:v>
                </c:pt>
                <c:pt idx="119">
                  <c:v>1548.817</c:v>
                </c:pt>
                <c:pt idx="120">
                  <c:v>1584.893</c:v>
                </c:pt>
                <c:pt idx="121">
                  <c:v>1621.81</c:v>
                </c:pt>
                <c:pt idx="122">
                  <c:v>1659.587</c:v>
                </c:pt>
                <c:pt idx="123">
                  <c:v>1698.2439999999999</c:v>
                </c:pt>
                <c:pt idx="124">
                  <c:v>1737.8009999999999</c:v>
                </c:pt>
                <c:pt idx="125">
                  <c:v>1778.279</c:v>
                </c:pt>
                <c:pt idx="126">
                  <c:v>1819.701</c:v>
                </c:pt>
                <c:pt idx="127">
                  <c:v>1862.087</c:v>
                </c:pt>
                <c:pt idx="128">
                  <c:v>1905.461</c:v>
                </c:pt>
                <c:pt idx="129">
                  <c:v>1949.845</c:v>
                </c:pt>
                <c:pt idx="130">
                  <c:v>1995.2619999999999</c:v>
                </c:pt>
                <c:pt idx="131">
                  <c:v>2041.7380000000001</c:v>
                </c:pt>
                <c:pt idx="132">
                  <c:v>2089.2959999999998</c:v>
                </c:pt>
                <c:pt idx="133">
                  <c:v>2137.962</c:v>
                </c:pt>
                <c:pt idx="134">
                  <c:v>2187.7620000000002</c:v>
                </c:pt>
                <c:pt idx="135">
                  <c:v>2238.721</c:v>
                </c:pt>
                <c:pt idx="136">
                  <c:v>2290.8679999999999</c:v>
                </c:pt>
                <c:pt idx="137">
                  <c:v>2344.2289999999998</c:v>
                </c:pt>
                <c:pt idx="138">
                  <c:v>2398.8330000000001</c:v>
                </c:pt>
                <c:pt idx="139">
                  <c:v>2454.7089999999998</c:v>
                </c:pt>
                <c:pt idx="140">
                  <c:v>2511.886</c:v>
                </c:pt>
                <c:pt idx="141">
                  <c:v>2570.3960000000002</c:v>
                </c:pt>
                <c:pt idx="142">
                  <c:v>2630.268</c:v>
                </c:pt>
                <c:pt idx="143">
                  <c:v>2691.5349999999999</c:v>
                </c:pt>
                <c:pt idx="144">
                  <c:v>2754.2289999999998</c:v>
                </c:pt>
                <c:pt idx="145">
                  <c:v>2818.3829999999998</c:v>
                </c:pt>
                <c:pt idx="146">
                  <c:v>2884.0320000000002</c:v>
                </c:pt>
                <c:pt idx="147">
                  <c:v>2951.2089999999998</c:v>
                </c:pt>
                <c:pt idx="148">
                  <c:v>3019.9520000000002</c:v>
                </c:pt>
                <c:pt idx="149">
                  <c:v>3090.2950000000001</c:v>
                </c:pt>
                <c:pt idx="150">
                  <c:v>3162.2779999999998</c:v>
                </c:pt>
                <c:pt idx="151">
                  <c:v>3235.9369999999999</c:v>
                </c:pt>
                <c:pt idx="152">
                  <c:v>3311.3110000000001</c:v>
                </c:pt>
                <c:pt idx="153">
                  <c:v>3388.442</c:v>
                </c:pt>
                <c:pt idx="154">
                  <c:v>3467.3690000000001</c:v>
                </c:pt>
                <c:pt idx="155">
                  <c:v>3548.134</c:v>
                </c:pt>
                <c:pt idx="156">
                  <c:v>3630.7809999999999</c:v>
                </c:pt>
                <c:pt idx="157">
                  <c:v>3715.3519999999999</c:v>
                </c:pt>
                <c:pt idx="158">
                  <c:v>3801.8939999999998</c:v>
                </c:pt>
                <c:pt idx="159">
                  <c:v>3890.451</c:v>
                </c:pt>
                <c:pt idx="160">
                  <c:v>3981.0720000000001</c:v>
                </c:pt>
                <c:pt idx="161">
                  <c:v>4073.8029999999999</c:v>
                </c:pt>
                <c:pt idx="162">
                  <c:v>4168.6940000000004</c:v>
                </c:pt>
                <c:pt idx="163">
                  <c:v>4265.7950000000001</c:v>
                </c:pt>
                <c:pt idx="164">
                  <c:v>4365.1580000000004</c:v>
                </c:pt>
                <c:pt idx="165">
                  <c:v>4466.8360000000002</c:v>
                </c:pt>
                <c:pt idx="166">
                  <c:v>4570.8819999999996</c:v>
                </c:pt>
                <c:pt idx="167">
                  <c:v>4677.3509999999997</c:v>
                </c:pt>
                <c:pt idx="168">
                  <c:v>4786.3010000000004</c:v>
                </c:pt>
                <c:pt idx="169">
                  <c:v>4897.7879999999996</c:v>
                </c:pt>
                <c:pt idx="170">
                  <c:v>5011.8720000000003</c:v>
                </c:pt>
                <c:pt idx="171">
                  <c:v>5128.6139999999996</c:v>
                </c:pt>
                <c:pt idx="172">
                  <c:v>5248.0749999999998</c:v>
                </c:pt>
                <c:pt idx="173">
                  <c:v>5370.3180000000002</c:v>
                </c:pt>
                <c:pt idx="174">
                  <c:v>5495.4089999999997</c:v>
                </c:pt>
                <c:pt idx="175">
                  <c:v>5623.4129999999996</c:v>
                </c:pt>
                <c:pt idx="176">
                  <c:v>5754.3990000000003</c:v>
                </c:pt>
                <c:pt idx="177">
                  <c:v>5888.4369999999999</c:v>
                </c:pt>
                <c:pt idx="178">
                  <c:v>6025.5959999999995</c:v>
                </c:pt>
                <c:pt idx="179">
                  <c:v>6165.95</c:v>
                </c:pt>
                <c:pt idx="180">
                  <c:v>6309.5730000000003</c:v>
                </c:pt>
                <c:pt idx="181">
                  <c:v>6456.5420000000004</c:v>
                </c:pt>
                <c:pt idx="182">
                  <c:v>6606.9340000000002</c:v>
                </c:pt>
                <c:pt idx="183">
                  <c:v>6760.83</c:v>
                </c:pt>
                <c:pt idx="184">
                  <c:v>6918.31</c:v>
                </c:pt>
                <c:pt idx="185">
                  <c:v>7079.4579999999996</c:v>
                </c:pt>
                <c:pt idx="186">
                  <c:v>7244.36</c:v>
                </c:pt>
                <c:pt idx="187">
                  <c:v>7413.1019999999999</c:v>
                </c:pt>
                <c:pt idx="188">
                  <c:v>7585.7759999999998</c:v>
                </c:pt>
                <c:pt idx="189">
                  <c:v>7762.4709999999995</c:v>
                </c:pt>
                <c:pt idx="190">
                  <c:v>7943.2820000000002</c:v>
                </c:pt>
                <c:pt idx="191">
                  <c:v>8128.3050000000003</c:v>
                </c:pt>
                <c:pt idx="192">
                  <c:v>8317.6380000000008</c:v>
                </c:pt>
                <c:pt idx="193">
                  <c:v>8511.3799999999992</c:v>
                </c:pt>
                <c:pt idx="194">
                  <c:v>8709.6360000000004</c:v>
                </c:pt>
                <c:pt idx="195">
                  <c:v>8912.509</c:v>
                </c:pt>
                <c:pt idx="196">
                  <c:v>9120.1080000000002</c:v>
                </c:pt>
                <c:pt idx="197">
                  <c:v>9332.5429999999997</c:v>
                </c:pt>
                <c:pt idx="198">
                  <c:v>9549.9259999999995</c:v>
                </c:pt>
                <c:pt idx="199">
                  <c:v>9772.3719999999994</c:v>
                </c:pt>
                <c:pt idx="200">
                  <c:v>10000</c:v>
                </c:pt>
                <c:pt idx="201">
                  <c:v>10232.93</c:v>
                </c:pt>
                <c:pt idx="202">
                  <c:v>10471.285</c:v>
                </c:pt>
                <c:pt idx="203">
                  <c:v>10715.192999999999</c:v>
                </c:pt>
                <c:pt idx="204">
                  <c:v>10964.781999999999</c:v>
                </c:pt>
                <c:pt idx="205">
                  <c:v>11220.184999999999</c:v>
                </c:pt>
                <c:pt idx="206">
                  <c:v>11481.536</c:v>
                </c:pt>
                <c:pt idx="207">
                  <c:v>11748.976000000001</c:v>
                </c:pt>
                <c:pt idx="208">
                  <c:v>12022.644</c:v>
                </c:pt>
                <c:pt idx="209">
                  <c:v>12302.688</c:v>
                </c:pt>
                <c:pt idx="210">
                  <c:v>12589.254000000001</c:v>
                </c:pt>
                <c:pt idx="211">
                  <c:v>12882.495999999999</c:v>
                </c:pt>
                <c:pt idx="212">
                  <c:v>13182.566999999999</c:v>
                </c:pt>
                <c:pt idx="213">
                  <c:v>13489.629000000001</c:v>
                </c:pt>
                <c:pt idx="214">
                  <c:v>13803.843000000001</c:v>
                </c:pt>
                <c:pt idx="215">
                  <c:v>14125.375</c:v>
                </c:pt>
                <c:pt idx="216">
                  <c:v>14454.397999999999</c:v>
                </c:pt>
                <c:pt idx="217">
                  <c:v>14791.084000000001</c:v>
                </c:pt>
                <c:pt idx="218">
                  <c:v>15135.611999999999</c:v>
                </c:pt>
                <c:pt idx="219">
                  <c:v>15488.165999999999</c:v>
                </c:pt>
                <c:pt idx="220">
                  <c:v>15848.932000000001</c:v>
                </c:pt>
                <c:pt idx="221">
                  <c:v>16218.101000000001</c:v>
                </c:pt>
                <c:pt idx="222">
                  <c:v>16595.868999999999</c:v>
                </c:pt>
                <c:pt idx="223">
                  <c:v>16982.437000000002</c:v>
                </c:pt>
                <c:pt idx="224">
                  <c:v>17378.008000000002</c:v>
                </c:pt>
                <c:pt idx="225">
                  <c:v>17782.794000000002</c:v>
                </c:pt>
                <c:pt idx="226">
                  <c:v>18197.008999999998</c:v>
                </c:pt>
                <c:pt idx="227">
                  <c:v>18620.870999999999</c:v>
                </c:pt>
                <c:pt idx="228">
                  <c:v>19054.607</c:v>
                </c:pt>
                <c:pt idx="229">
                  <c:v>19498.446</c:v>
                </c:pt>
                <c:pt idx="230">
                  <c:v>19952.623</c:v>
                </c:pt>
                <c:pt idx="231">
                  <c:v>20417.379000000001</c:v>
                </c:pt>
                <c:pt idx="232">
                  <c:v>20892.960999999999</c:v>
                </c:pt>
                <c:pt idx="233">
                  <c:v>21379.620999999999</c:v>
                </c:pt>
                <c:pt idx="234">
                  <c:v>21877.616000000002</c:v>
                </c:pt>
                <c:pt idx="235">
                  <c:v>22387.210999999999</c:v>
                </c:pt>
                <c:pt idx="236">
                  <c:v>22908.677</c:v>
                </c:pt>
                <c:pt idx="237">
                  <c:v>23442.288</c:v>
                </c:pt>
                <c:pt idx="238">
                  <c:v>23988.329000000002</c:v>
                </c:pt>
                <c:pt idx="239">
                  <c:v>24547.089</c:v>
                </c:pt>
                <c:pt idx="240">
                  <c:v>25118.864000000001</c:v>
                </c:pt>
                <c:pt idx="241">
                  <c:v>25703.957999999999</c:v>
                </c:pt>
                <c:pt idx="242">
                  <c:v>26302.68</c:v>
                </c:pt>
                <c:pt idx="243">
                  <c:v>26915.348000000002</c:v>
                </c:pt>
                <c:pt idx="244">
                  <c:v>27542.287</c:v>
                </c:pt>
                <c:pt idx="245">
                  <c:v>28183.829000000002</c:v>
                </c:pt>
                <c:pt idx="246">
                  <c:v>28840.314999999999</c:v>
                </c:pt>
                <c:pt idx="247">
                  <c:v>29512.092000000001</c:v>
                </c:pt>
                <c:pt idx="248">
                  <c:v>30199.517</c:v>
                </c:pt>
                <c:pt idx="249">
                  <c:v>30902.954000000002</c:v>
                </c:pt>
                <c:pt idx="250">
                  <c:v>31622.776999999998</c:v>
                </c:pt>
                <c:pt idx="251">
                  <c:v>32359.366000000002</c:v>
                </c:pt>
                <c:pt idx="252">
                  <c:v>33113.112000000001</c:v>
                </c:pt>
                <c:pt idx="253">
                  <c:v>33884.415999999997</c:v>
                </c:pt>
                <c:pt idx="254">
                  <c:v>34673.684999999998</c:v>
                </c:pt>
                <c:pt idx="255">
                  <c:v>35481.339</c:v>
                </c:pt>
                <c:pt idx="256">
                  <c:v>36307.805</c:v>
                </c:pt>
                <c:pt idx="257">
                  <c:v>37153.523000000001</c:v>
                </c:pt>
                <c:pt idx="258">
                  <c:v>38018.94</c:v>
                </c:pt>
                <c:pt idx="259">
                  <c:v>38904.514000000003</c:v>
                </c:pt>
                <c:pt idx="260">
                  <c:v>39810.716999999997</c:v>
                </c:pt>
                <c:pt idx="261">
                  <c:v>40738.027999999998</c:v>
                </c:pt>
                <c:pt idx="262">
                  <c:v>41686.938000000002</c:v>
                </c:pt>
                <c:pt idx="263">
                  <c:v>42657.951999999997</c:v>
                </c:pt>
                <c:pt idx="264">
                  <c:v>43651.582999999999</c:v>
                </c:pt>
                <c:pt idx="265">
                  <c:v>44668.358999999997</c:v>
                </c:pt>
                <c:pt idx="266">
                  <c:v>45708.819000000003</c:v>
                </c:pt>
                <c:pt idx="267">
                  <c:v>46773.514000000003</c:v>
                </c:pt>
                <c:pt idx="268">
                  <c:v>47863.008999999998</c:v>
                </c:pt>
                <c:pt idx="269">
                  <c:v>48977.881999999998</c:v>
                </c:pt>
                <c:pt idx="270">
                  <c:v>50118.722999999998</c:v>
                </c:pt>
                <c:pt idx="271">
                  <c:v>51286.137999999999</c:v>
                </c:pt>
                <c:pt idx="272">
                  <c:v>52480.745999999999</c:v>
                </c:pt>
                <c:pt idx="273">
                  <c:v>53703.18</c:v>
                </c:pt>
                <c:pt idx="274">
                  <c:v>54954.087</c:v>
                </c:pt>
                <c:pt idx="275">
                  <c:v>56234.133000000002</c:v>
                </c:pt>
                <c:pt idx="276">
                  <c:v>57543.993999999999</c:v>
                </c:pt>
                <c:pt idx="277">
                  <c:v>58884.366000000002</c:v>
                </c:pt>
                <c:pt idx="278">
                  <c:v>60255.959000000003</c:v>
                </c:pt>
                <c:pt idx="279">
                  <c:v>61659.5</c:v>
                </c:pt>
                <c:pt idx="280">
                  <c:v>63095.733999999997</c:v>
                </c:pt>
                <c:pt idx="281">
                  <c:v>64565.423000000003</c:v>
                </c:pt>
                <c:pt idx="282">
                  <c:v>66069.345000000001</c:v>
                </c:pt>
                <c:pt idx="283">
                  <c:v>67608.297999999995</c:v>
                </c:pt>
                <c:pt idx="284">
                  <c:v>69183.096999999994</c:v>
                </c:pt>
                <c:pt idx="285">
                  <c:v>70794.577999999994</c:v>
                </c:pt>
                <c:pt idx="286">
                  <c:v>72443.596000000005</c:v>
                </c:pt>
                <c:pt idx="287">
                  <c:v>74131.024000000005</c:v>
                </c:pt>
                <c:pt idx="288">
                  <c:v>75857.758000000002</c:v>
                </c:pt>
                <c:pt idx="289">
                  <c:v>77624.712</c:v>
                </c:pt>
                <c:pt idx="290">
                  <c:v>79432.823000000004</c:v>
                </c:pt>
                <c:pt idx="291">
                  <c:v>81283.051999999996</c:v>
                </c:pt>
                <c:pt idx="292">
                  <c:v>83176.376999999993</c:v>
                </c:pt>
                <c:pt idx="293">
                  <c:v>85113.804000000004</c:v>
                </c:pt>
                <c:pt idx="294">
                  <c:v>87096.358999999997</c:v>
                </c:pt>
                <c:pt idx="295">
                  <c:v>89125.093999999997</c:v>
                </c:pt>
                <c:pt idx="296">
                  <c:v>91201.084000000003</c:v>
                </c:pt>
                <c:pt idx="297">
                  <c:v>93325.43</c:v>
                </c:pt>
                <c:pt idx="298">
                  <c:v>95499.259000000005</c:v>
                </c:pt>
                <c:pt idx="299">
                  <c:v>97723.721999999994</c:v>
                </c:pt>
                <c:pt idx="300">
                  <c:v>100000</c:v>
                </c:pt>
                <c:pt idx="301">
                  <c:v>102329.299</c:v>
                </c:pt>
                <c:pt idx="302">
                  <c:v>104712.855</c:v>
                </c:pt>
                <c:pt idx="303">
                  <c:v>107151.931</c:v>
                </c:pt>
                <c:pt idx="304">
                  <c:v>109647.82</c:v>
                </c:pt>
                <c:pt idx="305">
                  <c:v>112201.845</c:v>
                </c:pt>
                <c:pt idx="306">
                  <c:v>114815.36199999999</c:v>
                </c:pt>
                <c:pt idx="307">
                  <c:v>117489.755</c:v>
                </c:pt>
                <c:pt idx="308">
                  <c:v>120226.443</c:v>
                </c:pt>
                <c:pt idx="309">
                  <c:v>123026.87699999999</c:v>
                </c:pt>
                <c:pt idx="310">
                  <c:v>125892.541</c:v>
                </c:pt>
                <c:pt idx="311">
                  <c:v>128824.955</c:v>
                </c:pt>
                <c:pt idx="312">
                  <c:v>131825.674</c:v>
                </c:pt>
                <c:pt idx="313">
                  <c:v>134896.288</c:v>
                </c:pt>
                <c:pt idx="314">
                  <c:v>138038.42600000001</c:v>
                </c:pt>
                <c:pt idx="315">
                  <c:v>141253.75399999999</c:v>
                </c:pt>
                <c:pt idx="316">
                  <c:v>144543.97700000001</c:v>
                </c:pt>
                <c:pt idx="317">
                  <c:v>147910.83900000001</c:v>
                </c:pt>
                <c:pt idx="318">
                  <c:v>151356.125</c:v>
                </c:pt>
                <c:pt idx="319">
                  <c:v>154881.66200000001</c:v>
                </c:pt>
                <c:pt idx="320">
                  <c:v>158489.31899999999</c:v>
                </c:pt>
                <c:pt idx="321">
                  <c:v>162181.01</c:v>
                </c:pt>
                <c:pt idx="322">
                  <c:v>165958.69099999999</c:v>
                </c:pt>
                <c:pt idx="323">
                  <c:v>169824.36499999999</c:v>
                </c:pt>
                <c:pt idx="324">
                  <c:v>173780.08300000001</c:v>
                </c:pt>
                <c:pt idx="325">
                  <c:v>177827.94099999999</c:v>
                </c:pt>
                <c:pt idx="326">
                  <c:v>181970.08600000001</c:v>
                </c:pt>
                <c:pt idx="327">
                  <c:v>186208.71400000001</c:v>
                </c:pt>
                <c:pt idx="328">
                  <c:v>190546.07199999999</c:v>
                </c:pt>
                <c:pt idx="329">
                  <c:v>194984.46</c:v>
                </c:pt>
                <c:pt idx="330">
                  <c:v>199526.231</c:v>
                </c:pt>
                <c:pt idx="331">
                  <c:v>204173.79399999999</c:v>
                </c:pt>
                <c:pt idx="332">
                  <c:v>208929.61300000001</c:v>
                </c:pt>
                <c:pt idx="333">
                  <c:v>213796.209</c:v>
                </c:pt>
                <c:pt idx="334">
                  <c:v>218776.16200000001</c:v>
                </c:pt>
                <c:pt idx="335">
                  <c:v>223872.114</c:v>
                </c:pt>
                <c:pt idx="336">
                  <c:v>229086.76500000001</c:v>
                </c:pt>
                <c:pt idx="337">
                  <c:v>234422.88200000001</c:v>
                </c:pt>
                <c:pt idx="338">
                  <c:v>239883.29199999999</c:v>
                </c:pt>
                <c:pt idx="339">
                  <c:v>245470.89199999999</c:v>
                </c:pt>
                <c:pt idx="340">
                  <c:v>251188.64300000001</c:v>
                </c:pt>
                <c:pt idx="341">
                  <c:v>257039.57800000001</c:v>
                </c:pt>
                <c:pt idx="342">
                  <c:v>263026.799</c:v>
                </c:pt>
                <c:pt idx="343">
                  <c:v>269153.48</c:v>
                </c:pt>
                <c:pt idx="344">
                  <c:v>275422.87</c:v>
                </c:pt>
                <c:pt idx="345">
                  <c:v>281838.29300000001</c:v>
                </c:pt>
                <c:pt idx="346">
                  <c:v>288403.15000000002</c:v>
                </c:pt>
                <c:pt idx="347">
                  <c:v>295120.92300000001</c:v>
                </c:pt>
                <c:pt idx="348">
                  <c:v>301995.17200000002</c:v>
                </c:pt>
                <c:pt idx="349">
                  <c:v>309029.54300000001</c:v>
                </c:pt>
                <c:pt idx="350">
                  <c:v>316227.766</c:v>
                </c:pt>
                <c:pt idx="351">
                  <c:v>323593.65700000001</c:v>
                </c:pt>
                <c:pt idx="352">
                  <c:v>331131.12099999998</c:v>
                </c:pt>
                <c:pt idx="353">
                  <c:v>338844.15600000002</c:v>
                </c:pt>
                <c:pt idx="354">
                  <c:v>346736.85</c:v>
                </c:pt>
                <c:pt idx="355">
                  <c:v>354813.38900000002</c:v>
                </c:pt>
                <c:pt idx="356">
                  <c:v>363078.05499999999</c:v>
                </c:pt>
                <c:pt idx="357">
                  <c:v>371535.22899999999</c:v>
                </c:pt>
                <c:pt idx="358">
                  <c:v>380189.39600000001</c:v>
                </c:pt>
                <c:pt idx="359">
                  <c:v>389045.14500000002</c:v>
                </c:pt>
                <c:pt idx="360">
                  <c:v>398107.17099999997</c:v>
                </c:pt>
                <c:pt idx="361">
                  <c:v>407380.27799999999</c:v>
                </c:pt>
                <c:pt idx="362">
                  <c:v>416869.38299999997</c:v>
                </c:pt>
                <c:pt idx="363">
                  <c:v>426579.51899999997</c:v>
                </c:pt>
                <c:pt idx="364">
                  <c:v>436515.83199999999</c:v>
                </c:pt>
                <c:pt idx="365">
                  <c:v>446683.592</c:v>
                </c:pt>
                <c:pt idx="366">
                  <c:v>457088.19</c:v>
                </c:pt>
                <c:pt idx="367">
                  <c:v>467735.141</c:v>
                </c:pt>
                <c:pt idx="368">
                  <c:v>478630.092</c:v>
                </c:pt>
                <c:pt idx="369">
                  <c:v>489778.81900000002</c:v>
                </c:pt>
                <c:pt idx="370">
                  <c:v>501187.234</c:v>
                </c:pt>
                <c:pt idx="371">
                  <c:v>512861.38400000002</c:v>
                </c:pt>
                <c:pt idx="372">
                  <c:v>524807.46</c:v>
                </c:pt>
                <c:pt idx="373">
                  <c:v>537031.79599999997</c:v>
                </c:pt>
                <c:pt idx="374">
                  <c:v>549540.87399999995</c:v>
                </c:pt>
                <c:pt idx="375">
                  <c:v>562341.32499999995</c:v>
                </c:pt>
                <c:pt idx="376">
                  <c:v>575439.93700000003</c:v>
                </c:pt>
                <c:pt idx="377">
                  <c:v>588843.65500000003</c:v>
                </c:pt>
                <c:pt idx="378">
                  <c:v>602559.58600000001</c:v>
                </c:pt>
                <c:pt idx="379">
                  <c:v>616595.00199999998</c:v>
                </c:pt>
                <c:pt idx="380">
                  <c:v>630957.34400000004</c:v>
                </c:pt>
                <c:pt idx="381">
                  <c:v>645654.22900000005</c:v>
                </c:pt>
                <c:pt idx="382">
                  <c:v>660693.44799999997</c:v>
                </c:pt>
                <c:pt idx="383">
                  <c:v>676082.97499999998</c:v>
                </c:pt>
                <c:pt idx="384">
                  <c:v>691830.97100000002</c:v>
                </c:pt>
                <c:pt idx="385">
                  <c:v>707945.78399999999</c:v>
                </c:pt>
                <c:pt idx="386">
                  <c:v>724435.96</c:v>
                </c:pt>
                <c:pt idx="387">
                  <c:v>741310.24100000004</c:v>
                </c:pt>
                <c:pt idx="388">
                  <c:v>758577.57499999995</c:v>
                </c:pt>
                <c:pt idx="389">
                  <c:v>776247.11699999997</c:v>
                </c:pt>
                <c:pt idx="390">
                  <c:v>794328.23499999999</c:v>
                </c:pt>
                <c:pt idx="391">
                  <c:v>812830.51599999995</c:v>
                </c:pt>
                <c:pt idx="392">
                  <c:v>831763.77099999995</c:v>
                </c:pt>
                <c:pt idx="393">
                  <c:v>851138.03799999994</c:v>
                </c:pt>
                <c:pt idx="394">
                  <c:v>870963.59</c:v>
                </c:pt>
                <c:pt idx="395">
                  <c:v>891250.93799999997</c:v>
                </c:pt>
                <c:pt idx="396">
                  <c:v>912010.83900000004</c:v>
                </c:pt>
                <c:pt idx="397">
                  <c:v>933254.30099999998</c:v>
                </c:pt>
                <c:pt idx="398">
                  <c:v>954992.58600000001</c:v>
                </c:pt>
                <c:pt idx="399">
                  <c:v>977237.22100000002</c:v>
                </c:pt>
              </c:numCache>
            </c:numRef>
          </c:xVal>
          <c:yVal>
            <c:numRef>
              <c:f>'Bode Plots Calculations'!$BV$10:$BV$409</c:f>
              <c:numCache>
                <c:formatCode>#0.0#</c:formatCode>
                <c:ptCount val="400"/>
                <c:pt idx="0">
                  <c:v>-267.66769999999997</c:v>
                </c:pt>
                <c:pt idx="1">
                  <c:v>-265.91489999999999</c:v>
                </c:pt>
                <c:pt idx="2">
                  <c:v>-264.93219999999997</c:v>
                </c:pt>
                <c:pt idx="3">
                  <c:v>-262.3057</c:v>
                </c:pt>
                <c:pt idx="4">
                  <c:v>-262.76620000000003</c:v>
                </c:pt>
                <c:pt idx="5">
                  <c:v>-267.01279999999997</c:v>
                </c:pt>
                <c:pt idx="6">
                  <c:v>-266.20479999999998</c:v>
                </c:pt>
                <c:pt idx="7">
                  <c:v>-264.9049</c:v>
                </c:pt>
                <c:pt idx="8">
                  <c:v>-269.98079999999999</c:v>
                </c:pt>
                <c:pt idx="9">
                  <c:v>-265.73410000000001</c:v>
                </c:pt>
                <c:pt idx="10">
                  <c:v>-266.37110000000001</c:v>
                </c:pt>
                <c:pt idx="11">
                  <c:v>-268.05959999999999</c:v>
                </c:pt>
                <c:pt idx="12">
                  <c:v>-263.3605</c:v>
                </c:pt>
                <c:pt idx="13">
                  <c:v>-269.46539999999999</c:v>
                </c:pt>
                <c:pt idx="14">
                  <c:v>-267.95069999999998</c:v>
                </c:pt>
                <c:pt idx="15">
                  <c:v>-263.11430000000001</c:v>
                </c:pt>
                <c:pt idx="16">
                  <c:v>-266.2885</c:v>
                </c:pt>
                <c:pt idx="17">
                  <c:v>-266.34629999999999</c:v>
                </c:pt>
                <c:pt idx="18">
                  <c:v>-267.0283</c:v>
                </c:pt>
                <c:pt idx="19">
                  <c:v>-260.69729999999998</c:v>
                </c:pt>
                <c:pt idx="20">
                  <c:v>-259.86900000000003</c:v>
                </c:pt>
                <c:pt idx="21">
                  <c:v>-262.39859999999999</c:v>
                </c:pt>
                <c:pt idx="22">
                  <c:v>-264.8295</c:v>
                </c:pt>
                <c:pt idx="23">
                  <c:v>-267.72770000000003</c:v>
                </c:pt>
                <c:pt idx="24">
                  <c:v>-269.952</c:v>
                </c:pt>
                <c:pt idx="25">
                  <c:v>-271.56010000000003</c:v>
                </c:pt>
                <c:pt idx="26">
                  <c:v>-268.84590000000003</c:v>
                </c:pt>
                <c:pt idx="27">
                  <c:v>-265.37959999999998</c:v>
                </c:pt>
                <c:pt idx="28">
                  <c:v>-265.89449999999999</c:v>
                </c:pt>
                <c:pt idx="29">
                  <c:v>-265.6327</c:v>
                </c:pt>
                <c:pt idx="30">
                  <c:v>-267.80150000000003</c:v>
                </c:pt>
                <c:pt idx="31">
                  <c:v>-264.16840000000002</c:v>
                </c:pt>
                <c:pt idx="32">
                  <c:v>-267.69110000000001</c:v>
                </c:pt>
                <c:pt idx="33">
                  <c:v>-266.9667</c:v>
                </c:pt>
                <c:pt idx="34">
                  <c:v>-263.5369</c:v>
                </c:pt>
                <c:pt idx="35">
                  <c:v>-265.19450000000001</c:v>
                </c:pt>
                <c:pt idx="36">
                  <c:v>-266.75440000000003</c:v>
                </c:pt>
                <c:pt idx="37">
                  <c:v>-266.76120000000003</c:v>
                </c:pt>
                <c:pt idx="38">
                  <c:v>-267.59569999999997</c:v>
                </c:pt>
                <c:pt idx="39">
                  <c:v>-266.80959999999999</c:v>
                </c:pt>
                <c:pt idx="40">
                  <c:v>-265.9205</c:v>
                </c:pt>
                <c:pt idx="41">
                  <c:v>-267.60309999999998</c:v>
                </c:pt>
                <c:pt idx="42">
                  <c:v>-267.3229</c:v>
                </c:pt>
                <c:pt idx="43">
                  <c:v>-265.67700000000002</c:v>
                </c:pt>
                <c:pt idx="44">
                  <c:v>-266.46569999999997</c:v>
                </c:pt>
                <c:pt idx="45">
                  <c:v>-266.67570000000001</c:v>
                </c:pt>
                <c:pt idx="46">
                  <c:v>-268.05989999999997</c:v>
                </c:pt>
                <c:pt idx="47">
                  <c:v>-265.88</c:v>
                </c:pt>
                <c:pt idx="48">
                  <c:v>-267.13580000000002</c:v>
                </c:pt>
                <c:pt idx="49">
                  <c:v>-265.03610000000003</c:v>
                </c:pt>
                <c:pt idx="50">
                  <c:v>-265.21839999999997</c:v>
                </c:pt>
                <c:pt idx="51">
                  <c:v>-266.99490000000003</c:v>
                </c:pt>
                <c:pt idx="52">
                  <c:v>-265.09339999999997</c:v>
                </c:pt>
                <c:pt idx="53">
                  <c:v>-266.42009999999999</c:v>
                </c:pt>
                <c:pt idx="54">
                  <c:v>-265.87940000000003</c:v>
                </c:pt>
                <c:pt idx="55">
                  <c:v>-265.95490000000001</c:v>
                </c:pt>
                <c:pt idx="56">
                  <c:v>-265.39159999999998</c:v>
                </c:pt>
                <c:pt idx="57">
                  <c:v>-265.2439</c:v>
                </c:pt>
                <c:pt idx="58">
                  <c:v>-265.49869999999999</c:v>
                </c:pt>
                <c:pt idx="59">
                  <c:v>-266.06720000000001</c:v>
                </c:pt>
                <c:pt idx="60">
                  <c:v>-265.2319</c:v>
                </c:pt>
                <c:pt idx="61">
                  <c:v>-265.7319</c:v>
                </c:pt>
                <c:pt idx="62">
                  <c:v>-265.24939999999998</c:v>
                </c:pt>
                <c:pt idx="63">
                  <c:v>-265.14060000000001</c:v>
                </c:pt>
                <c:pt idx="64">
                  <c:v>-264.9151</c:v>
                </c:pt>
                <c:pt idx="65">
                  <c:v>-265.3082</c:v>
                </c:pt>
                <c:pt idx="66">
                  <c:v>-265.65139999999997</c:v>
                </c:pt>
                <c:pt idx="67">
                  <c:v>-265.05009999999999</c:v>
                </c:pt>
                <c:pt idx="68">
                  <c:v>-264.35129999999998</c:v>
                </c:pt>
                <c:pt idx="69">
                  <c:v>-263.91079999999999</c:v>
                </c:pt>
                <c:pt idx="70">
                  <c:v>-264.7826</c:v>
                </c:pt>
                <c:pt idx="71">
                  <c:v>-265.04300000000001</c:v>
                </c:pt>
                <c:pt idx="72">
                  <c:v>-263.95569999999998</c:v>
                </c:pt>
                <c:pt idx="73">
                  <c:v>-264.56819999999999</c:v>
                </c:pt>
                <c:pt idx="74">
                  <c:v>-264.47620000000001</c:v>
                </c:pt>
                <c:pt idx="75">
                  <c:v>-264.60399999999998</c:v>
                </c:pt>
                <c:pt idx="76">
                  <c:v>-264.9076</c:v>
                </c:pt>
                <c:pt idx="77">
                  <c:v>-263.88170000000002</c:v>
                </c:pt>
                <c:pt idx="78">
                  <c:v>-264.00260000000003</c:v>
                </c:pt>
                <c:pt idx="79">
                  <c:v>-264.13310000000001</c:v>
                </c:pt>
                <c:pt idx="80">
                  <c:v>-263.74850000000004</c:v>
                </c:pt>
                <c:pt idx="81">
                  <c:v>-263.7636</c:v>
                </c:pt>
                <c:pt idx="82">
                  <c:v>-263.60980000000001</c:v>
                </c:pt>
                <c:pt idx="83">
                  <c:v>-263.3252</c:v>
                </c:pt>
                <c:pt idx="84">
                  <c:v>-263.57819999999998</c:v>
                </c:pt>
                <c:pt idx="85">
                  <c:v>-262.84989999999999</c:v>
                </c:pt>
                <c:pt idx="86">
                  <c:v>-262.81690000000003</c:v>
                </c:pt>
                <c:pt idx="87">
                  <c:v>-262.19720000000001</c:v>
                </c:pt>
                <c:pt idx="88">
                  <c:v>-262.56690000000003</c:v>
                </c:pt>
                <c:pt idx="89">
                  <c:v>-262.71769999999998</c:v>
                </c:pt>
                <c:pt idx="90">
                  <c:v>-262.79380000000003</c:v>
                </c:pt>
                <c:pt idx="91">
                  <c:v>-262.23689999999999</c:v>
                </c:pt>
                <c:pt idx="92">
                  <c:v>-262.34320000000002</c:v>
                </c:pt>
                <c:pt idx="93">
                  <c:v>-262.197</c:v>
                </c:pt>
                <c:pt idx="94">
                  <c:v>-261.76800000000003</c:v>
                </c:pt>
                <c:pt idx="95">
                  <c:v>-261.38310000000001</c:v>
                </c:pt>
                <c:pt idx="96">
                  <c:v>-261.74869999999999</c:v>
                </c:pt>
                <c:pt idx="97">
                  <c:v>-261.20730000000003</c:v>
                </c:pt>
                <c:pt idx="98">
                  <c:v>-261.26609999999999</c:v>
                </c:pt>
                <c:pt idx="99">
                  <c:v>-260.93240000000003</c:v>
                </c:pt>
                <c:pt idx="100">
                  <c:v>-260.5154</c:v>
                </c:pt>
                <c:pt idx="101">
                  <c:v>-261.12389999999999</c:v>
                </c:pt>
                <c:pt idx="102">
                  <c:v>-260.40769999999998</c:v>
                </c:pt>
                <c:pt idx="103">
                  <c:v>-260.5301</c:v>
                </c:pt>
                <c:pt idx="104">
                  <c:v>-260.5471</c:v>
                </c:pt>
                <c:pt idx="105">
                  <c:v>-259.93099999999998</c:v>
                </c:pt>
                <c:pt idx="106">
                  <c:v>-259.94799999999998</c:v>
                </c:pt>
                <c:pt idx="107">
                  <c:v>-260.19870000000003</c:v>
                </c:pt>
                <c:pt idx="108">
                  <c:v>-259.34100000000001</c:v>
                </c:pt>
                <c:pt idx="109">
                  <c:v>-259.55099999999999</c:v>
                </c:pt>
                <c:pt idx="110">
                  <c:v>-259.27199999999999</c:v>
                </c:pt>
                <c:pt idx="111">
                  <c:v>-258.86099999999999</c:v>
                </c:pt>
                <c:pt idx="112">
                  <c:v>-258.68299999999999</c:v>
                </c:pt>
                <c:pt idx="113">
                  <c:v>-258.79700000000003</c:v>
                </c:pt>
                <c:pt idx="114">
                  <c:v>-258.41000000000003</c:v>
                </c:pt>
                <c:pt idx="115">
                  <c:v>-258.13599999999997</c:v>
                </c:pt>
                <c:pt idx="116">
                  <c:v>-257.92899999999997</c:v>
                </c:pt>
                <c:pt idx="117">
                  <c:v>-257.745</c:v>
                </c:pt>
                <c:pt idx="118">
                  <c:v>-257.61</c:v>
                </c:pt>
                <c:pt idx="119">
                  <c:v>-257.471</c:v>
                </c:pt>
                <c:pt idx="120">
                  <c:v>-256.94200000000001</c:v>
                </c:pt>
                <c:pt idx="121">
                  <c:v>-256.75299999999999</c:v>
                </c:pt>
                <c:pt idx="122">
                  <c:v>-256.85699999999997</c:v>
                </c:pt>
                <c:pt idx="123">
                  <c:v>-256.31299999999999</c:v>
                </c:pt>
                <c:pt idx="124">
                  <c:v>-256.37900000000002</c:v>
                </c:pt>
                <c:pt idx="125">
                  <c:v>-256.01499999999999</c:v>
                </c:pt>
                <c:pt idx="126">
                  <c:v>-255.833</c:v>
                </c:pt>
                <c:pt idx="127">
                  <c:v>-255.47</c:v>
                </c:pt>
                <c:pt idx="128">
                  <c:v>-255.059</c:v>
                </c:pt>
                <c:pt idx="129">
                  <c:v>-254.971</c:v>
                </c:pt>
                <c:pt idx="130">
                  <c:v>-254.804</c:v>
                </c:pt>
                <c:pt idx="131">
                  <c:v>-254.411</c:v>
                </c:pt>
                <c:pt idx="132">
                  <c:v>-254.113</c:v>
                </c:pt>
                <c:pt idx="133">
                  <c:v>-254.34</c:v>
                </c:pt>
                <c:pt idx="134">
                  <c:v>-253.785</c:v>
                </c:pt>
                <c:pt idx="135">
                  <c:v>-253.78300000000002</c:v>
                </c:pt>
                <c:pt idx="136">
                  <c:v>-253.62</c:v>
                </c:pt>
                <c:pt idx="137">
                  <c:v>-253.17099999999999</c:v>
                </c:pt>
                <c:pt idx="138">
                  <c:v>-252.65800000000002</c:v>
                </c:pt>
                <c:pt idx="139">
                  <c:v>-251.97399999999999</c:v>
                </c:pt>
                <c:pt idx="140">
                  <c:v>-252.25200000000001</c:v>
                </c:pt>
                <c:pt idx="141">
                  <c:v>-251.702</c:v>
                </c:pt>
                <c:pt idx="142">
                  <c:v>-251.40100000000001</c:v>
                </c:pt>
                <c:pt idx="143">
                  <c:v>-251.244</c:v>
                </c:pt>
                <c:pt idx="144">
                  <c:v>-251.05099999999999</c:v>
                </c:pt>
                <c:pt idx="145">
                  <c:v>-250.48</c:v>
                </c:pt>
                <c:pt idx="146">
                  <c:v>-250.202</c:v>
                </c:pt>
                <c:pt idx="147">
                  <c:v>-249.92599999999999</c:v>
                </c:pt>
                <c:pt idx="148">
                  <c:v>-249.65100000000001</c:v>
                </c:pt>
                <c:pt idx="149">
                  <c:v>-248.41800000000001</c:v>
                </c:pt>
                <c:pt idx="150">
                  <c:v>-248.626</c:v>
                </c:pt>
                <c:pt idx="151">
                  <c:v>-248.57499999999999</c:v>
                </c:pt>
                <c:pt idx="152">
                  <c:v>-247.75799999999998</c:v>
                </c:pt>
                <c:pt idx="153">
                  <c:v>-247.756</c:v>
                </c:pt>
                <c:pt idx="154">
                  <c:v>-247.51300000000001</c:v>
                </c:pt>
                <c:pt idx="155">
                  <c:v>-246.726</c:v>
                </c:pt>
                <c:pt idx="156">
                  <c:v>-246.21199999999999</c:v>
                </c:pt>
                <c:pt idx="157">
                  <c:v>-245.97</c:v>
                </c:pt>
                <c:pt idx="158">
                  <c:v>-245.16899999999998</c:v>
                </c:pt>
                <c:pt idx="159">
                  <c:v>-244.768</c:v>
                </c:pt>
                <c:pt idx="160">
                  <c:v>-244.315</c:v>
                </c:pt>
                <c:pt idx="161">
                  <c:v>-244.142</c:v>
                </c:pt>
                <c:pt idx="162">
                  <c:v>-243.709</c:v>
                </c:pt>
                <c:pt idx="163">
                  <c:v>-243.32400000000001</c:v>
                </c:pt>
                <c:pt idx="164">
                  <c:v>-242.172</c:v>
                </c:pt>
                <c:pt idx="165">
                  <c:v>-240.90300000000002</c:v>
                </c:pt>
                <c:pt idx="166">
                  <c:v>-241.25200000000001</c:v>
                </c:pt>
                <c:pt idx="167">
                  <c:v>-240.63800000000001</c:v>
                </c:pt>
                <c:pt idx="168">
                  <c:v>-240.03100000000001</c:v>
                </c:pt>
                <c:pt idx="169">
                  <c:v>-239.48099999999999</c:v>
                </c:pt>
                <c:pt idx="170">
                  <c:v>-238.50700000000001</c:v>
                </c:pt>
                <c:pt idx="171">
                  <c:v>-237.881</c:v>
                </c:pt>
                <c:pt idx="172">
                  <c:v>-238.28</c:v>
                </c:pt>
                <c:pt idx="173">
                  <c:v>-237.34699999999998</c:v>
                </c:pt>
                <c:pt idx="174">
                  <c:v>-235.61199999999999</c:v>
                </c:pt>
                <c:pt idx="175">
                  <c:v>-235.13800000000001</c:v>
                </c:pt>
                <c:pt idx="176">
                  <c:v>-234.68899999999999</c:v>
                </c:pt>
                <c:pt idx="177">
                  <c:v>-233.95400000000001</c:v>
                </c:pt>
                <c:pt idx="178">
                  <c:v>-234.14699999999999</c:v>
                </c:pt>
                <c:pt idx="179">
                  <c:v>-232.05599999999998</c:v>
                </c:pt>
                <c:pt idx="180">
                  <c:v>-231.369</c:v>
                </c:pt>
                <c:pt idx="181">
                  <c:v>-230.779</c:v>
                </c:pt>
                <c:pt idx="182">
                  <c:v>-229.60900000000001</c:v>
                </c:pt>
                <c:pt idx="183">
                  <c:v>-229.1</c:v>
                </c:pt>
                <c:pt idx="184">
                  <c:v>-228.376</c:v>
                </c:pt>
                <c:pt idx="185">
                  <c:v>-227.04400000000001</c:v>
                </c:pt>
                <c:pt idx="186">
                  <c:v>-226.239</c:v>
                </c:pt>
                <c:pt idx="187">
                  <c:v>-225.834</c:v>
                </c:pt>
                <c:pt idx="188">
                  <c:v>-224.429</c:v>
                </c:pt>
                <c:pt idx="189">
                  <c:v>-223.255</c:v>
                </c:pt>
                <c:pt idx="190">
                  <c:v>-223.13499999999999</c:v>
                </c:pt>
                <c:pt idx="191">
                  <c:v>-221.982</c:v>
                </c:pt>
                <c:pt idx="192">
                  <c:v>-220.93199999999999</c:v>
                </c:pt>
                <c:pt idx="193">
                  <c:v>-219.99600000000001</c:v>
                </c:pt>
                <c:pt idx="194">
                  <c:v>-218.72200000000001</c:v>
                </c:pt>
                <c:pt idx="195">
                  <c:v>-217.619</c:v>
                </c:pt>
                <c:pt idx="196">
                  <c:v>-216.501</c:v>
                </c:pt>
                <c:pt idx="197">
                  <c:v>-215.83600000000001</c:v>
                </c:pt>
                <c:pt idx="198">
                  <c:v>-215.499</c:v>
                </c:pt>
                <c:pt idx="199">
                  <c:v>-212.98699999999999</c:v>
                </c:pt>
                <c:pt idx="200">
                  <c:v>-213.047</c:v>
                </c:pt>
                <c:pt idx="201">
                  <c:v>-211.715</c:v>
                </c:pt>
                <c:pt idx="202">
                  <c:v>-211.89099999999999</c:v>
                </c:pt>
                <c:pt idx="203">
                  <c:v>-209.68</c:v>
                </c:pt>
                <c:pt idx="204">
                  <c:v>-209.52500000000001</c:v>
                </c:pt>
                <c:pt idx="205">
                  <c:v>-207.815</c:v>
                </c:pt>
                <c:pt idx="206">
                  <c:v>-207.916</c:v>
                </c:pt>
                <c:pt idx="207">
                  <c:v>-206.25700000000001</c:v>
                </c:pt>
                <c:pt idx="208">
                  <c:v>-205.79599999999999</c:v>
                </c:pt>
                <c:pt idx="209">
                  <c:v>-205.58</c:v>
                </c:pt>
                <c:pt idx="210">
                  <c:v>-203.78</c:v>
                </c:pt>
                <c:pt idx="211">
                  <c:v>-201.71899999999999</c:v>
                </c:pt>
                <c:pt idx="212">
                  <c:v>-198.27600000000001</c:v>
                </c:pt>
                <c:pt idx="213">
                  <c:v>-197.578</c:v>
                </c:pt>
                <c:pt idx="214">
                  <c:v>-195.64599999999999</c:v>
                </c:pt>
                <c:pt idx="215">
                  <c:v>-192.58199999999999</c:v>
                </c:pt>
                <c:pt idx="216">
                  <c:v>-192.25399999999999</c:v>
                </c:pt>
                <c:pt idx="217">
                  <c:v>-191.02600000000001</c:v>
                </c:pt>
                <c:pt idx="218">
                  <c:v>-189.453</c:v>
                </c:pt>
                <c:pt idx="219">
                  <c:v>-188.48099999999999</c:v>
                </c:pt>
                <c:pt idx="220">
                  <c:v>-186.14400000000001</c:v>
                </c:pt>
                <c:pt idx="221">
                  <c:v>-185.626</c:v>
                </c:pt>
                <c:pt idx="222">
                  <c:v>-184.43100000000001</c:v>
                </c:pt>
                <c:pt idx="223">
                  <c:v>-182.72200000000001</c:v>
                </c:pt>
                <c:pt idx="224">
                  <c:v>-181.726</c:v>
                </c:pt>
                <c:pt idx="225">
                  <c:v>-180.351</c:v>
                </c:pt>
                <c:pt idx="226">
                  <c:v>-179.43</c:v>
                </c:pt>
                <c:pt idx="227">
                  <c:v>-178.09100000000001</c:v>
                </c:pt>
                <c:pt idx="228">
                  <c:v>-176.916</c:v>
                </c:pt>
                <c:pt idx="229">
                  <c:v>-175.511</c:v>
                </c:pt>
                <c:pt idx="230">
                  <c:v>-174.244</c:v>
                </c:pt>
                <c:pt idx="231">
                  <c:v>-173.369</c:v>
                </c:pt>
                <c:pt idx="232">
                  <c:v>-172.084</c:v>
                </c:pt>
                <c:pt idx="233">
                  <c:v>-170.62899999999999</c:v>
                </c:pt>
                <c:pt idx="234">
                  <c:v>-169.465</c:v>
                </c:pt>
                <c:pt idx="235">
                  <c:v>-168.34299999999999</c:v>
                </c:pt>
                <c:pt idx="236">
                  <c:v>-167.03899999999999</c:v>
                </c:pt>
                <c:pt idx="237">
                  <c:v>-165.876</c:v>
                </c:pt>
                <c:pt idx="238">
                  <c:v>-164.703</c:v>
                </c:pt>
                <c:pt idx="239">
                  <c:v>-163.65100000000001</c:v>
                </c:pt>
                <c:pt idx="240">
                  <c:v>-162.52199999999999</c:v>
                </c:pt>
                <c:pt idx="241">
                  <c:v>-161.32599999999999</c:v>
                </c:pt>
                <c:pt idx="242">
                  <c:v>-160.22999999999999</c:v>
                </c:pt>
                <c:pt idx="243">
                  <c:v>-159.27600000000001</c:v>
                </c:pt>
                <c:pt idx="244">
                  <c:v>-158.108</c:v>
                </c:pt>
                <c:pt idx="245">
                  <c:v>-157.06299999999999</c:v>
                </c:pt>
                <c:pt idx="246">
                  <c:v>-156.01</c:v>
                </c:pt>
                <c:pt idx="247">
                  <c:v>-155.03200000000001</c:v>
                </c:pt>
                <c:pt idx="248">
                  <c:v>-154.00200000000001</c:v>
                </c:pt>
                <c:pt idx="249">
                  <c:v>-152.994</c:v>
                </c:pt>
                <c:pt idx="250">
                  <c:v>-152.041</c:v>
                </c:pt>
                <c:pt idx="251">
                  <c:v>-151.05000000000001</c:v>
                </c:pt>
                <c:pt idx="252">
                  <c:v>-150.17400000000001</c:v>
                </c:pt>
                <c:pt idx="253">
                  <c:v>-149.483</c:v>
                </c:pt>
                <c:pt idx="254">
                  <c:v>-148.328</c:v>
                </c:pt>
                <c:pt idx="255">
                  <c:v>-147.47</c:v>
                </c:pt>
                <c:pt idx="256">
                  <c:v>-146.52500000000001</c:v>
                </c:pt>
                <c:pt idx="257">
                  <c:v>-145.744</c:v>
                </c:pt>
                <c:pt idx="258">
                  <c:v>-144.86799999999999</c:v>
                </c:pt>
                <c:pt idx="259">
                  <c:v>-144.06</c:v>
                </c:pt>
                <c:pt idx="260">
                  <c:v>-143.22999999999999</c:v>
                </c:pt>
                <c:pt idx="261">
                  <c:v>-142.31399999999999</c:v>
                </c:pt>
                <c:pt idx="262">
                  <c:v>-141.465</c:v>
                </c:pt>
                <c:pt idx="263">
                  <c:v>-140.39099999999999</c:v>
                </c:pt>
                <c:pt idx="264">
                  <c:v>-139.065</c:v>
                </c:pt>
                <c:pt idx="265">
                  <c:v>-136.58699999999999</c:v>
                </c:pt>
                <c:pt idx="266">
                  <c:v>-135.751</c:v>
                </c:pt>
                <c:pt idx="267">
                  <c:v>-137.57599999999999</c:v>
                </c:pt>
                <c:pt idx="268">
                  <c:v>-138.25</c:v>
                </c:pt>
                <c:pt idx="269">
                  <c:v>-138.07900000000001</c:v>
                </c:pt>
                <c:pt idx="270">
                  <c:v>-137.59100000000001</c:v>
                </c:pt>
                <c:pt idx="271">
                  <c:v>-137.08699999999999</c:v>
                </c:pt>
                <c:pt idx="272">
                  <c:v>-136.553</c:v>
                </c:pt>
                <c:pt idx="273">
                  <c:v>-136.001</c:v>
                </c:pt>
                <c:pt idx="274">
                  <c:v>-135.524</c:v>
                </c:pt>
                <c:pt idx="275">
                  <c:v>-134.983</c:v>
                </c:pt>
                <c:pt idx="276">
                  <c:v>-134.52199999999999</c:v>
                </c:pt>
                <c:pt idx="277">
                  <c:v>-134.059</c:v>
                </c:pt>
                <c:pt idx="278">
                  <c:v>-133.65100000000001</c:v>
                </c:pt>
                <c:pt idx="279">
                  <c:v>-133.24799999999999</c:v>
                </c:pt>
                <c:pt idx="280">
                  <c:v>-132.86600000000001</c:v>
                </c:pt>
                <c:pt idx="281">
                  <c:v>-132.49799999999999</c:v>
                </c:pt>
                <c:pt idx="282">
                  <c:v>-132.279</c:v>
                </c:pt>
                <c:pt idx="283">
                  <c:v>-132.03399999999999</c:v>
                </c:pt>
                <c:pt idx="284">
                  <c:v>-131.40799999999999</c:v>
                </c:pt>
                <c:pt idx="285">
                  <c:v>-131.172</c:v>
                </c:pt>
                <c:pt idx="286">
                  <c:v>-130.929</c:v>
                </c:pt>
                <c:pt idx="287">
                  <c:v>-130.88900000000001</c:v>
                </c:pt>
                <c:pt idx="288">
                  <c:v>-130.62200000000001</c:v>
                </c:pt>
                <c:pt idx="289">
                  <c:v>-130.36099999999999</c:v>
                </c:pt>
                <c:pt idx="290">
                  <c:v>-130.17400000000001</c:v>
                </c:pt>
                <c:pt idx="291">
                  <c:v>-130.05699999999999</c:v>
                </c:pt>
                <c:pt idx="292">
                  <c:v>-130.11600000000001</c:v>
                </c:pt>
                <c:pt idx="293">
                  <c:v>-129.97300000000001</c:v>
                </c:pt>
                <c:pt idx="294">
                  <c:v>-129.96199999999999</c:v>
                </c:pt>
                <c:pt idx="295">
                  <c:v>-129.73099999999999</c:v>
                </c:pt>
                <c:pt idx="296">
                  <c:v>-129.68299999999999</c:v>
                </c:pt>
                <c:pt idx="297">
                  <c:v>-129.64400000000001</c:v>
                </c:pt>
                <c:pt idx="298">
                  <c:v>-129.63</c:v>
                </c:pt>
                <c:pt idx="299">
                  <c:v>-129.62100000000001</c:v>
                </c:pt>
                <c:pt idx="300">
                  <c:v>-129.59</c:v>
                </c:pt>
                <c:pt idx="301">
                  <c:v>-129.61099999999999</c:v>
                </c:pt>
                <c:pt idx="302">
                  <c:v>-129.61699999999999</c:v>
                </c:pt>
                <c:pt idx="303">
                  <c:v>-129.57599999999999</c:v>
                </c:pt>
                <c:pt idx="304">
                  <c:v>-129.52799999999999</c:v>
                </c:pt>
                <c:pt idx="305">
                  <c:v>-129.44300000000001</c:v>
                </c:pt>
                <c:pt idx="306">
                  <c:v>-129.58500000000001</c:v>
                </c:pt>
                <c:pt idx="307">
                  <c:v>-129.61699999999999</c:v>
                </c:pt>
                <c:pt idx="308">
                  <c:v>-129.863</c:v>
                </c:pt>
                <c:pt idx="309">
                  <c:v>-130.31299999999999</c:v>
                </c:pt>
                <c:pt idx="310">
                  <c:v>-130.77099999999999</c:v>
                </c:pt>
                <c:pt idx="311">
                  <c:v>-131.42599999999999</c:v>
                </c:pt>
                <c:pt idx="312">
                  <c:v>-132.06399999999999</c:v>
                </c:pt>
                <c:pt idx="313">
                  <c:v>-132.62899999999999</c:v>
                </c:pt>
                <c:pt idx="314">
                  <c:v>-133.267</c:v>
                </c:pt>
                <c:pt idx="315">
                  <c:v>-133.959</c:v>
                </c:pt>
                <c:pt idx="316">
                  <c:v>-134.75200000000001</c:v>
                </c:pt>
                <c:pt idx="317">
                  <c:v>-135.72399999999999</c:v>
                </c:pt>
                <c:pt idx="318">
                  <c:v>-136.34200000000001</c:v>
                </c:pt>
                <c:pt idx="319">
                  <c:v>-136.816</c:v>
                </c:pt>
                <c:pt idx="320">
                  <c:v>-137.47</c:v>
                </c:pt>
                <c:pt idx="321">
                  <c:v>-137.46899999999999</c:v>
                </c:pt>
                <c:pt idx="322">
                  <c:v>-138.31200000000001</c:v>
                </c:pt>
                <c:pt idx="323">
                  <c:v>-140.114</c:v>
                </c:pt>
                <c:pt idx="324">
                  <c:v>-141.173</c:v>
                </c:pt>
                <c:pt idx="325">
                  <c:v>-141.86199999999999</c:v>
                </c:pt>
                <c:pt idx="326">
                  <c:v>-143.41399999999999</c:v>
                </c:pt>
                <c:pt idx="327">
                  <c:v>-144.279</c:v>
                </c:pt>
                <c:pt idx="328">
                  <c:v>-145.40799999999999</c:v>
                </c:pt>
                <c:pt idx="329">
                  <c:v>-146.886</c:v>
                </c:pt>
                <c:pt idx="330">
                  <c:v>-147.23699999999999</c:v>
                </c:pt>
                <c:pt idx="331">
                  <c:v>-148.923</c:v>
                </c:pt>
                <c:pt idx="332">
                  <c:v>-149.92099999999999</c:v>
                </c:pt>
                <c:pt idx="333">
                  <c:v>-151.101</c:v>
                </c:pt>
                <c:pt idx="334">
                  <c:v>-153.08699999999999</c:v>
                </c:pt>
                <c:pt idx="335">
                  <c:v>-154.70699999999999</c:v>
                </c:pt>
                <c:pt idx="336">
                  <c:v>-156.46</c:v>
                </c:pt>
                <c:pt idx="337">
                  <c:v>-158.77500000000001</c:v>
                </c:pt>
                <c:pt idx="338">
                  <c:v>-161.529</c:v>
                </c:pt>
                <c:pt idx="339">
                  <c:v>-163.59700000000001</c:v>
                </c:pt>
                <c:pt idx="340">
                  <c:v>-165.89599999999999</c:v>
                </c:pt>
                <c:pt idx="341">
                  <c:v>-168.07</c:v>
                </c:pt>
                <c:pt idx="342">
                  <c:v>-170.82400000000001</c:v>
                </c:pt>
                <c:pt idx="343">
                  <c:v>-173.35300000000001</c:v>
                </c:pt>
                <c:pt idx="344">
                  <c:v>-175.80699999999999</c:v>
                </c:pt>
                <c:pt idx="345">
                  <c:v>-177.72399999999999</c:v>
                </c:pt>
                <c:pt idx="346">
                  <c:v>-178.92099999999999</c:v>
                </c:pt>
                <c:pt idx="347">
                  <c:v>-181.99</c:v>
                </c:pt>
                <c:pt idx="348">
                  <c:v>-183.36099999999999</c:v>
                </c:pt>
                <c:pt idx="349">
                  <c:v>-186.209</c:v>
                </c:pt>
                <c:pt idx="350">
                  <c:v>-189.75</c:v>
                </c:pt>
                <c:pt idx="351">
                  <c:v>-192.398</c:v>
                </c:pt>
                <c:pt idx="352">
                  <c:v>-194.60300000000001</c:v>
                </c:pt>
                <c:pt idx="353">
                  <c:v>-197.85300000000001</c:v>
                </c:pt>
                <c:pt idx="354">
                  <c:v>-200.482</c:v>
                </c:pt>
                <c:pt idx="355">
                  <c:v>-203.33199999999999</c:v>
                </c:pt>
                <c:pt idx="356">
                  <c:v>-205.19499999999999</c:v>
                </c:pt>
                <c:pt idx="357">
                  <c:v>-207.41</c:v>
                </c:pt>
                <c:pt idx="358">
                  <c:v>-210.39400000000001</c:v>
                </c:pt>
                <c:pt idx="359">
                  <c:v>-213.04300000000001</c:v>
                </c:pt>
                <c:pt idx="360">
                  <c:v>-214.58500000000001</c:v>
                </c:pt>
                <c:pt idx="361">
                  <c:v>-217.34299999999999</c:v>
                </c:pt>
                <c:pt idx="362">
                  <c:v>-219.017</c:v>
                </c:pt>
                <c:pt idx="363">
                  <c:v>-221.39400000000001</c:v>
                </c:pt>
                <c:pt idx="364">
                  <c:v>-223.214</c:v>
                </c:pt>
                <c:pt idx="365">
                  <c:v>-225.053</c:v>
                </c:pt>
                <c:pt idx="366">
                  <c:v>-226.50200000000001</c:v>
                </c:pt>
                <c:pt idx="367">
                  <c:v>131.81700000000001</c:v>
                </c:pt>
                <c:pt idx="368">
                  <c:v>129.95699999999999</c:v>
                </c:pt>
                <c:pt idx="369">
                  <c:v>126.41800000000001</c:v>
                </c:pt>
                <c:pt idx="370">
                  <c:v>125.40900000000001</c:v>
                </c:pt>
                <c:pt idx="371">
                  <c:v>124.027</c:v>
                </c:pt>
                <c:pt idx="372">
                  <c:v>122.795</c:v>
                </c:pt>
                <c:pt idx="373">
                  <c:v>121.76300000000001</c:v>
                </c:pt>
                <c:pt idx="374">
                  <c:v>121.762</c:v>
                </c:pt>
                <c:pt idx="375">
                  <c:v>119.89400000000001</c:v>
                </c:pt>
                <c:pt idx="376">
                  <c:v>119.196</c:v>
                </c:pt>
                <c:pt idx="377">
                  <c:v>116.889</c:v>
                </c:pt>
                <c:pt idx="378">
                  <c:v>117.324</c:v>
                </c:pt>
                <c:pt idx="379">
                  <c:v>115.142</c:v>
                </c:pt>
                <c:pt idx="380">
                  <c:v>115.247</c:v>
                </c:pt>
                <c:pt idx="381">
                  <c:v>113.164</c:v>
                </c:pt>
                <c:pt idx="382">
                  <c:v>112.872</c:v>
                </c:pt>
                <c:pt idx="383">
                  <c:v>110.592</c:v>
                </c:pt>
                <c:pt idx="384">
                  <c:v>111.01300000000001</c:v>
                </c:pt>
                <c:pt idx="385">
                  <c:v>109.21</c:v>
                </c:pt>
                <c:pt idx="386">
                  <c:v>107.553</c:v>
                </c:pt>
                <c:pt idx="387">
                  <c:v>107.324</c:v>
                </c:pt>
                <c:pt idx="388">
                  <c:v>105.50700000000001</c:v>
                </c:pt>
                <c:pt idx="389">
                  <c:v>105.28700000000001</c:v>
                </c:pt>
                <c:pt idx="390">
                  <c:v>105.286</c:v>
                </c:pt>
                <c:pt idx="391">
                  <c:v>105.187</c:v>
                </c:pt>
                <c:pt idx="392">
                  <c:v>104.541</c:v>
                </c:pt>
                <c:pt idx="393">
                  <c:v>103.205</c:v>
                </c:pt>
                <c:pt idx="394">
                  <c:v>103.91</c:v>
                </c:pt>
                <c:pt idx="395">
                  <c:v>102.337</c:v>
                </c:pt>
                <c:pt idx="396">
                  <c:v>100.33499999999999</c:v>
                </c:pt>
                <c:pt idx="397">
                  <c:v>100.20399999999999</c:v>
                </c:pt>
                <c:pt idx="398">
                  <c:v>99.956599999999995</c:v>
                </c:pt>
                <c:pt idx="399">
                  <c:v>98.699600000000004</c:v>
                </c:pt>
              </c:numCache>
            </c:numRef>
          </c:yVal>
          <c:smooth val="0"/>
          <c:extLst>
            <c:ext xmlns:c16="http://schemas.microsoft.com/office/drawing/2014/chart" uri="{C3380CC4-5D6E-409C-BE32-E72D297353CC}">
              <c16:uniqueId val="{00000003-F0C2-4983-97E7-558C9F8AD757}"/>
            </c:ext>
          </c:extLst>
        </c:ser>
        <c:dLbls>
          <c:showLegendKey val="0"/>
          <c:showVal val="0"/>
          <c:showCatName val="0"/>
          <c:showSerName val="0"/>
          <c:showPercent val="0"/>
          <c:showBubbleSize val="0"/>
        </c:dLbls>
        <c:axId val="156824704"/>
        <c:axId val="156826240"/>
      </c:scatterChart>
      <c:valAx>
        <c:axId val="156820224"/>
        <c:scaling>
          <c:logBase val="10"/>
          <c:orientation val="minMax"/>
          <c:max val="10000000"/>
          <c:min val="1000"/>
        </c:scaling>
        <c:delete val="0"/>
        <c:axPos val="b"/>
        <c:title>
          <c:tx>
            <c:rich>
              <a:bodyPr/>
              <a:lstStyle/>
              <a:p>
                <a:pPr>
                  <a:defRPr sz="800" b="1" i="0" u="none" strike="noStrike" baseline="0">
                    <a:solidFill>
                      <a:srgbClr val="000000"/>
                    </a:solidFill>
                    <a:latin typeface="Arial"/>
                    <a:ea typeface="Arial"/>
                    <a:cs typeface="Arial"/>
                  </a:defRPr>
                </a:pPr>
                <a:r>
                  <a:rPr lang="en-US"/>
                  <a:t>Frequency (Hz)</a:t>
                </a:r>
              </a:p>
            </c:rich>
          </c:tx>
          <c:layout>
            <c:manualLayout>
              <c:xMode val="edge"/>
              <c:yMode val="edge"/>
              <c:x val="0.43297177526722869"/>
              <c:y val="0.88311797388962088"/>
            </c:manualLayout>
          </c:layout>
          <c:overlay val="0"/>
          <c:spPr>
            <a:noFill/>
            <a:ln w="25400">
              <a:noFill/>
            </a:ln>
          </c:spPr>
        </c:title>
        <c:numFmt formatCode="General" sourceLinked="1"/>
        <c:majorTickMark val="out"/>
        <c:minorTickMark val="in"/>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56822528"/>
        <c:crossesAt val="-80"/>
        <c:crossBetween val="midCat"/>
      </c:valAx>
      <c:valAx>
        <c:axId val="156822528"/>
        <c:scaling>
          <c:orientation val="minMax"/>
          <c:min val="-60"/>
        </c:scaling>
        <c:delete val="0"/>
        <c:axPos val="l"/>
        <c:majorGridlines>
          <c:spPr>
            <a:ln w="3175">
              <a:solidFill>
                <a:srgbClr val="000000"/>
              </a:solidFill>
              <a:prstDash val="solid"/>
            </a:ln>
          </c:spPr>
        </c:majorGridlines>
        <c:title>
          <c:tx>
            <c:rich>
              <a:bodyPr/>
              <a:lstStyle/>
              <a:p>
                <a:pPr>
                  <a:defRPr sz="800" b="1" i="0" u="none" strike="noStrike" baseline="0">
                    <a:solidFill>
                      <a:srgbClr val="000000"/>
                    </a:solidFill>
                    <a:latin typeface="Arial"/>
                    <a:ea typeface="Arial"/>
                    <a:cs typeface="Arial"/>
                  </a:defRPr>
                </a:pPr>
                <a:r>
                  <a:rPr lang="en-US"/>
                  <a:t>Gain (db)</a:t>
                </a:r>
              </a:p>
            </c:rich>
          </c:tx>
          <c:layout>
            <c:manualLayout>
              <c:xMode val="edge"/>
              <c:yMode val="edge"/>
              <c:x val="3.0797101449275412E-2"/>
              <c:y val="0.4415589869448189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56820224"/>
        <c:crosses val="autoZero"/>
        <c:crossBetween val="midCat"/>
      </c:valAx>
      <c:valAx>
        <c:axId val="156824704"/>
        <c:scaling>
          <c:logBase val="10"/>
          <c:orientation val="minMax"/>
        </c:scaling>
        <c:delete val="1"/>
        <c:axPos val="b"/>
        <c:numFmt formatCode="General" sourceLinked="1"/>
        <c:majorTickMark val="out"/>
        <c:minorTickMark val="none"/>
        <c:tickLblPos val="none"/>
        <c:crossAx val="156826240"/>
        <c:crosses val="autoZero"/>
        <c:crossBetween val="midCat"/>
      </c:valAx>
      <c:valAx>
        <c:axId val="156826240"/>
        <c:scaling>
          <c:orientation val="minMax"/>
        </c:scaling>
        <c:delete val="0"/>
        <c:axPos val="r"/>
        <c:title>
          <c:tx>
            <c:rich>
              <a:bodyPr/>
              <a:lstStyle/>
              <a:p>
                <a:pPr>
                  <a:defRPr sz="800" b="1" i="0" u="none" strike="noStrike" baseline="0">
                    <a:solidFill>
                      <a:srgbClr val="000000"/>
                    </a:solidFill>
                    <a:latin typeface="Arial"/>
                    <a:ea typeface="Arial"/>
                    <a:cs typeface="Arial"/>
                  </a:defRPr>
                </a:pPr>
                <a:r>
                  <a:rPr lang="en-US"/>
                  <a:t>Phase Margin (Deg)</a:t>
                </a:r>
              </a:p>
            </c:rich>
          </c:tx>
          <c:layout>
            <c:manualLayout>
              <c:xMode val="edge"/>
              <c:yMode val="edge"/>
              <c:x val="0.95471185667010505"/>
              <c:y val="0.36623431162013825"/>
            </c:manualLayout>
          </c:layout>
          <c:overlay val="0"/>
          <c:spPr>
            <a:noFill/>
            <a:ln w="25400">
              <a:noFill/>
            </a:ln>
          </c:spPr>
        </c:title>
        <c:numFmt formatCode="General" sourceLinked="1"/>
        <c:majorTickMark val="cross"/>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56824704"/>
        <c:crosses val="max"/>
        <c:crossBetween val="midCat"/>
      </c:valAx>
      <c:spPr>
        <a:noFill/>
        <a:ln w="12700">
          <a:solidFill>
            <a:srgbClr val="808080"/>
          </a:solidFill>
          <a:prstDash val="solid"/>
        </a:ln>
      </c:spPr>
    </c:plotArea>
    <c:legend>
      <c:legendPos val="t"/>
      <c:layout>
        <c:manualLayout>
          <c:xMode val="edge"/>
          <c:yMode val="edge"/>
          <c:x val="0.70471147628286246"/>
          <c:y val="1.2987012987012988E-2"/>
          <c:w val="0.275362889421434"/>
          <c:h val="0.14545481814773328"/>
        </c:manualLayout>
      </c:layout>
      <c:overlay val="0"/>
      <c:spPr>
        <a:solidFill>
          <a:srgbClr val="FFFFFF"/>
        </a:solidFill>
        <a:ln w="3175">
          <a:solidFill>
            <a:srgbClr val="000000"/>
          </a:solidFill>
          <a:prstDash val="solid"/>
        </a:ln>
      </c:spPr>
      <c:txPr>
        <a:bodyPr/>
        <a:lstStyle/>
        <a:p>
          <a:pPr>
            <a:defRPr sz="67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75" b="1" i="0" u="none" strike="noStrike" baseline="0">
                <a:solidFill>
                  <a:srgbClr val="000000"/>
                </a:solidFill>
                <a:latin typeface="Arial"/>
                <a:ea typeface="Arial"/>
                <a:cs typeface="Arial"/>
              </a:defRPr>
            </a:pPr>
            <a:r>
              <a:rPr lang="en-US"/>
              <a:t> MOSFET Temp Rise</a:t>
            </a:r>
          </a:p>
        </c:rich>
      </c:tx>
      <c:layout>
        <c:manualLayout>
          <c:xMode val="edge"/>
          <c:yMode val="edge"/>
          <c:x val="0.42444773564332877"/>
          <c:y val="5.7239057239057242E-2"/>
        </c:manualLayout>
      </c:layout>
      <c:overlay val="0"/>
      <c:spPr>
        <a:noFill/>
        <a:ln w="25400">
          <a:noFill/>
        </a:ln>
      </c:spPr>
    </c:title>
    <c:autoTitleDeleted val="0"/>
    <c:plotArea>
      <c:layout>
        <c:manualLayout>
          <c:layoutTarget val="inner"/>
          <c:xMode val="edge"/>
          <c:yMode val="edge"/>
          <c:x val="0.13531808670268541"/>
          <c:y val="0.15757606845026306"/>
          <c:w val="0.84573804189178381"/>
          <c:h val="0.71717313204926625"/>
        </c:manualLayout>
      </c:layout>
      <c:scatterChart>
        <c:scatterStyle val="lineMarker"/>
        <c:varyColors val="0"/>
        <c:ser>
          <c:idx val="0"/>
          <c:order val="0"/>
          <c:tx>
            <c:v>Top FET</c:v>
          </c:tx>
          <c:spPr>
            <a:ln w="38100">
              <a:solidFill>
                <a:srgbClr val="000080"/>
              </a:solidFill>
              <a:prstDash val="solid"/>
            </a:ln>
          </c:spPr>
          <c:marker>
            <c:symbol val="none"/>
          </c:marker>
          <c:xVal>
            <c:numRef>
              <c:f>'Power Calculations'!$H$9:$H$209</c:f>
              <c:numCache>
                <c:formatCode>General</c:formatCode>
                <c:ptCount val="201"/>
                <c:pt idx="0">
                  <c:v>0</c:v>
                </c:pt>
                <c:pt idx="1">
                  <c:v>4.4999999999999998E-2</c:v>
                </c:pt>
                <c:pt idx="2">
                  <c:v>0.09</c:v>
                </c:pt>
                <c:pt idx="3">
                  <c:v>0.13500000000000001</c:v>
                </c:pt>
                <c:pt idx="4">
                  <c:v>0.18</c:v>
                </c:pt>
                <c:pt idx="5">
                  <c:v>0.22500000000000001</c:v>
                </c:pt>
                <c:pt idx="6">
                  <c:v>0.27</c:v>
                </c:pt>
                <c:pt idx="7">
                  <c:v>0.31500000000000006</c:v>
                </c:pt>
                <c:pt idx="8">
                  <c:v>0.36</c:v>
                </c:pt>
                <c:pt idx="9">
                  <c:v>0.40499999999999997</c:v>
                </c:pt>
                <c:pt idx="10">
                  <c:v>0.45</c:v>
                </c:pt>
                <c:pt idx="11">
                  <c:v>0.495</c:v>
                </c:pt>
                <c:pt idx="12">
                  <c:v>0.54</c:v>
                </c:pt>
                <c:pt idx="13">
                  <c:v>0.58499999999999996</c:v>
                </c:pt>
                <c:pt idx="14">
                  <c:v>0.63000000000000012</c:v>
                </c:pt>
                <c:pt idx="15">
                  <c:v>0.67499999999999993</c:v>
                </c:pt>
                <c:pt idx="16">
                  <c:v>0.72</c:v>
                </c:pt>
                <c:pt idx="17">
                  <c:v>0.76500000000000001</c:v>
                </c:pt>
                <c:pt idx="18">
                  <c:v>0.80999999999999994</c:v>
                </c:pt>
                <c:pt idx="19">
                  <c:v>0.85499999999999998</c:v>
                </c:pt>
                <c:pt idx="20">
                  <c:v>0.9</c:v>
                </c:pt>
                <c:pt idx="21">
                  <c:v>0.94499999999999995</c:v>
                </c:pt>
                <c:pt idx="22">
                  <c:v>0.99</c:v>
                </c:pt>
                <c:pt idx="23">
                  <c:v>1.0350000000000001</c:v>
                </c:pt>
                <c:pt idx="24">
                  <c:v>1.08</c:v>
                </c:pt>
                <c:pt idx="25">
                  <c:v>1.125</c:v>
                </c:pt>
                <c:pt idx="26">
                  <c:v>1.17</c:v>
                </c:pt>
                <c:pt idx="27">
                  <c:v>1.2150000000000001</c:v>
                </c:pt>
                <c:pt idx="28">
                  <c:v>1.2600000000000002</c:v>
                </c:pt>
                <c:pt idx="29">
                  <c:v>1.3049999999999999</c:v>
                </c:pt>
                <c:pt idx="30">
                  <c:v>1.3499999999999999</c:v>
                </c:pt>
                <c:pt idx="31">
                  <c:v>1.395</c:v>
                </c:pt>
                <c:pt idx="32">
                  <c:v>1.44</c:v>
                </c:pt>
                <c:pt idx="33">
                  <c:v>1.4850000000000001</c:v>
                </c:pt>
                <c:pt idx="34">
                  <c:v>1.53</c:v>
                </c:pt>
                <c:pt idx="35">
                  <c:v>1.575</c:v>
                </c:pt>
                <c:pt idx="36">
                  <c:v>1.6199999999999999</c:v>
                </c:pt>
                <c:pt idx="37">
                  <c:v>1.665</c:v>
                </c:pt>
                <c:pt idx="38">
                  <c:v>1.71</c:v>
                </c:pt>
                <c:pt idx="39">
                  <c:v>1.7550000000000001</c:v>
                </c:pt>
                <c:pt idx="40">
                  <c:v>1.8</c:v>
                </c:pt>
                <c:pt idx="41">
                  <c:v>1.845</c:v>
                </c:pt>
                <c:pt idx="42">
                  <c:v>1.89</c:v>
                </c:pt>
                <c:pt idx="43">
                  <c:v>1.9350000000000001</c:v>
                </c:pt>
                <c:pt idx="44">
                  <c:v>1.98</c:v>
                </c:pt>
                <c:pt idx="45">
                  <c:v>2.0249999999999999</c:v>
                </c:pt>
                <c:pt idx="46">
                  <c:v>2.0700000000000003</c:v>
                </c:pt>
                <c:pt idx="47">
                  <c:v>2.1149999999999998</c:v>
                </c:pt>
                <c:pt idx="48">
                  <c:v>2.16</c:v>
                </c:pt>
                <c:pt idx="49">
                  <c:v>2.2050000000000001</c:v>
                </c:pt>
                <c:pt idx="50">
                  <c:v>2.25</c:v>
                </c:pt>
                <c:pt idx="51">
                  <c:v>2.2949999999999999</c:v>
                </c:pt>
                <c:pt idx="52">
                  <c:v>2.34</c:v>
                </c:pt>
                <c:pt idx="53">
                  <c:v>2.3850000000000002</c:v>
                </c:pt>
                <c:pt idx="54">
                  <c:v>2.4300000000000002</c:v>
                </c:pt>
                <c:pt idx="55">
                  <c:v>2.4750000000000001</c:v>
                </c:pt>
                <c:pt idx="56">
                  <c:v>2.5200000000000005</c:v>
                </c:pt>
                <c:pt idx="57">
                  <c:v>2.5649999999999999</c:v>
                </c:pt>
                <c:pt idx="58">
                  <c:v>2.61</c:v>
                </c:pt>
                <c:pt idx="59">
                  <c:v>2.6549999999999998</c:v>
                </c:pt>
                <c:pt idx="60">
                  <c:v>2.6999999999999997</c:v>
                </c:pt>
                <c:pt idx="61">
                  <c:v>2.7450000000000001</c:v>
                </c:pt>
                <c:pt idx="62">
                  <c:v>2.79</c:v>
                </c:pt>
                <c:pt idx="63">
                  <c:v>2.835</c:v>
                </c:pt>
                <c:pt idx="64">
                  <c:v>2.88</c:v>
                </c:pt>
                <c:pt idx="65">
                  <c:v>2.9250000000000003</c:v>
                </c:pt>
                <c:pt idx="66">
                  <c:v>2.97</c:v>
                </c:pt>
                <c:pt idx="67">
                  <c:v>3.0150000000000001</c:v>
                </c:pt>
                <c:pt idx="68">
                  <c:v>3.06</c:v>
                </c:pt>
                <c:pt idx="69">
                  <c:v>3.1049999999999995</c:v>
                </c:pt>
                <c:pt idx="70">
                  <c:v>3.15</c:v>
                </c:pt>
                <c:pt idx="71">
                  <c:v>3.1949999999999998</c:v>
                </c:pt>
                <c:pt idx="72">
                  <c:v>3.2399999999999998</c:v>
                </c:pt>
                <c:pt idx="73">
                  <c:v>3.2850000000000001</c:v>
                </c:pt>
                <c:pt idx="74">
                  <c:v>3.33</c:v>
                </c:pt>
                <c:pt idx="75">
                  <c:v>3.375</c:v>
                </c:pt>
                <c:pt idx="76">
                  <c:v>3.42</c:v>
                </c:pt>
                <c:pt idx="77">
                  <c:v>3.4649999999999999</c:v>
                </c:pt>
                <c:pt idx="78">
                  <c:v>3.5100000000000002</c:v>
                </c:pt>
                <c:pt idx="79">
                  <c:v>3.5550000000000002</c:v>
                </c:pt>
                <c:pt idx="80">
                  <c:v>3.6</c:v>
                </c:pt>
                <c:pt idx="81">
                  <c:v>3.6450000000000005</c:v>
                </c:pt>
                <c:pt idx="82">
                  <c:v>3.69</c:v>
                </c:pt>
                <c:pt idx="83">
                  <c:v>3.7349999999999999</c:v>
                </c:pt>
                <c:pt idx="84">
                  <c:v>3.78</c:v>
                </c:pt>
                <c:pt idx="85">
                  <c:v>3.8249999999999997</c:v>
                </c:pt>
                <c:pt idx="86">
                  <c:v>3.87</c:v>
                </c:pt>
                <c:pt idx="87">
                  <c:v>3.915</c:v>
                </c:pt>
                <c:pt idx="88">
                  <c:v>3.96</c:v>
                </c:pt>
                <c:pt idx="89">
                  <c:v>4.0049999999999999</c:v>
                </c:pt>
                <c:pt idx="90">
                  <c:v>4.05</c:v>
                </c:pt>
                <c:pt idx="91">
                  <c:v>4.0949999999999998</c:v>
                </c:pt>
                <c:pt idx="92">
                  <c:v>4.1400000000000006</c:v>
                </c:pt>
                <c:pt idx="93">
                  <c:v>4.1850000000000005</c:v>
                </c:pt>
                <c:pt idx="94">
                  <c:v>4.2299999999999995</c:v>
                </c:pt>
                <c:pt idx="95">
                  <c:v>4.2749999999999995</c:v>
                </c:pt>
                <c:pt idx="96">
                  <c:v>4.32</c:v>
                </c:pt>
                <c:pt idx="97">
                  <c:v>4.3650000000000002</c:v>
                </c:pt>
                <c:pt idx="98">
                  <c:v>4.41</c:v>
                </c:pt>
                <c:pt idx="99">
                  <c:v>4.4550000000000001</c:v>
                </c:pt>
                <c:pt idx="100">
                  <c:v>4.5</c:v>
                </c:pt>
                <c:pt idx="101">
                  <c:v>4.5449999999999999</c:v>
                </c:pt>
                <c:pt idx="102">
                  <c:v>4.59</c:v>
                </c:pt>
                <c:pt idx="103">
                  <c:v>4.6349999999999998</c:v>
                </c:pt>
                <c:pt idx="104">
                  <c:v>4.68</c:v>
                </c:pt>
                <c:pt idx="105">
                  <c:v>4.7250000000000005</c:v>
                </c:pt>
                <c:pt idx="106">
                  <c:v>4.7700000000000005</c:v>
                </c:pt>
                <c:pt idx="107">
                  <c:v>4.8150000000000004</c:v>
                </c:pt>
                <c:pt idx="108">
                  <c:v>4.8600000000000003</c:v>
                </c:pt>
                <c:pt idx="109">
                  <c:v>4.9050000000000002</c:v>
                </c:pt>
                <c:pt idx="110">
                  <c:v>4.95</c:v>
                </c:pt>
                <c:pt idx="111">
                  <c:v>4.9950000000000001</c:v>
                </c:pt>
                <c:pt idx="112">
                  <c:v>5.0400000000000009</c:v>
                </c:pt>
                <c:pt idx="113">
                  <c:v>5.0849999999999991</c:v>
                </c:pt>
                <c:pt idx="114">
                  <c:v>5.13</c:v>
                </c:pt>
                <c:pt idx="115">
                  <c:v>5.1749999999999998</c:v>
                </c:pt>
                <c:pt idx="116">
                  <c:v>5.22</c:v>
                </c:pt>
                <c:pt idx="117">
                  <c:v>5.2649999999999997</c:v>
                </c:pt>
                <c:pt idx="118">
                  <c:v>5.31</c:v>
                </c:pt>
                <c:pt idx="119">
                  <c:v>5.3549999999999995</c:v>
                </c:pt>
                <c:pt idx="120">
                  <c:v>5.3999999999999995</c:v>
                </c:pt>
                <c:pt idx="121">
                  <c:v>5.4450000000000003</c:v>
                </c:pt>
                <c:pt idx="122">
                  <c:v>5.49</c:v>
                </c:pt>
                <c:pt idx="123">
                  <c:v>5.5350000000000001</c:v>
                </c:pt>
                <c:pt idx="124">
                  <c:v>5.58</c:v>
                </c:pt>
                <c:pt idx="125">
                  <c:v>5.625</c:v>
                </c:pt>
                <c:pt idx="126">
                  <c:v>5.67</c:v>
                </c:pt>
                <c:pt idx="127">
                  <c:v>5.7149999999999999</c:v>
                </c:pt>
                <c:pt idx="128">
                  <c:v>5.76</c:v>
                </c:pt>
                <c:pt idx="129">
                  <c:v>5.8049999999999997</c:v>
                </c:pt>
                <c:pt idx="130">
                  <c:v>5.8500000000000005</c:v>
                </c:pt>
                <c:pt idx="131">
                  <c:v>5.8950000000000005</c:v>
                </c:pt>
                <c:pt idx="132">
                  <c:v>5.94</c:v>
                </c:pt>
                <c:pt idx="133">
                  <c:v>5.9850000000000003</c:v>
                </c:pt>
                <c:pt idx="134">
                  <c:v>6.03</c:v>
                </c:pt>
                <c:pt idx="135">
                  <c:v>6.0750000000000002</c:v>
                </c:pt>
                <c:pt idx="136">
                  <c:v>6.12</c:v>
                </c:pt>
                <c:pt idx="137">
                  <c:v>6.1650000000000009</c:v>
                </c:pt>
                <c:pt idx="138">
                  <c:v>6.2099999999999991</c:v>
                </c:pt>
                <c:pt idx="139">
                  <c:v>6.2549999999999999</c:v>
                </c:pt>
                <c:pt idx="140">
                  <c:v>6.3</c:v>
                </c:pt>
                <c:pt idx="141">
                  <c:v>6.3449999999999998</c:v>
                </c:pt>
                <c:pt idx="142">
                  <c:v>6.39</c:v>
                </c:pt>
                <c:pt idx="143">
                  <c:v>6.4349999999999996</c:v>
                </c:pt>
                <c:pt idx="144">
                  <c:v>6.4799999999999995</c:v>
                </c:pt>
                <c:pt idx="145">
                  <c:v>6.5249999999999995</c:v>
                </c:pt>
                <c:pt idx="146">
                  <c:v>6.57</c:v>
                </c:pt>
                <c:pt idx="147">
                  <c:v>6.6150000000000002</c:v>
                </c:pt>
                <c:pt idx="148">
                  <c:v>6.66</c:v>
                </c:pt>
                <c:pt idx="149">
                  <c:v>6.7050000000000001</c:v>
                </c:pt>
                <c:pt idx="150">
                  <c:v>6.75</c:v>
                </c:pt>
                <c:pt idx="151">
                  <c:v>6.7949999999999999</c:v>
                </c:pt>
                <c:pt idx="152">
                  <c:v>6.84</c:v>
                </c:pt>
                <c:pt idx="153">
                  <c:v>6.8849999999999998</c:v>
                </c:pt>
                <c:pt idx="154">
                  <c:v>6.93</c:v>
                </c:pt>
                <c:pt idx="155">
                  <c:v>6.9750000000000005</c:v>
                </c:pt>
                <c:pt idx="156">
                  <c:v>7.0200000000000005</c:v>
                </c:pt>
                <c:pt idx="157">
                  <c:v>7.0650000000000004</c:v>
                </c:pt>
                <c:pt idx="158">
                  <c:v>7.11</c:v>
                </c:pt>
                <c:pt idx="159">
                  <c:v>7.1550000000000002</c:v>
                </c:pt>
                <c:pt idx="160">
                  <c:v>7.2</c:v>
                </c:pt>
                <c:pt idx="161">
                  <c:v>7.2450000000000001</c:v>
                </c:pt>
                <c:pt idx="162">
                  <c:v>7.2900000000000009</c:v>
                </c:pt>
                <c:pt idx="163">
                  <c:v>7.3349999999999991</c:v>
                </c:pt>
                <c:pt idx="164">
                  <c:v>7.38</c:v>
                </c:pt>
                <c:pt idx="165">
                  <c:v>7.4249999999999998</c:v>
                </c:pt>
                <c:pt idx="166">
                  <c:v>7.47</c:v>
                </c:pt>
                <c:pt idx="167">
                  <c:v>7.5149999999999997</c:v>
                </c:pt>
                <c:pt idx="168">
                  <c:v>7.56</c:v>
                </c:pt>
                <c:pt idx="169">
                  <c:v>7.6049999999999995</c:v>
                </c:pt>
                <c:pt idx="170">
                  <c:v>7.6499999999999995</c:v>
                </c:pt>
                <c:pt idx="171">
                  <c:v>7.6950000000000003</c:v>
                </c:pt>
                <c:pt idx="172">
                  <c:v>7.74</c:v>
                </c:pt>
                <c:pt idx="173">
                  <c:v>7.7850000000000001</c:v>
                </c:pt>
                <c:pt idx="174">
                  <c:v>7.83</c:v>
                </c:pt>
                <c:pt idx="175">
                  <c:v>7.875</c:v>
                </c:pt>
                <c:pt idx="176">
                  <c:v>7.92</c:v>
                </c:pt>
                <c:pt idx="177">
                  <c:v>7.9649999999999999</c:v>
                </c:pt>
                <c:pt idx="178">
                  <c:v>8.01</c:v>
                </c:pt>
                <c:pt idx="179">
                  <c:v>8.0549999999999997</c:v>
                </c:pt>
                <c:pt idx="180">
                  <c:v>8.1</c:v>
                </c:pt>
                <c:pt idx="181">
                  <c:v>8.1449999999999996</c:v>
                </c:pt>
                <c:pt idx="182">
                  <c:v>8.19</c:v>
                </c:pt>
                <c:pt idx="183">
                  <c:v>8.2349999999999994</c:v>
                </c:pt>
                <c:pt idx="184">
                  <c:v>8.2800000000000011</c:v>
                </c:pt>
                <c:pt idx="185">
                  <c:v>8.3250000000000011</c:v>
                </c:pt>
                <c:pt idx="186">
                  <c:v>8.370000000000001</c:v>
                </c:pt>
                <c:pt idx="187">
                  <c:v>8.4150000000000009</c:v>
                </c:pt>
                <c:pt idx="188">
                  <c:v>8.4599999999999991</c:v>
                </c:pt>
                <c:pt idx="189">
                  <c:v>8.504999999999999</c:v>
                </c:pt>
                <c:pt idx="190">
                  <c:v>8.5499999999999989</c:v>
                </c:pt>
                <c:pt idx="191">
                  <c:v>8.5949999999999989</c:v>
                </c:pt>
                <c:pt idx="192">
                  <c:v>8.64</c:v>
                </c:pt>
                <c:pt idx="193">
                  <c:v>8.6850000000000005</c:v>
                </c:pt>
                <c:pt idx="194">
                  <c:v>8.73</c:v>
                </c:pt>
                <c:pt idx="195">
                  <c:v>8.7750000000000004</c:v>
                </c:pt>
                <c:pt idx="196">
                  <c:v>8.82</c:v>
                </c:pt>
                <c:pt idx="197">
                  <c:v>8.8650000000000002</c:v>
                </c:pt>
                <c:pt idx="198">
                  <c:v>8.91</c:v>
                </c:pt>
                <c:pt idx="199">
                  <c:v>8.9550000000000001</c:v>
                </c:pt>
                <c:pt idx="200">
                  <c:v>9</c:v>
                </c:pt>
              </c:numCache>
            </c:numRef>
          </c:xVal>
          <c:yVal>
            <c:numRef>
              <c:f>'Power Calculations'!$AR$9:$AR$209</c:f>
              <c:numCache>
                <c:formatCode>0.0</c:formatCode>
                <c:ptCount val="201"/>
                <c:pt idx="0">
                  <c:v>1.1549551879955926</c:v>
                </c:pt>
                <c:pt idx="1">
                  <c:v>1.1618299030210582</c:v>
                </c:pt>
                <c:pt idx="2">
                  <c:v>1.5077499183473773</c:v>
                </c:pt>
                <c:pt idx="3">
                  <c:v>1.8507237249967206</c:v>
                </c:pt>
                <c:pt idx="4">
                  <c:v>2.190759464186852</c:v>
                </c:pt>
                <c:pt idx="5">
                  <c:v>2.5278651489778183</c:v>
                </c:pt>
                <c:pt idx="6">
                  <c:v>2.8620486647870509</c:v>
                </c:pt>
                <c:pt idx="7">
                  <c:v>3.1933177698905264</c:v>
                </c:pt>
                <c:pt idx="8">
                  <c:v>3.5216800959101082</c:v>
                </c:pt>
                <c:pt idx="9">
                  <c:v>3.8471431482871141</c:v>
                </c:pt>
                <c:pt idx="10">
                  <c:v>4.1697143067421507</c:v>
                </c:pt>
                <c:pt idx="11">
                  <c:v>4.4894008257213134</c:v>
                </c:pt>
                <c:pt idx="12">
                  <c:v>4.8062098348287643</c:v>
                </c:pt>
                <c:pt idx="13">
                  <c:v>5.1201483392457678</c:v>
                </c:pt>
                <c:pt idx="14">
                  <c:v>5.4312232201362152</c:v>
                </c:pt>
                <c:pt idx="15">
                  <c:v>5.7394412350386856</c:v>
                </c:pt>
                <c:pt idx="16">
                  <c:v>6.0448090182451173</c:v>
                </c:pt>
                <c:pt idx="17">
                  <c:v>6.3473330811660595</c:v>
                </c:pt>
                <c:pt idx="18">
                  <c:v>6.6470198126826183</c:v>
                </c:pt>
                <c:pt idx="19">
                  <c:v>6.9438754794851096</c:v>
                </c:pt>
                <c:pt idx="20">
                  <c:v>7.2379062263983807</c:v>
                </c:pt>
                <c:pt idx="21">
                  <c:v>7.5291180766939627</c:v>
                </c:pt>
                <c:pt idx="22">
                  <c:v>7.8175169323889611</c:v>
                </c:pt>
                <c:pt idx="23">
                  <c:v>8.1031085745317615</c:v>
                </c:pt>
                <c:pt idx="24">
                  <c:v>8.3858986634745811</c:v>
                </c:pt>
                <c:pt idx="25">
                  <c:v>8.5909221220953675</c:v>
                </c:pt>
                <c:pt idx="26">
                  <c:v>8.6959329944533881</c:v>
                </c:pt>
                <c:pt idx="27">
                  <c:v>8.8029440109145636</c:v>
                </c:pt>
                <c:pt idx="28">
                  <c:v>8.9119594180168278</c:v>
                </c:pt>
                <c:pt idx="29">
                  <c:v>9.022983557977053</c:v>
                </c:pt>
                <c:pt idx="30">
                  <c:v>9.1360208691673783</c:v>
                </c:pt>
                <c:pt idx="31">
                  <c:v>9.2510758866033029</c:v>
                </c:pt>
                <c:pt idx="32">
                  <c:v>9.3681532424436256</c:v>
                </c:pt>
                <c:pt idx="33">
                  <c:v>9.4872576665023729</c:v>
                </c:pt>
                <c:pt idx="34">
                  <c:v>9.6083939867728034</c:v>
                </c:pt>
                <c:pt idx="35">
                  <c:v>9.7315671299635689</c:v>
                </c:pt>
                <c:pt idx="36">
                  <c:v>9.8567821220472229</c:v>
                </c:pt>
                <c:pt idx="37">
                  <c:v>9.9840440888211184</c:v>
                </c:pt>
                <c:pt idx="38">
                  <c:v>10.113358256480868</c:v>
                </c:pt>
                <c:pt idx="39">
                  <c:v>10.24472995220645</c:v>
                </c:pt>
                <c:pt idx="40">
                  <c:v>10.378164604761142</c:v>
                </c:pt>
                <c:pt idx="41">
                  <c:v>10.513667745103325</c:v>
                </c:pt>
                <c:pt idx="42">
                  <c:v>10.651245007011386</c:v>
                </c:pt>
                <c:pt idx="43">
                  <c:v>10.790902127721818</c:v>
                </c:pt>
                <c:pt idx="44">
                  <c:v>10.932644948580588</c:v>
                </c:pt>
                <c:pt idx="45">
                  <c:v>11.07647941570807</c:v>
                </c:pt>
                <c:pt idx="46">
                  <c:v>11.222411580677528</c:v>
                </c:pt>
                <c:pt idx="47">
                  <c:v>11.370447601207383</c:v>
                </c:pt>
                <c:pt idx="48">
                  <c:v>11.520593741867444</c:v>
                </c:pt>
                <c:pt idx="49">
                  <c:v>11.672856374799158</c:v>
                </c:pt>
                <c:pt idx="50">
                  <c:v>11.827241980450138</c:v>
                </c:pt>
                <c:pt idx="51">
                  <c:v>11.983757148323088</c:v>
                </c:pt>
                <c:pt idx="52">
                  <c:v>12.142408577739285</c:v>
                </c:pt>
                <c:pt idx="53">
                  <c:v>12.303203078616821</c:v>
                </c:pt>
                <c:pt idx="54">
                  <c:v>12.466147572263734</c:v>
                </c:pt>
                <c:pt idx="55">
                  <c:v>12.631249092186268</c:v>
                </c:pt>
                <c:pt idx="56">
                  <c:v>12.798514784912392</c:v>
                </c:pt>
                <c:pt idx="57">
                  <c:v>12.967951910830752</c:v>
                </c:pt>
                <c:pt idx="58">
                  <c:v>13.139567845045375</c:v>
                </c:pt>
                <c:pt idx="59">
                  <c:v>13.313370078246074</c:v>
                </c:pt>
                <c:pt idx="60">
                  <c:v>13.489366217595062</c:v>
                </c:pt>
                <c:pt idx="61">
                  <c:v>13.667563987629686</c:v>
                </c:pt>
                <c:pt idx="62">
                  <c:v>13.847971231181694</c:v>
                </c:pt>
                <c:pt idx="63">
                  <c:v>14.030595910313162</c:v>
                </c:pt>
                <c:pt idx="64">
                  <c:v>14.215446107269305</c:v>
                </c:pt>
                <c:pt idx="65">
                  <c:v>14.402530025448364</c:v>
                </c:pt>
                <c:pt idx="66">
                  <c:v>14.591855990388909</c:v>
                </c:pt>
                <c:pt idx="67">
                  <c:v>14.783432450774619</c:v>
                </c:pt>
                <c:pt idx="68">
                  <c:v>14.977267979456936</c:v>
                </c:pt>
                <c:pt idx="69">
                  <c:v>15.173371274495706</c:v>
                </c:pt>
                <c:pt idx="70">
                  <c:v>15.371751160218158</c:v>
                </c:pt>
                <c:pt idx="71">
                  <c:v>15.572416588296385</c:v>
                </c:pt>
                <c:pt idx="72">
                  <c:v>15.775376638843632</c:v>
                </c:pt>
                <c:pt idx="73">
                  <c:v>15.980640521529665</c:v>
                </c:pt>
                <c:pt idx="74">
                  <c:v>16.188217576715427</c:v>
                </c:pt>
                <c:pt idx="75">
                  <c:v>16.398117276607305</c:v>
                </c:pt>
                <c:pt idx="76">
                  <c:v>16.610349226431278</c:v>
                </c:pt>
                <c:pt idx="77">
                  <c:v>16.824923165627229</c:v>
                </c:pt>
                <c:pt idx="78">
                  <c:v>17.04184896906369</c:v>
                </c:pt>
                <c:pt idx="79">
                  <c:v>17.261136648273318</c:v>
                </c:pt>
                <c:pt idx="80">
                  <c:v>17.482796352709482</c:v>
                </c:pt>
                <c:pt idx="81">
                  <c:v>17.706838371024098</c:v>
                </c:pt>
                <c:pt idx="82">
                  <c:v>17.933273132367248</c:v>
                </c:pt>
                <c:pt idx="83">
                  <c:v>18.162111207708719</c:v>
                </c:pt>
                <c:pt idx="84">
                  <c:v>18.393363311181862</c:v>
                </c:pt>
                <c:pt idx="85">
                  <c:v>18.627040301450119</c:v>
                </c:pt>
                <c:pt idx="86">
                  <c:v>18.863153183096578</c:v>
                </c:pt>
                <c:pt idx="87">
                  <c:v>19.101713108036783</c:v>
                </c:pt>
                <c:pt idx="88">
                  <c:v>19.342731376955342</c:v>
                </c:pt>
                <c:pt idx="89">
                  <c:v>19.586219440766506</c:v>
                </c:pt>
                <c:pt idx="90">
                  <c:v>19.832188902099261</c:v>
                </c:pt>
                <c:pt idx="91">
                  <c:v>20.080651516807173</c:v>
                </c:pt>
                <c:pt idx="92">
                  <c:v>20.33161919550346</c:v>
                </c:pt>
                <c:pt idx="93">
                  <c:v>20.585104005121579</c:v>
                </c:pt>
                <c:pt idx="94">
                  <c:v>20.841118170501982</c:v>
                </c:pt>
                <c:pt idx="95">
                  <c:v>21.099674076005073</c:v>
                </c:pt>
                <c:pt idx="96">
                  <c:v>21.360784267151111</c:v>
                </c:pt>
                <c:pt idx="97">
                  <c:v>21.624461452287292</c:v>
                </c:pt>
                <c:pt idx="98">
                  <c:v>21.890718504282596</c:v>
                </c:pt>
                <c:pt idx="99">
                  <c:v>22.159568462250689</c:v>
                </c:pt>
                <c:pt idx="100">
                  <c:v>22.431024533301478</c:v>
                </c:pt>
                <c:pt idx="101">
                  <c:v>22.705100094321637</c:v>
                </c:pt>
                <c:pt idx="102">
                  <c:v>22.981808693784735</c:v>
                </c:pt>
                <c:pt idx="103">
                  <c:v>23.261164053591347</c:v>
                </c:pt>
                <c:pt idx="104">
                  <c:v>23.543180070939638</c:v>
                </c:pt>
                <c:pt idx="105">
                  <c:v>23.827870820227005</c:v>
                </c:pt>
                <c:pt idx="106">
                  <c:v>24.11525055498322</c:v>
                </c:pt>
                <c:pt idx="107">
                  <c:v>24.405333709835578</c:v>
                </c:pt>
                <c:pt idx="108">
                  <c:v>24.698134902506713</c:v>
                </c:pt>
                <c:pt idx="109">
                  <c:v>24.993668935845509</c:v>
                </c:pt>
                <c:pt idx="110">
                  <c:v>25.291950799891644</c:v>
                </c:pt>
                <c:pt idx="111">
                  <c:v>25.592995673974531</c:v>
                </c:pt>
                <c:pt idx="112">
                  <c:v>25.896818928846951</c:v>
                </c:pt>
                <c:pt idx="113">
                  <c:v>26.203436128854214</c:v>
                </c:pt>
                <c:pt idx="114">
                  <c:v>26.512863034139475</c:v>
                </c:pt>
                <c:pt idx="115">
                  <c:v>26.825115602885436</c:v>
                </c:pt>
                <c:pt idx="116">
                  <c:v>27.140209993593665</c:v>
                </c:pt>
                <c:pt idx="117">
                  <c:v>27.458162567401647</c:v>
                </c:pt>
                <c:pt idx="118">
                  <c:v>27.778989890438591</c:v>
                </c:pt>
                <c:pt idx="119">
                  <c:v>28.102708736220443</c:v>
                </c:pt>
                <c:pt idx="120">
                  <c:v>28.429336088084934</c:v>
                </c:pt>
                <c:pt idx="121">
                  <c:v>28.758889141667254</c:v>
                </c:pt>
                <c:pt idx="122">
                  <c:v>29.09138530741722</c:v>
                </c:pt>
                <c:pt idx="123">
                  <c:v>29.426842213158498</c:v>
                </c:pt>
                <c:pt idx="124">
                  <c:v>29.765277706690771</c:v>
                </c:pt>
                <c:pt idx="125">
                  <c:v>30.106709858435575</c:v>
                </c:pt>
                <c:pt idx="126">
                  <c:v>30.451156964126504</c:v>
                </c:pt>
                <c:pt idx="127">
                  <c:v>30.798637547544814</c:v>
                </c:pt>
                <c:pt idx="128">
                  <c:v>31.149170363300851</c:v>
                </c:pt>
                <c:pt idx="129">
                  <c:v>31.502774399662648</c:v>
                </c:pt>
                <c:pt idx="130">
                  <c:v>31.859468881432143</c:v>
                </c:pt>
                <c:pt idx="131">
                  <c:v>32.219273272869948</c:v>
                </c:pt>
                <c:pt idx="132">
                  <c:v>32.582207280669785</c:v>
                </c:pt>
                <c:pt idx="133">
                  <c:v>32.948290856983327</c:v>
                </c:pt>
                <c:pt idx="134">
                  <c:v>33.317544202496322</c:v>
                </c:pt>
                <c:pt idx="135">
                  <c:v>33.689987769557085</c:v>
                </c:pt>
                <c:pt idx="136">
                  <c:v>34.065642265358321</c:v>
                </c:pt>
                <c:pt idx="137">
                  <c:v>34.444528655173144</c:v>
                </c:pt>
                <c:pt idx="138">
                  <c:v>34.82666816564646</c:v>
                </c:pt>
                <c:pt idx="139">
                  <c:v>35.212082288142696</c:v>
                </c:pt>
                <c:pt idx="140">
                  <c:v>35.600792782150911</c:v>
                </c:pt>
                <c:pt idx="141">
                  <c:v>35.992821678748363</c:v>
                </c:pt>
                <c:pt idx="142">
                  <c:v>36.388191284123792</c:v>
                </c:pt>
                <c:pt idx="143">
                  <c:v>36.786924183161247</c:v>
                </c:pt>
                <c:pt idx="144">
                  <c:v>37.189043243086068</c:v>
                </c:pt>
                <c:pt idx="145">
                  <c:v>37.594571617173713</c:v>
                </c:pt>
                <c:pt idx="146">
                  <c:v>38.003532748522986</c:v>
                </c:pt>
                <c:pt idx="147">
                  <c:v>38.415950373894894</c:v>
                </c:pt>
                <c:pt idx="148">
                  <c:v>38.831848527618128</c:v>
                </c:pt>
                <c:pt idx="149">
                  <c:v>39.251251545562859</c:v>
                </c:pt>
                <c:pt idx="150">
                  <c:v>39.674184069183724</c:v>
                </c:pt>
                <c:pt idx="151">
                  <c:v>40.100671049633888</c:v>
                </c:pt>
                <c:pt idx="152">
                  <c:v>40.530737751951136</c:v>
                </c:pt>
                <c:pt idx="153">
                  <c:v>40.964409759317526</c:v>
                </c:pt>
                <c:pt idx="154">
                  <c:v>41.401712977394268</c:v>
                </c:pt>
                <c:pt idx="155">
                  <c:v>41.842673638732997</c:v>
                </c:pt>
                <c:pt idx="156">
                  <c:v>42.287318307265224</c:v>
                </c:pt>
                <c:pt idx="157">
                  <c:v>42.735673882871417</c:v>
                </c:pt>
                <c:pt idx="158">
                  <c:v>43.187767606031244</c:v>
                </c:pt>
                <c:pt idx="159">
                  <c:v>43.64362706255676</c:v>
                </c:pt>
                <c:pt idx="160">
                  <c:v>44.103280188410004</c:v>
                </c:pt>
                <c:pt idx="161">
                  <c:v>44.566755274606997</c:v>
                </c:pt>
                <c:pt idx="162">
                  <c:v>45.034080972209644</c:v>
                </c:pt>
                <c:pt idx="163">
                  <c:v>45.505286297407267</c:v>
                </c:pt>
                <c:pt idx="164">
                  <c:v>45.980400636690227</c:v>
                </c:pt>
                <c:pt idx="165">
                  <c:v>46.459453752116353</c:v>
                </c:pt>
                <c:pt idx="166">
                  <c:v>46.942475786673384</c:v>
                </c:pt>
                <c:pt idx="167">
                  <c:v>47.429497269738512</c:v>
                </c:pt>
                <c:pt idx="168">
                  <c:v>47.920549122637254</c:v>
                </c:pt>
                <c:pt idx="169">
                  <c:v>48.415662664304072</c:v>
                </c:pt>
                <c:pt idx="170">
                  <c:v>48.914869617046222</c:v>
                </c:pt>
                <c:pt idx="171">
                  <c:v>49.418202112413617</c:v>
                </c:pt>
                <c:pt idx="172">
                  <c:v>49.925692697176437</c:v>
                </c:pt>
                <c:pt idx="173">
                  <c:v>50.437374339413047</c:v>
                </c:pt>
                <c:pt idx="174">
                  <c:v>50.953280434710628</c:v>
                </c:pt>
                <c:pt idx="175">
                  <c:v>51.473444812480288</c:v>
                </c:pt>
                <c:pt idx="176">
                  <c:v>51.997901742390106</c:v>
                </c:pt>
                <c:pt idx="177">
                  <c:v>52.526685940917552</c:v>
                </c:pt>
                <c:pt idx="178">
                  <c:v>53.059832578024711</c:v>
                </c:pt>
                <c:pt idx="179">
                  <c:v>53.597377283958281</c:v>
                </c:pt>
                <c:pt idx="180">
                  <c:v>54.139356156177598</c:v>
                </c:pt>
                <c:pt idx="181">
                  <c:v>54.685805766412791</c:v>
                </c:pt>
                <c:pt idx="182">
                  <c:v>55.236763167856758</c:v>
                </c:pt>
                <c:pt idx="183">
                  <c:v>55.792265902492893</c:v>
                </c:pt>
                <c:pt idx="184">
                  <c:v>56.352352008562406</c:v>
                </c:pt>
                <c:pt idx="185">
                  <c:v>56.917060028173552</c:v>
                </c:pt>
                <c:pt idx="186">
                  <c:v>57.486429015056515</c:v>
                </c:pt>
                <c:pt idx="187">
                  <c:v>58.060498542466711</c:v>
                </c:pt>
                <c:pt idx="188">
                  <c:v>58.639308711239863</c:v>
                </c:pt>
                <c:pt idx="189">
                  <c:v>59.222900158002545</c:v>
                </c:pt>
                <c:pt idx="190">
                  <c:v>59.811314063541161</c:v>
                </c:pt>
                <c:pt idx="191">
                  <c:v>60.404592161333255</c:v>
                </c:pt>
                <c:pt idx="192">
                  <c:v>61.002776746244493</c:v>
                </c:pt>
                <c:pt idx="193">
                  <c:v>61.605910683395592</c:v>
                </c:pt>
                <c:pt idx="194">
                  <c:v>62.214037417202015</c:v>
                </c:pt>
                <c:pt idx="195">
                  <c:v>62.827200980591748</c:v>
                </c:pt>
                <c:pt idx="196">
                  <c:v>63.445446004403713</c:v>
                </c:pt>
                <c:pt idx="197">
                  <c:v>64.068817726972071</c:v>
                </c:pt>
                <c:pt idx="198">
                  <c:v>64.697362003900068</c:v>
                </c:pt>
                <c:pt idx="199">
                  <c:v>65.331125318027759</c:v>
                </c:pt>
                <c:pt idx="200">
                  <c:v>65.970154789598766</c:v>
                </c:pt>
              </c:numCache>
            </c:numRef>
          </c:yVal>
          <c:smooth val="0"/>
          <c:extLst>
            <c:ext xmlns:c16="http://schemas.microsoft.com/office/drawing/2014/chart" uri="{C3380CC4-5D6E-409C-BE32-E72D297353CC}">
              <c16:uniqueId val="{00000000-4D79-4BB6-93AE-DC68BA7C5A43}"/>
            </c:ext>
          </c:extLst>
        </c:ser>
        <c:ser>
          <c:idx val="1"/>
          <c:order val="1"/>
          <c:tx>
            <c:v>Bottom FET</c:v>
          </c:tx>
          <c:spPr>
            <a:ln w="25400">
              <a:solidFill>
                <a:srgbClr val="FF0000"/>
              </a:solidFill>
              <a:prstDash val="solid"/>
            </a:ln>
          </c:spPr>
          <c:marker>
            <c:symbol val="none"/>
          </c:marker>
          <c:xVal>
            <c:numRef>
              <c:f>'Power Calculations'!$H$9:$H$209</c:f>
              <c:numCache>
                <c:formatCode>General</c:formatCode>
                <c:ptCount val="201"/>
                <c:pt idx="0">
                  <c:v>0</c:v>
                </c:pt>
                <c:pt idx="1">
                  <c:v>4.4999999999999998E-2</c:v>
                </c:pt>
                <c:pt idx="2">
                  <c:v>0.09</c:v>
                </c:pt>
                <c:pt idx="3">
                  <c:v>0.13500000000000001</c:v>
                </c:pt>
                <c:pt idx="4">
                  <c:v>0.18</c:v>
                </c:pt>
                <c:pt idx="5">
                  <c:v>0.22500000000000001</c:v>
                </c:pt>
                <c:pt idx="6">
                  <c:v>0.27</c:v>
                </c:pt>
                <c:pt idx="7">
                  <c:v>0.31500000000000006</c:v>
                </c:pt>
                <c:pt idx="8">
                  <c:v>0.36</c:v>
                </c:pt>
                <c:pt idx="9">
                  <c:v>0.40499999999999997</c:v>
                </c:pt>
                <c:pt idx="10">
                  <c:v>0.45</c:v>
                </c:pt>
                <c:pt idx="11">
                  <c:v>0.495</c:v>
                </c:pt>
                <c:pt idx="12">
                  <c:v>0.54</c:v>
                </c:pt>
                <c:pt idx="13">
                  <c:v>0.58499999999999996</c:v>
                </c:pt>
                <c:pt idx="14">
                  <c:v>0.63000000000000012</c:v>
                </c:pt>
                <c:pt idx="15">
                  <c:v>0.67499999999999993</c:v>
                </c:pt>
                <c:pt idx="16">
                  <c:v>0.72</c:v>
                </c:pt>
                <c:pt idx="17">
                  <c:v>0.76500000000000001</c:v>
                </c:pt>
                <c:pt idx="18">
                  <c:v>0.80999999999999994</c:v>
                </c:pt>
                <c:pt idx="19">
                  <c:v>0.85499999999999998</c:v>
                </c:pt>
                <c:pt idx="20">
                  <c:v>0.9</c:v>
                </c:pt>
                <c:pt idx="21">
                  <c:v>0.94499999999999995</c:v>
                </c:pt>
                <c:pt idx="22">
                  <c:v>0.99</c:v>
                </c:pt>
                <c:pt idx="23">
                  <c:v>1.0350000000000001</c:v>
                </c:pt>
                <c:pt idx="24">
                  <c:v>1.08</c:v>
                </c:pt>
                <c:pt idx="25">
                  <c:v>1.125</c:v>
                </c:pt>
                <c:pt idx="26">
                  <c:v>1.17</c:v>
                </c:pt>
                <c:pt idx="27">
                  <c:v>1.2150000000000001</c:v>
                </c:pt>
                <c:pt idx="28">
                  <c:v>1.2600000000000002</c:v>
                </c:pt>
                <c:pt idx="29">
                  <c:v>1.3049999999999999</c:v>
                </c:pt>
                <c:pt idx="30">
                  <c:v>1.3499999999999999</c:v>
                </c:pt>
                <c:pt idx="31">
                  <c:v>1.395</c:v>
                </c:pt>
                <c:pt idx="32">
                  <c:v>1.44</c:v>
                </c:pt>
                <c:pt idx="33">
                  <c:v>1.4850000000000001</c:v>
                </c:pt>
                <c:pt idx="34">
                  <c:v>1.53</c:v>
                </c:pt>
                <c:pt idx="35">
                  <c:v>1.575</c:v>
                </c:pt>
                <c:pt idx="36">
                  <c:v>1.6199999999999999</c:v>
                </c:pt>
                <c:pt idx="37">
                  <c:v>1.665</c:v>
                </c:pt>
                <c:pt idx="38">
                  <c:v>1.71</c:v>
                </c:pt>
                <c:pt idx="39">
                  <c:v>1.7550000000000001</c:v>
                </c:pt>
                <c:pt idx="40">
                  <c:v>1.8</c:v>
                </c:pt>
                <c:pt idx="41">
                  <c:v>1.845</c:v>
                </c:pt>
                <c:pt idx="42">
                  <c:v>1.89</c:v>
                </c:pt>
                <c:pt idx="43">
                  <c:v>1.9350000000000001</c:v>
                </c:pt>
                <c:pt idx="44">
                  <c:v>1.98</c:v>
                </c:pt>
                <c:pt idx="45">
                  <c:v>2.0249999999999999</c:v>
                </c:pt>
                <c:pt idx="46">
                  <c:v>2.0700000000000003</c:v>
                </c:pt>
                <c:pt idx="47">
                  <c:v>2.1149999999999998</c:v>
                </c:pt>
                <c:pt idx="48">
                  <c:v>2.16</c:v>
                </c:pt>
                <c:pt idx="49">
                  <c:v>2.2050000000000001</c:v>
                </c:pt>
                <c:pt idx="50">
                  <c:v>2.25</c:v>
                </c:pt>
                <c:pt idx="51">
                  <c:v>2.2949999999999999</c:v>
                </c:pt>
                <c:pt idx="52">
                  <c:v>2.34</c:v>
                </c:pt>
                <c:pt idx="53">
                  <c:v>2.3850000000000002</c:v>
                </c:pt>
                <c:pt idx="54">
                  <c:v>2.4300000000000002</c:v>
                </c:pt>
                <c:pt idx="55">
                  <c:v>2.4750000000000001</c:v>
                </c:pt>
                <c:pt idx="56">
                  <c:v>2.5200000000000005</c:v>
                </c:pt>
                <c:pt idx="57">
                  <c:v>2.5649999999999999</c:v>
                </c:pt>
                <c:pt idx="58">
                  <c:v>2.61</c:v>
                </c:pt>
                <c:pt idx="59">
                  <c:v>2.6549999999999998</c:v>
                </c:pt>
                <c:pt idx="60">
                  <c:v>2.6999999999999997</c:v>
                </c:pt>
                <c:pt idx="61">
                  <c:v>2.7450000000000001</c:v>
                </c:pt>
                <c:pt idx="62">
                  <c:v>2.79</c:v>
                </c:pt>
                <c:pt idx="63">
                  <c:v>2.835</c:v>
                </c:pt>
                <c:pt idx="64">
                  <c:v>2.88</c:v>
                </c:pt>
                <c:pt idx="65">
                  <c:v>2.9250000000000003</c:v>
                </c:pt>
                <c:pt idx="66">
                  <c:v>2.97</c:v>
                </c:pt>
                <c:pt idx="67">
                  <c:v>3.0150000000000001</c:v>
                </c:pt>
                <c:pt idx="68">
                  <c:v>3.06</c:v>
                </c:pt>
                <c:pt idx="69">
                  <c:v>3.1049999999999995</c:v>
                </c:pt>
                <c:pt idx="70">
                  <c:v>3.15</c:v>
                </c:pt>
                <c:pt idx="71">
                  <c:v>3.1949999999999998</c:v>
                </c:pt>
                <c:pt idx="72">
                  <c:v>3.2399999999999998</c:v>
                </c:pt>
                <c:pt idx="73">
                  <c:v>3.2850000000000001</c:v>
                </c:pt>
                <c:pt idx="74">
                  <c:v>3.33</c:v>
                </c:pt>
                <c:pt idx="75">
                  <c:v>3.375</c:v>
                </c:pt>
                <c:pt idx="76">
                  <c:v>3.42</c:v>
                </c:pt>
                <c:pt idx="77">
                  <c:v>3.4649999999999999</c:v>
                </c:pt>
                <c:pt idx="78">
                  <c:v>3.5100000000000002</c:v>
                </c:pt>
                <c:pt idx="79">
                  <c:v>3.5550000000000002</c:v>
                </c:pt>
                <c:pt idx="80">
                  <c:v>3.6</c:v>
                </c:pt>
                <c:pt idx="81">
                  <c:v>3.6450000000000005</c:v>
                </c:pt>
                <c:pt idx="82">
                  <c:v>3.69</c:v>
                </c:pt>
                <c:pt idx="83">
                  <c:v>3.7349999999999999</c:v>
                </c:pt>
                <c:pt idx="84">
                  <c:v>3.78</c:v>
                </c:pt>
                <c:pt idx="85">
                  <c:v>3.8249999999999997</c:v>
                </c:pt>
                <c:pt idx="86">
                  <c:v>3.87</c:v>
                </c:pt>
                <c:pt idx="87">
                  <c:v>3.915</c:v>
                </c:pt>
                <c:pt idx="88">
                  <c:v>3.96</c:v>
                </c:pt>
                <c:pt idx="89">
                  <c:v>4.0049999999999999</c:v>
                </c:pt>
                <c:pt idx="90">
                  <c:v>4.05</c:v>
                </c:pt>
                <c:pt idx="91">
                  <c:v>4.0949999999999998</c:v>
                </c:pt>
                <c:pt idx="92">
                  <c:v>4.1400000000000006</c:v>
                </c:pt>
                <c:pt idx="93">
                  <c:v>4.1850000000000005</c:v>
                </c:pt>
                <c:pt idx="94">
                  <c:v>4.2299999999999995</c:v>
                </c:pt>
                <c:pt idx="95">
                  <c:v>4.2749999999999995</c:v>
                </c:pt>
                <c:pt idx="96">
                  <c:v>4.32</c:v>
                </c:pt>
                <c:pt idx="97">
                  <c:v>4.3650000000000002</c:v>
                </c:pt>
                <c:pt idx="98">
                  <c:v>4.41</c:v>
                </c:pt>
                <c:pt idx="99">
                  <c:v>4.4550000000000001</c:v>
                </c:pt>
                <c:pt idx="100">
                  <c:v>4.5</c:v>
                </c:pt>
                <c:pt idx="101">
                  <c:v>4.5449999999999999</c:v>
                </c:pt>
                <c:pt idx="102">
                  <c:v>4.59</c:v>
                </c:pt>
                <c:pt idx="103">
                  <c:v>4.6349999999999998</c:v>
                </c:pt>
                <c:pt idx="104">
                  <c:v>4.68</c:v>
                </c:pt>
                <c:pt idx="105">
                  <c:v>4.7250000000000005</c:v>
                </c:pt>
                <c:pt idx="106">
                  <c:v>4.7700000000000005</c:v>
                </c:pt>
                <c:pt idx="107">
                  <c:v>4.8150000000000004</c:v>
                </c:pt>
                <c:pt idx="108">
                  <c:v>4.8600000000000003</c:v>
                </c:pt>
                <c:pt idx="109">
                  <c:v>4.9050000000000002</c:v>
                </c:pt>
                <c:pt idx="110">
                  <c:v>4.95</c:v>
                </c:pt>
                <c:pt idx="111">
                  <c:v>4.9950000000000001</c:v>
                </c:pt>
                <c:pt idx="112">
                  <c:v>5.0400000000000009</c:v>
                </c:pt>
                <c:pt idx="113">
                  <c:v>5.0849999999999991</c:v>
                </c:pt>
                <c:pt idx="114">
                  <c:v>5.13</c:v>
                </c:pt>
                <c:pt idx="115">
                  <c:v>5.1749999999999998</c:v>
                </c:pt>
                <c:pt idx="116">
                  <c:v>5.22</c:v>
                </c:pt>
                <c:pt idx="117">
                  <c:v>5.2649999999999997</c:v>
                </c:pt>
                <c:pt idx="118">
                  <c:v>5.31</c:v>
                </c:pt>
                <c:pt idx="119">
                  <c:v>5.3549999999999995</c:v>
                </c:pt>
                <c:pt idx="120">
                  <c:v>5.3999999999999995</c:v>
                </c:pt>
                <c:pt idx="121">
                  <c:v>5.4450000000000003</c:v>
                </c:pt>
                <c:pt idx="122">
                  <c:v>5.49</c:v>
                </c:pt>
                <c:pt idx="123">
                  <c:v>5.5350000000000001</c:v>
                </c:pt>
                <c:pt idx="124">
                  <c:v>5.58</c:v>
                </c:pt>
                <c:pt idx="125">
                  <c:v>5.625</c:v>
                </c:pt>
                <c:pt idx="126">
                  <c:v>5.67</c:v>
                </c:pt>
                <c:pt idx="127">
                  <c:v>5.7149999999999999</c:v>
                </c:pt>
                <c:pt idx="128">
                  <c:v>5.76</c:v>
                </c:pt>
                <c:pt idx="129">
                  <c:v>5.8049999999999997</c:v>
                </c:pt>
                <c:pt idx="130">
                  <c:v>5.8500000000000005</c:v>
                </c:pt>
                <c:pt idx="131">
                  <c:v>5.8950000000000005</c:v>
                </c:pt>
                <c:pt idx="132">
                  <c:v>5.94</c:v>
                </c:pt>
                <c:pt idx="133">
                  <c:v>5.9850000000000003</c:v>
                </c:pt>
                <c:pt idx="134">
                  <c:v>6.03</c:v>
                </c:pt>
                <c:pt idx="135">
                  <c:v>6.0750000000000002</c:v>
                </c:pt>
                <c:pt idx="136">
                  <c:v>6.12</c:v>
                </c:pt>
                <c:pt idx="137">
                  <c:v>6.1650000000000009</c:v>
                </c:pt>
                <c:pt idx="138">
                  <c:v>6.2099999999999991</c:v>
                </c:pt>
                <c:pt idx="139">
                  <c:v>6.2549999999999999</c:v>
                </c:pt>
                <c:pt idx="140">
                  <c:v>6.3</c:v>
                </c:pt>
                <c:pt idx="141">
                  <c:v>6.3449999999999998</c:v>
                </c:pt>
                <c:pt idx="142">
                  <c:v>6.39</c:v>
                </c:pt>
                <c:pt idx="143">
                  <c:v>6.4349999999999996</c:v>
                </c:pt>
                <c:pt idx="144">
                  <c:v>6.4799999999999995</c:v>
                </c:pt>
                <c:pt idx="145">
                  <c:v>6.5249999999999995</c:v>
                </c:pt>
                <c:pt idx="146">
                  <c:v>6.57</c:v>
                </c:pt>
                <c:pt idx="147">
                  <c:v>6.6150000000000002</c:v>
                </c:pt>
                <c:pt idx="148">
                  <c:v>6.66</c:v>
                </c:pt>
                <c:pt idx="149">
                  <c:v>6.7050000000000001</c:v>
                </c:pt>
                <c:pt idx="150">
                  <c:v>6.75</c:v>
                </c:pt>
                <c:pt idx="151">
                  <c:v>6.7949999999999999</c:v>
                </c:pt>
                <c:pt idx="152">
                  <c:v>6.84</c:v>
                </c:pt>
                <c:pt idx="153">
                  <c:v>6.8849999999999998</c:v>
                </c:pt>
                <c:pt idx="154">
                  <c:v>6.93</c:v>
                </c:pt>
                <c:pt idx="155">
                  <c:v>6.9750000000000005</c:v>
                </c:pt>
                <c:pt idx="156">
                  <c:v>7.0200000000000005</c:v>
                </c:pt>
                <c:pt idx="157">
                  <c:v>7.0650000000000004</c:v>
                </c:pt>
                <c:pt idx="158">
                  <c:v>7.11</c:v>
                </c:pt>
                <c:pt idx="159">
                  <c:v>7.1550000000000002</c:v>
                </c:pt>
                <c:pt idx="160">
                  <c:v>7.2</c:v>
                </c:pt>
                <c:pt idx="161">
                  <c:v>7.2450000000000001</c:v>
                </c:pt>
                <c:pt idx="162">
                  <c:v>7.2900000000000009</c:v>
                </c:pt>
                <c:pt idx="163">
                  <c:v>7.3349999999999991</c:v>
                </c:pt>
                <c:pt idx="164">
                  <c:v>7.38</c:v>
                </c:pt>
                <c:pt idx="165">
                  <c:v>7.4249999999999998</c:v>
                </c:pt>
                <c:pt idx="166">
                  <c:v>7.47</c:v>
                </c:pt>
                <c:pt idx="167">
                  <c:v>7.5149999999999997</c:v>
                </c:pt>
                <c:pt idx="168">
                  <c:v>7.56</c:v>
                </c:pt>
                <c:pt idx="169">
                  <c:v>7.6049999999999995</c:v>
                </c:pt>
                <c:pt idx="170">
                  <c:v>7.6499999999999995</c:v>
                </c:pt>
                <c:pt idx="171">
                  <c:v>7.6950000000000003</c:v>
                </c:pt>
                <c:pt idx="172">
                  <c:v>7.74</c:v>
                </c:pt>
                <c:pt idx="173">
                  <c:v>7.7850000000000001</c:v>
                </c:pt>
                <c:pt idx="174">
                  <c:v>7.83</c:v>
                </c:pt>
                <c:pt idx="175">
                  <c:v>7.875</c:v>
                </c:pt>
                <c:pt idx="176">
                  <c:v>7.92</c:v>
                </c:pt>
                <c:pt idx="177">
                  <c:v>7.9649999999999999</c:v>
                </c:pt>
                <c:pt idx="178">
                  <c:v>8.01</c:v>
                </c:pt>
                <c:pt idx="179">
                  <c:v>8.0549999999999997</c:v>
                </c:pt>
                <c:pt idx="180">
                  <c:v>8.1</c:v>
                </c:pt>
                <c:pt idx="181">
                  <c:v>8.1449999999999996</c:v>
                </c:pt>
                <c:pt idx="182">
                  <c:v>8.19</c:v>
                </c:pt>
                <c:pt idx="183">
                  <c:v>8.2349999999999994</c:v>
                </c:pt>
                <c:pt idx="184">
                  <c:v>8.2800000000000011</c:v>
                </c:pt>
                <c:pt idx="185">
                  <c:v>8.3250000000000011</c:v>
                </c:pt>
                <c:pt idx="186">
                  <c:v>8.370000000000001</c:v>
                </c:pt>
                <c:pt idx="187">
                  <c:v>8.4150000000000009</c:v>
                </c:pt>
                <c:pt idx="188">
                  <c:v>8.4599999999999991</c:v>
                </c:pt>
                <c:pt idx="189">
                  <c:v>8.504999999999999</c:v>
                </c:pt>
                <c:pt idx="190">
                  <c:v>8.5499999999999989</c:v>
                </c:pt>
                <c:pt idx="191">
                  <c:v>8.5949999999999989</c:v>
                </c:pt>
                <c:pt idx="192">
                  <c:v>8.64</c:v>
                </c:pt>
                <c:pt idx="193">
                  <c:v>8.6850000000000005</c:v>
                </c:pt>
                <c:pt idx="194">
                  <c:v>8.73</c:v>
                </c:pt>
                <c:pt idx="195">
                  <c:v>8.7750000000000004</c:v>
                </c:pt>
                <c:pt idx="196">
                  <c:v>8.82</c:v>
                </c:pt>
                <c:pt idx="197">
                  <c:v>8.8650000000000002</c:v>
                </c:pt>
                <c:pt idx="198">
                  <c:v>8.91</c:v>
                </c:pt>
                <c:pt idx="199">
                  <c:v>8.9550000000000001</c:v>
                </c:pt>
                <c:pt idx="200">
                  <c:v>9</c:v>
                </c:pt>
              </c:numCache>
            </c:numRef>
          </c:xVal>
          <c:yVal>
            <c:numRef>
              <c:f>'Power Calculations'!$AS$9:$AS$209</c:f>
              <c:numCache>
                <c:formatCode>0.0</c:formatCode>
                <c:ptCount val="201"/>
                <c:pt idx="0">
                  <c:v>0.55775013520822059</c:v>
                </c:pt>
                <c:pt idx="1">
                  <c:v>0.57766105224996878</c:v>
                </c:pt>
                <c:pt idx="2">
                  <c:v>0.59838398508425639</c:v>
                </c:pt>
                <c:pt idx="3">
                  <c:v>0.61991889116115273</c:v>
                </c:pt>
                <c:pt idx="4">
                  <c:v>0.64226574360060051</c:v>
                </c:pt>
                <c:pt idx="5">
                  <c:v>0.66542453118387901</c:v>
                </c:pt>
                <c:pt idx="6">
                  <c:v>0.68939525834582527</c:v>
                </c:pt>
                <c:pt idx="7">
                  <c:v>0.71417794516781496</c:v>
                </c:pt>
                <c:pt idx="8">
                  <c:v>0.73977262737149996</c:v>
                </c:pt>
                <c:pt idx="9">
                  <c:v>0.76617935631330192</c:v>
                </c:pt>
                <c:pt idx="10">
                  <c:v>0.7933981989796639</c:v>
                </c:pt>
                <c:pt idx="11">
                  <c:v>0.82142923798305512</c:v>
                </c:pt>
                <c:pt idx="12">
                  <c:v>0.85027257155872937</c:v>
                </c:pt>
                <c:pt idx="13">
                  <c:v>0.87992831356224033</c:v>
                </c:pt>
                <c:pt idx="14">
                  <c:v>0.91039659346770618</c:v>
                </c:pt>
                <c:pt idx="15">
                  <c:v>0.94167755636682948</c:v>
                </c:pt>
                <c:pt idx="16">
                  <c:v>0.97377136296867017</c:v>
                </c:pt>
                <c:pt idx="17">
                  <c:v>1.0066781896001649</c:v>
                </c:pt>
                <c:pt idx="18">
                  <c:v>1.0403982282074062</c:v>
                </c:pt>
                <c:pt idx="19">
                  <c:v>1.0749316863576672</c:v>
                </c:pt>
                <c:pt idx="20">
                  <c:v>1.1102787872421791</c:v>
                </c:pt>
                <c:pt idx="21">
                  <c:v>1.1464397696796615</c:v>
                </c:pt>
                <c:pt idx="22">
                  <c:v>1.1834148881206012</c:v>
                </c:pt>
                <c:pt idx="23">
                  <c:v>1.2212044126522845</c:v>
                </c:pt>
                <c:pt idx="24">
                  <c:v>1.2598086290045798</c:v>
                </c:pt>
                <c:pt idx="25">
                  <c:v>1.307516877663661</c:v>
                </c:pt>
                <c:pt idx="26">
                  <c:v>1.3671695163214359</c:v>
                </c:pt>
                <c:pt idx="27">
                  <c:v>1.4276411491981142</c:v>
                </c:pt>
                <c:pt idx="28">
                  <c:v>1.4889323129866918</c:v>
                </c:pt>
                <c:pt idx="29">
                  <c:v>1.5510435601174077</c:v>
                </c:pt>
                <c:pt idx="30">
                  <c:v>1.6139754587740831</c:v>
                </c:pt>
                <c:pt idx="31">
                  <c:v>1.6777285929112131</c:v>
                </c:pt>
                <c:pt idx="32">
                  <c:v>1.7423035622718173</c:v>
                </c:pt>
                <c:pt idx="33">
                  <c:v>1.8077009824060526</c:v>
                </c:pt>
                <c:pt idx="34">
                  <c:v>1.873921484690579</c:v>
                </c:pt>
                <c:pt idx="35">
                  <c:v>1.9409657163486966</c:v>
                </c:pt>
                <c:pt idx="36">
                  <c:v>2.0088343404712337</c:v>
                </c:pt>
                <c:pt idx="37">
                  <c:v>2.0775280360382093</c:v>
                </c:pt>
                <c:pt idx="38">
                  <c:v>2.1470474979412497</c:v>
                </c:pt>
                <c:pt idx="39">
                  <c:v>2.2173934370067889</c:v>
                </c:pt>
                <c:pt idx="40">
                  <c:v>2.2885665800200177</c:v>
                </c:pt>
                <c:pt idx="41">
                  <c:v>2.3605676697496185</c:v>
                </c:pt>
                <c:pt idx="42">
                  <c:v>2.4333974649732664</c:v>
                </c:pt>
                <c:pt idx="43">
                  <c:v>2.5070567405039039</c:v>
                </c:pt>
                <c:pt idx="44">
                  <c:v>2.5815462872167902</c:v>
                </c:pt>
                <c:pt idx="45">
                  <c:v>2.6568669120773354</c:v>
                </c:pt>
                <c:pt idx="46">
                  <c:v>2.7330194381697046</c:v>
                </c:pt>
                <c:pt idx="47">
                  <c:v>2.8100047047262082</c:v>
                </c:pt>
                <c:pt idx="48">
                  <c:v>2.8878235671574863</c:v>
                </c:pt>
                <c:pt idx="49">
                  <c:v>2.9664768970834547</c:v>
                </c:pt>
                <c:pt idx="50">
                  <c:v>3.0459655823650733</c:v>
                </c:pt>
                <c:pt idx="51">
                  <c:v>3.1262905271368697</c:v>
                </c:pt>
                <c:pt idx="52">
                  <c:v>3.2074526518402884</c:v>
                </c:pt>
                <c:pt idx="53">
                  <c:v>3.2894528932578151</c:v>
                </c:pt>
                <c:pt idx="54">
                  <c:v>3.3722922045479047</c:v>
                </c:pt>
                <c:pt idx="55">
                  <c:v>3.4559715552807209</c:v>
                </c:pt>
                <c:pt idx="56">
                  <c:v>3.540491931474663</c:v>
                </c:pt>
                <c:pt idx="57">
                  <c:v>3.6258543356337123</c:v>
                </c:pt>
                <c:pt idx="58">
                  <c:v>3.7120597867855896</c:v>
                </c:pt>
                <c:pt idx="59">
                  <c:v>3.7991093205207092</c:v>
                </c:pt>
                <c:pt idx="60">
                  <c:v>3.8870039890319728</c:v>
                </c:pt>
                <c:pt idx="61">
                  <c:v>3.9757448611553632</c:v>
                </c:pt>
                <c:pt idx="62">
                  <c:v>4.0653330224113642</c:v>
                </c:pt>
                <c:pt idx="63">
                  <c:v>4.1557695750472199</c:v>
                </c:pt>
                <c:pt idx="64">
                  <c:v>4.2470556380800026</c:v>
                </c:pt>
                <c:pt idx="65">
                  <c:v>4.3391923473405285</c:v>
                </c:pt>
                <c:pt idx="66">
                  <c:v>4.4321808555180988</c:v>
                </c:pt>
                <c:pt idx="67">
                  <c:v>4.5260223322060886</c:v>
                </c:pt>
                <c:pt idx="68">
                  <c:v>4.6207179639483789</c:v>
                </c:pt>
                <c:pt idx="69">
                  <c:v>4.7162689542866243</c:v>
                </c:pt>
                <c:pt idx="70">
                  <c:v>4.8126765238083857</c:v>
                </c:pt>
                <c:pt idx="71">
                  <c:v>4.9099419101961042</c:v>
                </c:pt>
                <c:pt idx="72">
                  <c:v>5.0080663682769524</c:v>
                </c:pt>
                <c:pt idx="73">
                  <c:v>5.1070511700735324</c:v>
                </c:pt>
                <c:pt idx="74">
                  <c:v>5.2068976048554312</c:v>
                </c:pt>
                <c:pt idx="75">
                  <c:v>5.3076069791916893</c:v>
                </c:pt>
                <c:pt idx="76">
                  <c:v>5.409180617004087</c:v>
                </c:pt>
                <c:pt idx="77">
                  <c:v>5.5116198596213657</c:v>
                </c:pt>
                <c:pt idx="78">
                  <c:v>5.6149260658342914</c:v>
                </c:pt>
                <c:pt idx="79">
                  <c:v>5.7191006119516299</c:v>
                </c:pt>
                <c:pt idx="80">
                  <c:v>5.8241448918570153</c:v>
                </c:pt>
                <c:pt idx="81">
                  <c:v>5.9300603170666939</c:v>
                </c:pt>
                <c:pt idx="82">
                  <c:v>6.0368483167882108</c:v>
                </c:pt>
                <c:pt idx="83">
                  <c:v>6.1445103379799644</c:v>
                </c:pt>
                <c:pt idx="84">
                  <c:v>6.2530478454117056</c:v>
                </c:pt>
                <c:pt idx="85">
                  <c:v>6.3624623217259302</c:v>
                </c:pt>
                <c:pt idx="86">
                  <c:v>6.4727552675002133</c:v>
                </c:pt>
                <c:pt idx="87">
                  <c:v>6.5839282013104565</c:v>
                </c:pt>
                <c:pt idx="88">
                  <c:v>6.6959826597950869</c:v>
                </c:pt>
                <c:pt idx="89">
                  <c:v>6.808920197720183</c:v>
                </c:pt>
                <c:pt idx="90">
                  <c:v>6.9227423880455472</c:v>
                </c:pt>
                <c:pt idx="91">
                  <c:v>7.0374508219917322</c:v>
                </c:pt>
                <c:pt idx="92">
                  <c:v>7.1530471091080212</c:v>
                </c:pt>
                <c:pt idx="93">
                  <c:v>7.2695328773413603</c:v>
                </c:pt>
                <c:pt idx="94">
                  <c:v>7.3869097731062912</c:v>
                </c:pt>
                <c:pt idx="95">
                  <c:v>7.5051794613558265</c:v>
                </c:pt>
                <c:pt idx="96">
                  <c:v>7.6243436256533066</c:v>
                </c:pt>
                <c:pt idx="97">
                  <c:v>7.7444039682452672</c:v>
                </c:pt>
                <c:pt idx="98">
                  <c:v>7.8653622101352605</c:v>
                </c:pt>
                <c:pt idx="99">
                  <c:v>7.987220091158731</c:v>
                </c:pt>
                <c:pt idx="100">
                  <c:v>8.1099793700588378</c:v>
                </c:pt>
                <c:pt idx="101">
                  <c:v>8.2336418245633389</c:v>
                </c:pt>
                <c:pt idx="102">
                  <c:v>8.3582092514624424</c:v>
                </c:pt>
                <c:pt idx="103">
                  <c:v>8.483683466687749</c:v>
                </c:pt>
                <c:pt idx="104">
                  <c:v>8.6100663053921629</c:v>
                </c:pt>
                <c:pt idx="105">
                  <c:v>8.7373596220308851</c:v>
                </c:pt>
                <c:pt idx="106">
                  <c:v>8.8655652904434366</c:v>
                </c:pt>
                <c:pt idx="107">
                  <c:v>8.9946852039367382</c:v>
                </c:pt>
                <c:pt idx="108">
                  <c:v>9.1247212753692484</c:v>
                </c:pt>
                <c:pt idx="109">
                  <c:v>9.2556754372361905</c:v>
                </c:pt>
                <c:pt idx="110">
                  <c:v>9.3875496417558129</c:v>
                </c:pt>
                <c:pt idx="111">
                  <c:v>9.5203458609567946</c:v>
                </c:pt>
                <c:pt idx="112">
                  <c:v>9.6540660867666812</c:v>
                </c:pt>
                <c:pt idx="113">
                  <c:v>9.7887123311014417</c:v>
                </c:pt>
                <c:pt idx="114">
                  <c:v>9.9242866259561975</c:v>
                </c:pt>
                <c:pt idx="115">
                  <c:v>10.060791023496936</c:v>
                </c:pt>
                <c:pt idx="116">
                  <c:v>10.198227596153469</c:v>
                </c:pt>
                <c:pt idx="117">
                  <c:v>10.336598436713471</c:v>
                </c:pt>
                <c:pt idx="118">
                  <c:v>10.475905658417652</c:v>
                </c:pt>
                <c:pt idx="119">
                  <c:v>10.616151395056121</c:v>
                </c:pt>
                <c:pt idx="120">
                  <c:v>10.757337801065844</c:v>
                </c:pt>
                <c:pt idx="121">
                  <c:v>10.899467051629344</c:v>
                </c:pt>
                <c:pt idx="122">
                  <c:v>11.042541342774514</c:v>
                </c:pt>
                <c:pt idx="123">
                  <c:v>11.186562891475653</c:v>
                </c:pt>
                <c:pt idx="124">
                  <c:v>11.331533935755695</c:v>
                </c:pt>
                <c:pt idx="125">
                  <c:v>11.477456734789618</c:v>
                </c:pt>
                <c:pt idx="126">
                  <c:v>11.624333569009085</c:v>
                </c:pt>
                <c:pt idx="127">
                  <c:v>11.772166740208325</c:v>
                </c:pt>
                <c:pt idx="128">
                  <c:v>11.920958571651209</c:v>
                </c:pt>
                <c:pt idx="129">
                  <c:v>12.070711408179573</c:v>
                </c:pt>
                <c:pt idx="130">
                  <c:v>12.221427616322877</c:v>
                </c:pt>
                <c:pt idx="131">
                  <c:v>12.37310958440897</c:v>
                </c:pt>
                <c:pt idx="132">
                  <c:v>12.525759722676291</c:v>
                </c:pt>
                <c:pt idx="133">
                  <c:v>12.679380463387243</c:v>
                </c:pt>
                <c:pt idx="134">
                  <c:v>12.833974260942938</c:v>
                </c:pt>
                <c:pt idx="135">
                  <c:v>12.989543591999155</c:v>
                </c:pt>
                <c:pt idx="136">
                  <c:v>13.146090955583746</c:v>
                </c:pt>
                <c:pt idx="137">
                  <c:v>13.30361887321523</c:v>
                </c:pt>
                <c:pt idx="138">
                  <c:v>13.462129889022819</c:v>
                </c:pt>
                <c:pt idx="139">
                  <c:v>13.621626569867772</c:v>
                </c:pt>
                <c:pt idx="140">
                  <c:v>13.782111505466084</c:v>
                </c:pt>
                <c:pt idx="141">
                  <c:v>13.943587308512605</c:v>
                </c:pt>
                <c:pt idx="142">
                  <c:v>14.106056614806473</c:v>
                </c:pt>
                <c:pt idx="143">
                  <c:v>14.269522083377993</c:v>
                </c:pt>
                <c:pt idx="144">
                  <c:v>14.433986396616923</c:v>
                </c:pt>
                <c:pt idx="145">
                  <c:v>14.599452260402161</c:v>
                </c:pt>
                <c:pt idx="146">
                  <c:v>14.765922404232885</c:v>
                </c:pt>
                <c:pt idx="147">
                  <c:v>14.933399581361122</c:v>
                </c:pt>
                <c:pt idx="148">
                  <c:v>15.101886568925803</c:v>
                </c:pt>
                <c:pt idx="149">
                  <c:v>15.271386168088252</c:v>
                </c:pt>
                <c:pt idx="150">
                  <c:v>15.441901204169216</c:v>
                </c:pt>
                <c:pt idx="151">
                  <c:v>15.613434526787326</c:v>
                </c:pt>
                <c:pt idx="152">
                  <c:v>15.785989009999144</c:v>
                </c:pt>
                <c:pt idx="153">
                  <c:v>15.959567552440674</c:v>
                </c:pt>
                <c:pt idx="154">
                  <c:v>16.134173077470436</c:v>
                </c:pt>
                <c:pt idx="155">
                  <c:v>16.309808533314147</c:v>
                </c:pt>
                <c:pt idx="156">
                  <c:v>16.486476893210828</c:v>
                </c:pt>
                <c:pt idx="157">
                  <c:v>16.664181155560701</c:v>
                </c:pt>
                <c:pt idx="158">
                  <c:v>16.842924344074476</c:v>
                </c:pt>
                <c:pt idx="159">
                  <c:v>17.022709507924404</c:v>
                </c:pt>
                <c:pt idx="160">
                  <c:v>17.203539721896881</c:v>
                </c:pt>
                <c:pt idx="161">
                  <c:v>17.385418086546704</c:v>
                </c:pt>
                <c:pt idx="162">
                  <c:v>17.568347728353015</c:v>
                </c:pt>
                <c:pt idx="163">
                  <c:v>17.75233179987687</c:v>
                </c:pt>
                <c:pt idx="164">
                  <c:v>17.937373479920581</c:v>
                </c:pt>
                <c:pt idx="165">
                  <c:v>18.123475973688635</c:v>
                </c:pt>
                <c:pt idx="166">
                  <c:v>18.31064251295048</c:v>
                </c:pt>
                <c:pt idx="167">
                  <c:v>18.498876356204946</c:v>
                </c:pt>
                <c:pt idx="168">
                  <c:v>18.688180788846445</c:v>
                </c:pt>
                <c:pt idx="169">
                  <c:v>18.878559123332991</c:v>
                </c:pt>
                <c:pt idx="170">
                  <c:v>19.070014699355944</c:v>
                </c:pt>
                <c:pt idx="171">
                  <c:v>19.262550884011592</c:v>
                </c:pt>
                <c:pt idx="172">
                  <c:v>19.456171071974573</c:v>
                </c:pt>
                <c:pt idx="173">
                  <c:v>19.650878685673092</c:v>
                </c:pt>
                <c:pt idx="174">
                  <c:v>19.846677175466063</c:v>
                </c:pt>
                <c:pt idx="175">
                  <c:v>20.04357001982207</c:v>
                </c:pt>
                <c:pt idx="176">
                  <c:v>20.241560725500257</c:v>
                </c:pt>
                <c:pt idx="177">
                  <c:v>20.440652827733121</c:v>
                </c:pt>
                <c:pt idx="178">
                  <c:v>20.640849890411271</c:v>
                </c:pt>
                <c:pt idx="179">
                  <c:v>20.842155506270057</c:v>
                </c:pt>
                <c:pt idx="180">
                  <c:v>21.04457329707834</c:v>
                </c:pt>
                <c:pt idx="181">
                  <c:v>21.248106913829016</c:v>
                </c:pt>
                <c:pt idx="182">
                  <c:v>21.452760036931778</c:v>
                </c:pt>
                <c:pt idx="183">
                  <c:v>21.65853637640781</c:v>
                </c:pt>
                <c:pt idx="184">
                  <c:v>21.865439672086509</c:v>
                </c:pt>
                <c:pt idx="185">
                  <c:v>22.073473693804353</c:v>
                </c:pt>
                <c:pt idx="186">
                  <c:v>22.282642241605796</c:v>
                </c:pt>
                <c:pt idx="187">
                  <c:v>22.492949145946412</c:v>
                </c:pt>
                <c:pt idx="188">
                  <c:v>22.704398267897908</c:v>
                </c:pt>
                <c:pt idx="189">
                  <c:v>22.916993499355698</c:v>
                </c:pt>
                <c:pt idx="190">
                  <c:v>23.130738763248267</c:v>
                </c:pt>
                <c:pt idx="191">
                  <c:v>23.345638013748975</c:v>
                </c:pt>
                <c:pt idx="192">
                  <c:v>23.561695236490046</c:v>
                </c:pt>
                <c:pt idx="193">
                  <c:v>23.778914448778757</c:v>
                </c:pt>
                <c:pt idx="194">
                  <c:v>23.997299699816001</c:v>
                </c:pt>
                <c:pt idx="195">
                  <c:v>24.216855070917006</c:v>
                </c:pt>
                <c:pt idx="196">
                  <c:v>24.437584675734531</c:v>
                </c:pt>
                <c:pt idx="197">
                  <c:v>24.65949266048435</c:v>
                </c:pt>
                <c:pt idx="198">
                  <c:v>24.882583204173002</c:v>
                </c:pt>
                <c:pt idx="199">
                  <c:v>25.106860518828192</c:v>
                </c:pt>
                <c:pt idx="200">
                  <c:v>25.332328849731311</c:v>
                </c:pt>
              </c:numCache>
            </c:numRef>
          </c:yVal>
          <c:smooth val="0"/>
          <c:extLst>
            <c:ext xmlns:c16="http://schemas.microsoft.com/office/drawing/2014/chart" uri="{C3380CC4-5D6E-409C-BE32-E72D297353CC}">
              <c16:uniqueId val="{00000001-4D79-4BB6-93AE-DC68BA7C5A43}"/>
            </c:ext>
          </c:extLst>
        </c:ser>
        <c:dLbls>
          <c:showLegendKey val="0"/>
          <c:showVal val="0"/>
          <c:showCatName val="0"/>
          <c:showSerName val="0"/>
          <c:showPercent val="0"/>
          <c:showBubbleSize val="0"/>
        </c:dLbls>
        <c:axId val="157337472"/>
        <c:axId val="157683712"/>
      </c:scatterChart>
      <c:valAx>
        <c:axId val="157337472"/>
        <c:scaling>
          <c:orientation val="minMax"/>
          <c:min val="0"/>
        </c:scaling>
        <c:delete val="0"/>
        <c:axPos val="b"/>
        <c:majorGridlines/>
        <c:title>
          <c:tx>
            <c:rich>
              <a:bodyPr/>
              <a:lstStyle/>
              <a:p>
                <a:pPr>
                  <a:defRPr sz="925" b="1" i="0" u="none" strike="noStrike" baseline="0">
                    <a:solidFill>
                      <a:srgbClr val="000000"/>
                    </a:solidFill>
                    <a:latin typeface="Arial"/>
                    <a:ea typeface="Arial"/>
                    <a:cs typeface="Arial"/>
                  </a:defRPr>
                </a:pPr>
                <a:r>
                  <a:rPr lang="en-US"/>
                  <a:t>Iout (A)</a:t>
                </a:r>
              </a:p>
            </c:rich>
          </c:tx>
          <c:layout>
            <c:manualLayout>
              <c:xMode val="edge"/>
              <c:yMode val="edge"/>
              <c:x val="0.52774047357748588"/>
              <c:y val="0.93535544420583794"/>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157683712"/>
        <c:crosses val="autoZero"/>
        <c:crossBetween val="midCat"/>
      </c:valAx>
      <c:valAx>
        <c:axId val="157683712"/>
        <c:scaling>
          <c:orientation val="minMax"/>
        </c:scaling>
        <c:delete val="0"/>
        <c:axPos val="l"/>
        <c:majorGridlines>
          <c:spPr>
            <a:ln w="3175">
              <a:solidFill>
                <a:srgbClr val="000000"/>
              </a:solidFill>
              <a:prstDash val="solid"/>
            </a:ln>
          </c:spPr>
        </c:majorGridlines>
        <c:title>
          <c:tx>
            <c:rich>
              <a:bodyPr/>
              <a:lstStyle/>
              <a:p>
                <a:pPr>
                  <a:defRPr sz="925" b="1" i="0" u="none" strike="noStrike" baseline="0">
                    <a:solidFill>
                      <a:srgbClr val="000000"/>
                    </a:solidFill>
                    <a:latin typeface="Arial"/>
                    <a:ea typeface="Arial"/>
                    <a:cs typeface="Arial"/>
                  </a:defRPr>
                </a:pPr>
                <a:r>
                  <a:rPr lang="en-US"/>
                  <a:t>Temperature (°C)</a:t>
                </a:r>
              </a:p>
            </c:rich>
          </c:tx>
          <c:layout>
            <c:manualLayout>
              <c:xMode val="edge"/>
              <c:yMode val="edge"/>
              <c:x val="5.5931438881371219E-2"/>
              <c:y val="0.3797988281767809"/>
            </c:manualLayout>
          </c:layout>
          <c:overlay val="0"/>
          <c:spPr>
            <a:noFill/>
            <a:ln w="25400">
              <a:noFill/>
            </a:ln>
          </c:spPr>
        </c:title>
        <c:numFmt formatCode="General"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157337472"/>
        <c:crosses val="autoZero"/>
        <c:crossBetween val="midCat"/>
      </c:valAx>
      <c:spPr>
        <a:solidFill>
          <a:srgbClr val="C0C0C0"/>
        </a:solidFill>
        <a:ln w="12700">
          <a:solidFill>
            <a:srgbClr val="808080"/>
          </a:solidFill>
          <a:prstDash val="solid"/>
        </a:ln>
      </c:spPr>
    </c:plotArea>
    <c:legend>
      <c:legendPos val="t"/>
      <c:layout>
        <c:manualLayout>
          <c:xMode val="edge"/>
          <c:yMode val="edge"/>
          <c:x val="0.85385713118742423"/>
          <c:y val="1.0101010101010105E-2"/>
          <c:w val="0.14073085925152451"/>
          <c:h val="8.2828494922983206E-2"/>
        </c:manualLayout>
      </c:layout>
      <c:overlay val="0"/>
      <c:spPr>
        <a:solidFill>
          <a:srgbClr val="FFFFFF"/>
        </a:solidFill>
        <a:ln w="3175">
          <a:solidFill>
            <a:srgbClr val="000000"/>
          </a:solidFill>
          <a:prstDash val="solid"/>
        </a:ln>
      </c:spPr>
      <c:txPr>
        <a:bodyPr/>
        <a:lstStyle/>
        <a:p>
          <a:pPr>
            <a:defRPr sz="78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US"/>
              <a:t> FET Power Disipation</a:t>
            </a:r>
          </a:p>
        </c:rich>
      </c:tx>
      <c:layout>
        <c:manualLayout>
          <c:xMode val="edge"/>
          <c:yMode val="edge"/>
          <c:x val="0.39872611464968688"/>
          <c:y val="3.0241935483871732E-2"/>
        </c:manualLayout>
      </c:layout>
      <c:overlay val="0"/>
      <c:spPr>
        <a:noFill/>
        <a:ln w="25400">
          <a:noFill/>
        </a:ln>
      </c:spPr>
    </c:title>
    <c:autoTitleDeleted val="0"/>
    <c:plotArea>
      <c:layout>
        <c:manualLayout>
          <c:layoutTarget val="inner"/>
          <c:xMode val="edge"/>
          <c:yMode val="edge"/>
          <c:x val="8.6624203821656268E-2"/>
          <c:y val="0.15927435034411094"/>
          <c:w val="0.8471337579617837"/>
          <c:h val="0.70362972493790654"/>
        </c:manualLayout>
      </c:layout>
      <c:scatterChart>
        <c:scatterStyle val="lineMarker"/>
        <c:varyColors val="0"/>
        <c:ser>
          <c:idx val="2"/>
          <c:order val="0"/>
          <c:tx>
            <c:v>Top FET</c:v>
          </c:tx>
          <c:spPr>
            <a:ln w="25400">
              <a:solidFill>
                <a:srgbClr val="000080"/>
              </a:solidFill>
              <a:prstDash val="solid"/>
            </a:ln>
          </c:spPr>
          <c:marker>
            <c:symbol val="none"/>
          </c:marker>
          <c:xVal>
            <c:numRef>
              <c:f>'Power Calculations'!$H$9:$H$209</c:f>
              <c:numCache>
                <c:formatCode>General</c:formatCode>
                <c:ptCount val="201"/>
                <c:pt idx="0">
                  <c:v>0</c:v>
                </c:pt>
                <c:pt idx="1">
                  <c:v>4.4999999999999998E-2</c:v>
                </c:pt>
                <c:pt idx="2">
                  <c:v>0.09</c:v>
                </c:pt>
                <c:pt idx="3">
                  <c:v>0.13500000000000001</c:v>
                </c:pt>
                <c:pt idx="4">
                  <c:v>0.18</c:v>
                </c:pt>
                <c:pt idx="5">
                  <c:v>0.22500000000000001</c:v>
                </c:pt>
                <c:pt idx="6">
                  <c:v>0.27</c:v>
                </c:pt>
                <c:pt idx="7">
                  <c:v>0.31500000000000006</c:v>
                </c:pt>
                <c:pt idx="8">
                  <c:v>0.36</c:v>
                </c:pt>
                <c:pt idx="9">
                  <c:v>0.40499999999999997</c:v>
                </c:pt>
                <c:pt idx="10">
                  <c:v>0.45</c:v>
                </c:pt>
                <c:pt idx="11">
                  <c:v>0.495</c:v>
                </c:pt>
                <c:pt idx="12">
                  <c:v>0.54</c:v>
                </c:pt>
                <c:pt idx="13">
                  <c:v>0.58499999999999996</c:v>
                </c:pt>
                <c:pt idx="14">
                  <c:v>0.63000000000000012</c:v>
                </c:pt>
                <c:pt idx="15">
                  <c:v>0.67499999999999993</c:v>
                </c:pt>
                <c:pt idx="16">
                  <c:v>0.72</c:v>
                </c:pt>
                <c:pt idx="17">
                  <c:v>0.76500000000000001</c:v>
                </c:pt>
                <c:pt idx="18">
                  <c:v>0.80999999999999994</c:v>
                </c:pt>
                <c:pt idx="19">
                  <c:v>0.85499999999999998</c:v>
                </c:pt>
                <c:pt idx="20">
                  <c:v>0.9</c:v>
                </c:pt>
                <c:pt idx="21">
                  <c:v>0.94499999999999995</c:v>
                </c:pt>
                <c:pt idx="22">
                  <c:v>0.99</c:v>
                </c:pt>
                <c:pt idx="23">
                  <c:v>1.0350000000000001</c:v>
                </c:pt>
                <c:pt idx="24">
                  <c:v>1.08</c:v>
                </c:pt>
                <c:pt idx="25">
                  <c:v>1.125</c:v>
                </c:pt>
                <c:pt idx="26">
                  <c:v>1.17</c:v>
                </c:pt>
                <c:pt idx="27">
                  <c:v>1.2150000000000001</c:v>
                </c:pt>
                <c:pt idx="28">
                  <c:v>1.2600000000000002</c:v>
                </c:pt>
                <c:pt idx="29">
                  <c:v>1.3049999999999999</c:v>
                </c:pt>
                <c:pt idx="30">
                  <c:v>1.3499999999999999</c:v>
                </c:pt>
                <c:pt idx="31">
                  <c:v>1.395</c:v>
                </c:pt>
                <c:pt idx="32">
                  <c:v>1.44</c:v>
                </c:pt>
                <c:pt idx="33">
                  <c:v>1.4850000000000001</c:v>
                </c:pt>
                <c:pt idx="34">
                  <c:v>1.53</c:v>
                </c:pt>
                <c:pt idx="35">
                  <c:v>1.575</c:v>
                </c:pt>
                <c:pt idx="36">
                  <c:v>1.6199999999999999</c:v>
                </c:pt>
                <c:pt idx="37">
                  <c:v>1.665</c:v>
                </c:pt>
                <c:pt idx="38">
                  <c:v>1.71</c:v>
                </c:pt>
                <c:pt idx="39">
                  <c:v>1.7550000000000001</c:v>
                </c:pt>
                <c:pt idx="40">
                  <c:v>1.8</c:v>
                </c:pt>
                <c:pt idx="41">
                  <c:v>1.845</c:v>
                </c:pt>
                <c:pt idx="42">
                  <c:v>1.89</c:v>
                </c:pt>
                <c:pt idx="43">
                  <c:v>1.9350000000000001</c:v>
                </c:pt>
                <c:pt idx="44">
                  <c:v>1.98</c:v>
                </c:pt>
                <c:pt idx="45">
                  <c:v>2.0249999999999999</c:v>
                </c:pt>
                <c:pt idx="46">
                  <c:v>2.0700000000000003</c:v>
                </c:pt>
                <c:pt idx="47">
                  <c:v>2.1149999999999998</c:v>
                </c:pt>
                <c:pt idx="48">
                  <c:v>2.16</c:v>
                </c:pt>
                <c:pt idx="49">
                  <c:v>2.2050000000000001</c:v>
                </c:pt>
                <c:pt idx="50">
                  <c:v>2.25</c:v>
                </c:pt>
                <c:pt idx="51">
                  <c:v>2.2949999999999999</c:v>
                </c:pt>
                <c:pt idx="52">
                  <c:v>2.34</c:v>
                </c:pt>
                <c:pt idx="53">
                  <c:v>2.3850000000000002</c:v>
                </c:pt>
                <c:pt idx="54">
                  <c:v>2.4300000000000002</c:v>
                </c:pt>
                <c:pt idx="55">
                  <c:v>2.4750000000000001</c:v>
                </c:pt>
                <c:pt idx="56">
                  <c:v>2.5200000000000005</c:v>
                </c:pt>
                <c:pt idx="57">
                  <c:v>2.5649999999999999</c:v>
                </c:pt>
                <c:pt idx="58">
                  <c:v>2.61</c:v>
                </c:pt>
                <c:pt idx="59">
                  <c:v>2.6549999999999998</c:v>
                </c:pt>
                <c:pt idx="60">
                  <c:v>2.6999999999999997</c:v>
                </c:pt>
                <c:pt idx="61">
                  <c:v>2.7450000000000001</c:v>
                </c:pt>
                <c:pt idx="62">
                  <c:v>2.79</c:v>
                </c:pt>
                <c:pt idx="63">
                  <c:v>2.835</c:v>
                </c:pt>
                <c:pt idx="64">
                  <c:v>2.88</c:v>
                </c:pt>
                <c:pt idx="65">
                  <c:v>2.9250000000000003</c:v>
                </c:pt>
                <c:pt idx="66">
                  <c:v>2.97</c:v>
                </c:pt>
                <c:pt idx="67">
                  <c:v>3.0150000000000001</c:v>
                </c:pt>
                <c:pt idx="68">
                  <c:v>3.06</c:v>
                </c:pt>
                <c:pt idx="69">
                  <c:v>3.1049999999999995</c:v>
                </c:pt>
                <c:pt idx="70">
                  <c:v>3.15</c:v>
                </c:pt>
                <c:pt idx="71">
                  <c:v>3.1949999999999998</c:v>
                </c:pt>
                <c:pt idx="72">
                  <c:v>3.2399999999999998</c:v>
                </c:pt>
                <c:pt idx="73">
                  <c:v>3.2850000000000001</c:v>
                </c:pt>
                <c:pt idx="74">
                  <c:v>3.33</c:v>
                </c:pt>
                <c:pt idx="75">
                  <c:v>3.375</c:v>
                </c:pt>
                <c:pt idx="76">
                  <c:v>3.42</c:v>
                </c:pt>
                <c:pt idx="77">
                  <c:v>3.4649999999999999</c:v>
                </c:pt>
                <c:pt idx="78">
                  <c:v>3.5100000000000002</c:v>
                </c:pt>
                <c:pt idx="79">
                  <c:v>3.5550000000000002</c:v>
                </c:pt>
                <c:pt idx="80">
                  <c:v>3.6</c:v>
                </c:pt>
                <c:pt idx="81">
                  <c:v>3.6450000000000005</c:v>
                </c:pt>
                <c:pt idx="82">
                  <c:v>3.69</c:v>
                </c:pt>
                <c:pt idx="83">
                  <c:v>3.7349999999999999</c:v>
                </c:pt>
                <c:pt idx="84">
                  <c:v>3.78</c:v>
                </c:pt>
                <c:pt idx="85">
                  <c:v>3.8249999999999997</c:v>
                </c:pt>
                <c:pt idx="86">
                  <c:v>3.87</c:v>
                </c:pt>
                <c:pt idx="87">
                  <c:v>3.915</c:v>
                </c:pt>
                <c:pt idx="88">
                  <c:v>3.96</c:v>
                </c:pt>
                <c:pt idx="89">
                  <c:v>4.0049999999999999</c:v>
                </c:pt>
                <c:pt idx="90">
                  <c:v>4.05</c:v>
                </c:pt>
                <c:pt idx="91">
                  <c:v>4.0949999999999998</c:v>
                </c:pt>
                <c:pt idx="92">
                  <c:v>4.1400000000000006</c:v>
                </c:pt>
                <c:pt idx="93">
                  <c:v>4.1850000000000005</c:v>
                </c:pt>
                <c:pt idx="94">
                  <c:v>4.2299999999999995</c:v>
                </c:pt>
                <c:pt idx="95">
                  <c:v>4.2749999999999995</c:v>
                </c:pt>
                <c:pt idx="96">
                  <c:v>4.32</c:v>
                </c:pt>
                <c:pt idx="97">
                  <c:v>4.3650000000000002</c:v>
                </c:pt>
                <c:pt idx="98">
                  <c:v>4.41</c:v>
                </c:pt>
                <c:pt idx="99">
                  <c:v>4.4550000000000001</c:v>
                </c:pt>
                <c:pt idx="100">
                  <c:v>4.5</c:v>
                </c:pt>
                <c:pt idx="101">
                  <c:v>4.5449999999999999</c:v>
                </c:pt>
                <c:pt idx="102">
                  <c:v>4.59</c:v>
                </c:pt>
                <c:pt idx="103">
                  <c:v>4.6349999999999998</c:v>
                </c:pt>
                <c:pt idx="104">
                  <c:v>4.68</c:v>
                </c:pt>
                <c:pt idx="105">
                  <c:v>4.7250000000000005</c:v>
                </c:pt>
                <c:pt idx="106">
                  <c:v>4.7700000000000005</c:v>
                </c:pt>
                <c:pt idx="107">
                  <c:v>4.8150000000000004</c:v>
                </c:pt>
                <c:pt idx="108">
                  <c:v>4.8600000000000003</c:v>
                </c:pt>
                <c:pt idx="109">
                  <c:v>4.9050000000000002</c:v>
                </c:pt>
                <c:pt idx="110">
                  <c:v>4.95</c:v>
                </c:pt>
                <c:pt idx="111">
                  <c:v>4.9950000000000001</c:v>
                </c:pt>
                <c:pt idx="112">
                  <c:v>5.0400000000000009</c:v>
                </c:pt>
                <c:pt idx="113">
                  <c:v>5.0849999999999991</c:v>
                </c:pt>
                <c:pt idx="114">
                  <c:v>5.13</c:v>
                </c:pt>
                <c:pt idx="115">
                  <c:v>5.1749999999999998</c:v>
                </c:pt>
                <c:pt idx="116">
                  <c:v>5.22</c:v>
                </c:pt>
                <c:pt idx="117">
                  <c:v>5.2649999999999997</c:v>
                </c:pt>
                <c:pt idx="118">
                  <c:v>5.31</c:v>
                </c:pt>
                <c:pt idx="119">
                  <c:v>5.3549999999999995</c:v>
                </c:pt>
                <c:pt idx="120">
                  <c:v>5.3999999999999995</c:v>
                </c:pt>
                <c:pt idx="121">
                  <c:v>5.4450000000000003</c:v>
                </c:pt>
                <c:pt idx="122">
                  <c:v>5.49</c:v>
                </c:pt>
                <c:pt idx="123">
                  <c:v>5.5350000000000001</c:v>
                </c:pt>
                <c:pt idx="124">
                  <c:v>5.58</c:v>
                </c:pt>
                <c:pt idx="125">
                  <c:v>5.625</c:v>
                </c:pt>
                <c:pt idx="126">
                  <c:v>5.67</c:v>
                </c:pt>
                <c:pt idx="127">
                  <c:v>5.7149999999999999</c:v>
                </c:pt>
                <c:pt idx="128">
                  <c:v>5.76</c:v>
                </c:pt>
                <c:pt idx="129">
                  <c:v>5.8049999999999997</c:v>
                </c:pt>
                <c:pt idx="130">
                  <c:v>5.8500000000000005</c:v>
                </c:pt>
                <c:pt idx="131">
                  <c:v>5.8950000000000005</c:v>
                </c:pt>
                <c:pt idx="132">
                  <c:v>5.94</c:v>
                </c:pt>
                <c:pt idx="133">
                  <c:v>5.9850000000000003</c:v>
                </c:pt>
                <c:pt idx="134">
                  <c:v>6.03</c:v>
                </c:pt>
                <c:pt idx="135">
                  <c:v>6.0750000000000002</c:v>
                </c:pt>
                <c:pt idx="136">
                  <c:v>6.12</c:v>
                </c:pt>
                <c:pt idx="137">
                  <c:v>6.1650000000000009</c:v>
                </c:pt>
                <c:pt idx="138">
                  <c:v>6.2099999999999991</c:v>
                </c:pt>
                <c:pt idx="139">
                  <c:v>6.2549999999999999</c:v>
                </c:pt>
                <c:pt idx="140">
                  <c:v>6.3</c:v>
                </c:pt>
                <c:pt idx="141">
                  <c:v>6.3449999999999998</c:v>
                </c:pt>
                <c:pt idx="142">
                  <c:v>6.39</c:v>
                </c:pt>
                <c:pt idx="143">
                  <c:v>6.4349999999999996</c:v>
                </c:pt>
                <c:pt idx="144">
                  <c:v>6.4799999999999995</c:v>
                </c:pt>
                <c:pt idx="145">
                  <c:v>6.5249999999999995</c:v>
                </c:pt>
                <c:pt idx="146">
                  <c:v>6.57</c:v>
                </c:pt>
                <c:pt idx="147">
                  <c:v>6.6150000000000002</c:v>
                </c:pt>
                <c:pt idx="148">
                  <c:v>6.66</c:v>
                </c:pt>
                <c:pt idx="149">
                  <c:v>6.7050000000000001</c:v>
                </c:pt>
                <c:pt idx="150">
                  <c:v>6.75</c:v>
                </c:pt>
                <c:pt idx="151">
                  <c:v>6.7949999999999999</c:v>
                </c:pt>
                <c:pt idx="152">
                  <c:v>6.84</c:v>
                </c:pt>
                <c:pt idx="153">
                  <c:v>6.8849999999999998</c:v>
                </c:pt>
                <c:pt idx="154">
                  <c:v>6.93</c:v>
                </c:pt>
                <c:pt idx="155">
                  <c:v>6.9750000000000005</c:v>
                </c:pt>
                <c:pt idx="156">
                  <c:v>7.0200000000000005</c:v>
                </c:pt>
                <c:pt idx="157">
                  <c:v>7.0650000000000004</c:v>
                </c:pt>
                <c:pt idx="158">
                  <c:v>7.11</c:v>
                </c:pt>
                <c:pt idx="159">
                  <c:v>7.1550000000000002</c:v>
                </c:pt>
                <c:pt idx="160">
                  <c:v>7.2</c:v>
                </c:pt>
                <c:pt idx="161">
                  <c:v>7.2450000000000001</c:v>
                </c:pt>
                <c:pt idx="162">
                  <c:v>7.2900000000000009</c:v>
                </c:pt>
                <c:pt idx="163">
                  <c:v>7.3349999999999991</c:v>
                </c:pt>
                <c:pt idx="164">
                  <c:v>7.38</c:v>
                </c:pt>
                <c:pt idx="165">
                  <c:v>7.4249999999999998</c:v>
                </c:pt>
                <c:pt idx="166">
                  <c:v>7.47</c:v>
                </c:pt>
                <c:pt idx="167">
                  <c:v>7.5149999999999997</c:v>
                </c:pt>
                <c:pt idx="168">
                  <c:v>7.56</c:v>
                </c:pt>
                <c:pt idx="169">
                  <c:v>7.6049999999999995</c:v>
                </c:pt>
                <c:pt idx="170">
                  <c:v>7.6499999999999995</c:v>
                </c:pt>
                <c:pt idx="171">
                  <c:v>7.6950000000000003</c:v>
                </c:pt>
                <c:pt idx="172">
                  <c:v>7.74</c:v>
                </c:pt>
                <c:pt idx="173">
                  <c:v>7.7850000000000001</c:v>
                </c:pt>
                <c:pt idx="174">
                  <c:v>7.83</c:v>
                </c:pt>
                <c:pt idx="175">
                  <c:v>7.875</c:v>
                </c:pt>
                <c:pt idx="176">
                  <c:v>7.92</c:v>
                </c:pt>
                <c:pt idx="177">
                  <c:v>7.9649999999999999</c:v>
                </c:pt>
                <c:pt idx="178">
                  <c:v>8.01</c:v>
                </c:pt>
                <c:pt idx="179">
                  <c:v>8.0549999999999997</c:v>
                </c:pt>
                <c:pt idx="180">
                  <c:v>8.1</c:v>
                </c:pt>
                <c:pt idx="181">
                  <c:v>8.1449999999999996</c:v>
                </c:pt>
                <c:pt idx="182">
                  <c:v>8.19</c:v>
                </c:pt>
                <c:pt idx="183">
                  <c:v>8.2349999999999994</c:v>
                </c:pt>
                <c:pt idx="184">
                  <c:v>8.2800000000000011</c:v>
                </c:pt>
                <c:pt idx="185">
                  <c:v>8.3250000000000011</c:v>
                </c:pt>
                <c:pt idx="186">
                  <c:v>8.370000000000001</c:v>
                </c:pt>
                <c:pt idx="187">
                  <c:v>8.4150000000000009</c:v>
                </c:pt>
                <c:pt idx="188">
                  <c:v>8.4599999999999991</c:v>
                </c:pt>
                <c:pt idx="189">
                  <c:v>8.504999999999999</c:v>
                </c:pt>
                <c:pt idx="190">
                  <c:v>8.5499999999999989</c:v>
                </c:pt>
                <c:pt idx="191">
                  <c:v>8.5949999999999989</c:v>
                </c:pt>
                <c:pt idx="192">
                  <c:v>8.64</c:v>
                </c:pt>
                <c:pt idx="193">
                  <c:v>8.6850000000000005</c:v>
                </c:pt>
                <c:pt idx="194">
                  <c:v>8.73</c:v>
                </c:pt>
                <c:pt idx="195">
                  <c:v>8.7750000000000004</c:v>
                </c:pt>
                <c:pt idx="196">
                  <c:v>8.82</c:v>
                </c:pt>
                <c:pt idx="197">
                  <c:v>8.8650000000000002</c:v>
                </c:pt>
                <c:pt idx="198">
                  <c:v>8.91</c:v>
                </c:pt>
                <c:pt idx="199">
                  <c:v>8.9550000000000001</c:v>
                </c:pt>
                <c:pt idx="200">
                  <c:v>9</c:v>
                </c:pt>
              </c:numCache>
            </c:numRef>
          </c:xVal>
          <c:yVal>
            <c:numRef>
              <c:f>'Power Calculations'!$AC$9:$AC$209</c:f>
              <c:numCache>
                <c:formatCode>0.0000</c:formatCode>
                <c:ptCount val="201"/>
                <c:pt idx="0">
                  <c:v>2.749893304751411E-2</c:v>
                </c:pt>
                <c:pt idx="1">
                  <c:v>2.7662616738596622E-2</c:v>
                </c:pt>
                <c:pt idx="2">
                  <c:v>3.589880757969946E-2</c:v>
                </c:pt>
                <c:pt idx="3">
                  <c:v>4.4064850595160014E-2</c:v>
                </c:pt>
                <c:pt idx="4">
                  <c:v>5.216093962349648E-2</c:v>
                </c:pt>
                <c:pt idx="5">
                  <c:v>6.0187265451852816E-2</c:v>
                </c:pt>
                <c:pt idx="6">
                  <c:v>6.8144015828263113E-2</c:v>
                </c:pt>
                <c:pt idx="7">
                  <c:v>7.6031375473583962E-2</c:v>
                </c:pt>
                <c:pt idx="8">
                  <c:v>8.3849526093097815E-2</c:v>
                </c:pt>
                <c:pt idx="9">
                  <c:v>9.1598646387788432E-2</c:v>
                </c:pt>
                <c:pt idx="10">
                  <c:v>9.9278912065289313E-2</c:v>
                </c:pt>
                <c:pt idx="11">
                  <c:v>0.10689049585050746</c:v>
                </c:pt>
                <c:pt idx="12">
                  <c:v>0.11443356749592297</c:v>
                </c:pt>
                <c:pt idx="13">
                  <c:v>0.1219082937915659</c:v>
                </c:pt>
                <c:pt idx="14">
                  <c:v>0.1293148385746718</c:v>
                </c:pt>
                <c:pt idx="15">
                  <c:v>0.13665336273901632</c:v>
                </c:pt>
                <c:pt idx="16">
                  <c:v>0.14392402424393136</c:v>
                </c:pt>
                <c:pt idx="17">
                  <c:v>0.15112697812300141</c:v>
                </c:pt>
                <c:pt idx="18">
                  <c:v>0.15826237649244329</c:v>
                </c:pt>
                <c:pt idx="19">
                  <c:v>0.16533036855916927</c:v>
                </c:pt>
                <c:pt idx="20">
                  <c:v>0.17233110062853288</c:v>
                </c:pt>
                <c:pt idx="21">
                  <c:v>0.17926471611176101</c:v>
                </c:pt>
                <c:pt idx="22">
                  <c:v>0.1861313555330705</c:v>
                </c:pt>
                <c:pt idx="23">
                  <c:v>0.1929311565364705</c:v>
                </c:pt>
                <c:pt idx="24">
                  <c:v>0.19966425389225195</c:v>
                </c:pt>
                <c:pt idx="25">
                  <c:v>0.20454576481179448</c:v>
                </c:pt>
                <c:pt idx="26">
                  <c:v>0.20704602367746164</c:v>
                </c:pt>
                <c:pt idx="27">
                  <c:v>0.20959390502177533</c:v>
                </c:pt>
                <c:pt idx="28">
                  <c:v>0.2121895099527816</c:v>
                </c:pt>
                <c:pt idx="29">
                  <c:v>0.21483294185659649</c:v>
                </c:pt>
                <c:pt idx="30">
                  <c:v>0.21752430640874712</c:v>
                </c:pt>
                <c:pt idx="31">
                  <c:v>0.22026371158579292</c:v>
                </c:pt>
                <c:pt idx="32">
                  <c:v>0.22305126767722916</c:v>
                </c:pt>
                <c:pt idx="33">
                  <c:v>0.22588708729767557</c:v>
                </c:pt>
                <c:pt idx="34">
                  <c:v>0.22877128539935246</c:v>
                </c:pt>
                <c:pt idx="35">
                  <c:v>0.23170397928484687</c:v>
                </c:pt>
                <c:pt idx="36">
                  <c:v>0.23468528862017199</c:v>
                </c:pt>
                <c:pt idx="37">
                  <c:v>0.23771533544812187</c:v>
                </c:pt>
                <c:pt idx="38">
                  <c:v>0.24079424420192544</c:v>
                </c:pt>
                <c:pt idx="39">
                  <c:v>0.24392214171920121</c:v>
                </c:pt>
                <c:pt idx="40">
                  <c:v>0.24709915725621767</c:v>
                </c:pt>
                <c:pt idx="41">
                  <c:v>0.25032542250246009</c:v>
                </c:pt>
                <c:pt idx="42">
                  <c:v>0.25360107159550921</c:v>
                </c:pt>
                <c:pt idx="43">
                  <c:v>0.25692624113623375</c:v>
                </c:pt>
                <c:pt idx="44">
                  <c:v>0.26030107020429971</c:v>
                </c:pt>
                <c:pt idx="45">
                  <c:v>0.26372570037400167</c:v>
                </c:pt>
                <c:pt idx="46">
                  <c:v>0.26720027573041732</c:v>
                </c:pt>
                <c:pt idx="47">
                  <c:v>0.27072494288589005</c:v>
                </c:pt>
                <c:pt idx="48">
                  <c:v>0.2742998509968439</c:v>
                </c:pt>
                <c:pt idx="49">
                  <c:v>0.27792515178093236</c:v>
                </c:pt>
                <c:pt idx="50">
                  <c:v>0.28160099953452711</c:v>
                </c:pt>
                <c:pt idx="51">
                  <c:v>0.2853275511505497</c:v>
                </c:pt>
                <c:pt idx="52">
                  <c:v>0.28910496613664965</c:v>
                </c:pt>
                <c:pt idx="53">
                  <c:v>0.29293340663373385</c:v>
                </c:pt>
                <c:pt idx="54">
                  <c:v>0.29681303743485082</c:v>
                </c:pt>
                <c:pt idx="55">
                  <c:v>0.30074402600443495</c:v>
                </c:pt>
                <c:pt idx="56">
                  <c:v>0.30472654249791409</c:v>
                </c:pt>
                <c:pt idx="57">
                  <c:v>0.3087607597816846</c:v>
                </c:pt>
                <c:pt idx="58">
                  <c:v>0.3128468534534613</c:v>
                </c:pt>
                <c:pt idx="59">
                  <c:v>0.31698500186300177</c:v>
                </c:pt>
                <c:pt idx="60">
                  <c:v>0.32117538613321578</c:v>
                </c:pt>
                <c:pt idx="61">
                  <c:v>0.32541819018165918</c:v>
                </c:pt>
                <c:pt idx="62">
                  <c:v>0.32971360074242129</c:v>
                </c:pt>
                <c:pt idx="63">
                  <c:v>0.33406180738840863</c:v>
                </c:pt>
                <c:pt idx="64">
                  <c:v>0.33846300255403106</c:v>
                </c:pt>
                <c:pt idx="65">
                  <c:v>0.34291738155829438</c:v>
                </c:pt>
                <c:pt idx="66">
                  <c:v>0.34742514262830737</c:v>
                </c:pt>
                <c:pt idx="67">
                  <c:v>0.35198648692320522</c:v>
                </c:pt>
                <c:pt idx="68">
                  <c:v>0.35660161855849848</c:v>
                </c:pt>
                <c:pt idx="69">
                  <c:v>0.36127074463085013</c:v>
                </c:pt>
                <c:pt idx="70">
                  <c:v>0.36599407524328947</c:v>
                </c:pt>
                <c:pt idx="71">
                  <c:v>0.3707718235308663</c:v>
                </c:pt>
                <c:pt idx="72">
                  <c:v>0.37560420568675312</c:v>
                </c:pt>
                <c:pt idx="73">
                  <c:v>0.38049144098880155</c:v>
                </c:pt>
                <c:pt idx="74">
                  <c:v>0.38543375182655781</c:v>
                </c:pt>
                <c:pt idx="75">
                  <c:v>0.39043136372874537</c:v>
                </c:pt>
                <c:pt idx="76">
                  <c:v>0.39548450539122093</c:v>
                </c:pt>
                <c:pt idx="77">
                  <c:v>0.40059340870541021</c:v>
                </c:pt>
                <c:pt idx="78">
                  <c:v>0.40575830878723068</c:v>
                </c:pt>
                <c:pt idx="79">
                  <c:v>0.4109794440065076</c:v>
                </c:pt>
                <c:pt idx="80">
                  <c:v>0.41625705601689245</c:v>
                </c:pt>
                <c:pt idx="81">
                  <c:v>0.42159138978628807</c:v>
                </c:pt>
                <c:pt idx="82">
                  <c:v>0.42698269362779162</c:v>
                </c:pt>
                <c:pt idx="83">
                  <c:v>0.43243121923115996</c:v>
                </c:pt>
                <c:pt idx="84">
                  <c:v>0.4379372216948062</c:v>
                </c:pt>
                <c:pt idx="85">
                  <c:v>0.44350095955833618</c:v>
                </c:pt>
                <c:pt idx="86">
                  <c:v>0.44912269483563283</c:v>
                </c:pt>
                <c:pt idx="87">
                  <c:v>0.4548026930484948</c:v>
                </c:pt>
                <c:pt idx="88">
                  <c:v>0.46054122326084146</c:v>
                </c:pt>
                <c:pt idx="89">
                  <c:v>0.46633855811348823</c:v>
                </c:pt>
                <c:pt idx="90">
                  <c:v>0.47219497385950626</c:v>
                </c:pt>
                <c:pt idx="91">
                  <c:v>0.47811075040017081</c:v>
                </c:pt>
                <c:pt idx="92">
                  <c:v>0.48408617132151094</c:v>
                </c:pt>
                <c:pt idx="93">
                  <c:v>0.49012152393146613</c:v>
                </c:pt>
                <c:pt idx="94">
                  <c:v>0.49621709929766628</c:v>
                </c:pt>
                <c:pt idx="95">
                  <c:v>0.5023731922858351</c:v>
                </c:pt>
                <c:pt idx="96">
                  <c:v>0.508590101598836</c:v>
                </c:pt>
                <c:pt idx="97">
                  <c:v>0.5148681298163641</c:v>
                </c:pt>
                <c:pt idx="98">
                  <c:v>0.52120758343529994</c:v>
                </c:pt>
                <c:pt idx="99">
                  <c:v>0.52760877291073072</c:v>
                </c:pt>
                <c:pt idx="100">
                  <c:v>0.53407201269765425</c:v>
                </c:pt>
                <c:pt idx="101">
                  <c:v>0.5405976212933723</c:v>
                </c:pt>
                <c:pt idx="102">
                  <c:v>0.54718592128058896</c:v>
                </c:pt>
                <c:pt idx="103">
                  <c:v>0.55383723937122253</c:v>
                </c:pt>
                <c:pt idx="104">
                  <c:v>0.56055190645094377</c:v>
                </c:pt>
                <c:pt idx="105">
                  <c:v>0.56733025762445255</c:v>
                </c:pt>
                <c:pt idx="106">
                  <c:v>0.57417263226150528</c:v>
                </c:pt>
                <c:pt idx="107">
                  <c:v>0.58107937404370424</c:v>
                </c:pt>
                <c:pt idx="108">
                  <c:v>0.58805083101206457</c:v>
                </c:pt>
                <c:pt idx="109">
                  <c:v>0.5950873556153693</c:v>
                </c:pt>
                <c:pt idx="110">
                  <c:v>0.60218930475932486</c:v>
                </c:pt>
                <c:pt idx="111">
                  <c:v>0.60935703985653644</c:v>
                </c:pt>
                <c:pt idx="112">
                  <c:v>0.61659092687730832</c:v>
                </c:pt>
                <c:pt idx="113">
                  <c:v>0.6238913364012908</c:v>
                </c:pt>
                <c:pt idx="114">
                  <c:v>0.63125864366998752</c:v>
                </c:pt>
                <c:pt idx="115">
                  <c:v>0.63869322864012945</c:v>
                </c:pt>
                <c:pt idx="116">
                  <c:v>0.64619547603794436</c:v>
                </c:pt>
                <c:pt idx="117">
                  <c:v>0.6537657754143249</c:v>
                </c:pt>
                <c:pt idx="118">
                  <c:v>0.66140452120091886</c:v>
                </c:pt>
                <c:pt idx="119">
                  <c:v>0.66911211276715343</c:v>
                </c:pt>
                <c:pt idx="120">
                  <c:v>0.67688895447821273</c:v>
                </c:pt>
                <c:pt idx="121">
                  <c:v>0.6847354557539822</c:v>
                </c:pt>
                <c:pt idx="122">
                  <c:v>0.69265203112898144</c:v>
                </c:pt>
                <c:pt idx="123">
                  <c:v>0.70063910031329757</c:v>
                </c:pt>
                <c:pt idx="124">
                  <c:v>0.70869708825454214</c:v>
                </c:pt>
                <c:pt idx="125">
                  <c:v>0.71682642520084705</c:v>
                </c:pt>
                <c:pt idx="126">
                  <c:v>0.72502754676491676</c:v>
                </c:pt>
                <c:pt idx="127">
                  <c:v>0.73330089398916221</c:v>
                </c:pt>
                <c:pt idx="128">
                  <c:v>0.74164691341192501</c:v>
                </c:pt>
                <c:pt idx="129">
                  <c:v>0.75006605713482499</c:v>
                </c:pt>
                <c:pt idx="130">
                  <c:v>0.75855878289124146</c:v>
                </c:pt>
                <c:pt idx="131">
                  <c:v>0.76712555411595107</c:v>
                </c:pt>
                <c:pt idx="132">
                  <c:v>0.7757668400159472</c:v>
                </c:pt>
                <c:pt idx="133">
                  <c:v>0.78448311564246009</c:v>
                </c:pt>
                <c:pt idx="134">
                  <c:v>0.79327486196419805</c:v>
                </c:pt>
                <c:pt idx="135">
                  <c:v>0.80214256594183542</c:v>
                </c:pt>
                <c:pt idx="136">
                  <c:v>0.81108672060376952</c:v>
                </c:pt>
                <c:pt idx="137">
                  <c:v>0.82010782512317015</c:v>
                </c:pt>
                <c:pt idx="138">
                  <c:v>0.82920638489634424</c:v>
                </c:pt>
                <c:pt idx="139">
                  <c:v>0.83838291162244516</c:v>
                </c:pt>
                <c:pt idx="140">
                  <c:v>0.84763792338454558</c:v>
                </c:pt>
                <c:pt idx="141">
                  <c:v>0.85697194473210392</c:v>
                </c:pt>
                <c:pt idx="142">
                  <c:v>0.86638550676485215</c:v>
                </c:pt>
                <c:pt idx="143">
                  <c:v>0.87587914721812488</c:v>
                </c:pt>
                <c:pt idx="144">
                  <c:v>0.88545341054966831</c:v>
                </c:pt>
                <c:pt idx="145">
                  <c:v>0.89510884802794555</c:v>
                </c:pt>
                <c:pt idx="146">
                  <c:v>0.90484601782197593</c:v>
                </c:pt>
                <c:pt idx="147">
                  <c:v>0.9146654850927356</c:v>
                </c:pt>
                <c:pt idx="148">
                  <c:v>0.92456782208614585</c:v>
                </c:pt>
                <c:pt idx="149">
                  <c:v>0.93455360822768707</c:v>
                </c:pt>
                <c:pt idx="150">
                  <c:v>0.94462343021866013</c:v>
                </c:pt>
                <c:pt idx="151">
                  <c:v>0.95477788213414028</c:v>
                </c:pt>
                <c:pt idx="152">
                  <c:v>0.96501756552264617</c:v>
                </c:pt>
                <c:pt idx="153">
                  <c:v>0.97534308950756021</c:v>
                </c:pt>
                <c:pt idx="154">
                  <c:v>0.98575507089033976</c:v>
                </c:pt>
                <c:pt idx="155">
                  <c:v>0.99625413425554754</c:v>
                </c:pt>
                <c:pt idx="156">
                  <c:v>1.0068409120777435</c:v>
                </c:pt>
                <c:pt idx="157">
                  <c:v>1.0175160448302718</c:v>
                </c:pt>
                <c:pt idx="158">
                  <c:v>1.0282801810959821</c:v>
                </c:pt>
                <c:pt idx="159">
                  <c:v>1.0391339776799229</c:v>
                </c:pt>
                <c:pt idx="160">
                  <c:v>1.0500780997240478</c:v>
                </c:pt>
                <c:pt idx="161">
                  <c:v>1.0611132208239762</c:v>
                </c:pt>
                <c:pt idx="162">
                  <c:v>1.0722400231478486</c:v>
                </c:pt>
                <c:pt idx="163">
                  <c:v>1.0834591975573158</c:v>
                </c:pt>
                <c:pt idx="164">
                  <c:v>1.0947714437307197</c:v>
                </c:pt>
                <c:pt idx="165">
                  <c:v>1.1061774702884846</c:v>
                </c:pt>
                <c:pt idx="166">
                  <c:v>1.1176779949207949</c:v>
                </c:pt>
                <c:pt idx="167">
                  <c:v>1.1292737445175836</c:v>
                </c:pt>
                <c:pt idx="168">
                  <c:v>1.140965455300887</c:v>
                </c:pt>
                <c:pt idx="169">
                  <c:v>1.1527538729596207</c:v>
                </c:pt>
                <c:pt idx="170">
                  <c:v>1.1646397527868149</c:v>
                </c:pt>
                <c:pt idx="171">
                  <c:v>1.1766238598193719</c:v>
                </c:pt>
                <c:pt idx="172">
                  <c:v>1.1887069689803913</c:v>
                </c:pt>
                <c:pt idx="173">
                  <c:v>1.2008898652241202</c:v>
                </c:pt>
                <c:pt idx="174">
                  <c:v>1.2131733436835863</c:v>
                </c:pt>
                <c:pt idx="175">
                  <c:v>1.2255582098209592</c:v>
                </c:pt>
                <c:pt idx="176">
                  <c:v>1.2380452795807169</c:v>
                </c:pt>
                <c:pt idx="177">
                  <c:v>1.250635379545656</c:v>
                </c:pt>
                <c:pt idx="178">
                  <c:v>1.2633293470958264</c:v>
                </c:pt>
                <c:pt idx="179">
                  <c:v>1.2761280305704352</c:v>
                </c:pt>
                <c:pt idx="180">
                  <c:v>1.2890322894327999</c:v>
                </c:pt>
                <c:pt idx="181">
                  <c:v>1.3020429944383998</c:v>
                </c:pt>
                <c:pt idx="182">
                  <c:v>1.3151610278061132</c:v>
                </c:pt>
                <c:pt idx="183">
                  <c:v>1.328387283392688</c:v>
                </c:pt>
                <c:pt idx="184">
                  <c:v>1.3417226668705335</c:v>
                </c:pt>
                <c:pt idx="185">
                  <c:v>1.3551680959088941</c:v>
                </c:pt>
                <c:pt idx="186">
                  <c:v>1.3687245003584885</c:v>
                </c:pt>
                <c:pt idx="187">
                  <c:v>1.3823928224396835</c:v>
                </c:pt>
                <c:pt idx="188">
                  <c:v>1.3961740169342824</c:v>
                </c:pt>
                <c:pt idx="189">
                  <c:v>1.410069051381013</c:v>
                </c:pt>
                <c:pt idx="190">
                  <c:v>1.4240789062747896</c:v>
                </c:pt>
                <c:pt idx="191">
                  <c:v>1.4382045752698394</c:v>
                </c:pt>
                <c:pt idx="192">
                  <c:v>1.4524470653867736</c:v>
                </c:pt>
                <c:pt idx="193">
                  <c:v>1.4668073972237046</c:v>
                </c:pt>
                <c:pt idx="194">
                  <c:v>1.4812866051714766</c:v>
                </c:pt>
                <c:pt idx="195">
                  <c:v>1.4958857376331369</c:v>
                </c:pt>
                <c:pt idx="196">
                  <c:v>1.5106058572477075</c:v>
                </c:pt>
                <c:pt idx="197">
                  <c:v>1.5254480411183826</c:v>
                </c:pt>
                <c:pt idx="198">
                  <c:v>1.5404133810452398</c:v>
                </c:pt>
                <c:pt idx="199">
                  <c:v>1.5555029837625656</c:v>
                </c:pt>
                <c:pt idx="200">
                  <c:v>1.5707179711809229</c:v>
                </c:pt>
              </c:numCache>
            </c:numRef>
          </c:yVal>
          <c:smooth val="0"/>
          <c:extLst>
            <c:ext xmlns:c16="http://schemas.microsoft.com/office/drawing/2014/chart" uri="{C3380CC4-5D6E-409C-BE32-E72D297353CC}">
              <c16:uniqueId val="{00000000-10C0-444D-84FA-8FD69F5D8657}"/>
            </c:ext>
          </c:extLst>
        </c:ser>
        <c:ser>
          <c:idx val="3"/>
          <c:order val="1"/>
          <c:tx>
            <c:v>Bottom FET</c:v>
          </c:tx>
          <c:spPr>
            <a:ln w="25400">
              <a:solidFill>
                <a:srgbClr val="FF0000"/>
              </a:solidFill>
              <a:prstDash val="solid"/>
            </a:ln>
          </c:spPr>
          <c:marker>
            <c:symbol val="none"/>
          </c:marker>
          <c:xVal>
            <c:numRef>
              <c:f>'Power Calculations'!$H$9:$H$209</c:f>
              <c:numCache>
                <c:formatCode>General</c:formatCode>
                <c:ptCount val="201"/>
                <c:pt idx="0">
                  <c:v>0</c:v>
                </c:pt>
                <c:pt idx="1">
                  <c:v>4.4999999999999998E-2</c:v>
                </c:pt>
                <c:pt idx="2">
                  <c:v>0.09</c:v>
                </c:pt>
                <c:pt idx="3">
                  <c:v>0.13500000000000001</c:v>
                </c:pt>
                <c:pt idx="4">
                  <c:v>0.18</c:v>
                </c:pt>
                <c:pt idx="5">
                  <c:v>0.22500000000000001</c:v>
                </c:pt>
                <c:pt idx="6">
                  <c:v>0.27</c:v>
                </c:pt>
                <c:pt idx="7">
                  <c:v>0.31500000000000006</c:v>
                </c:pt>
                <c:pt idx="8">
                  <c:v>0.36</c:v>
                </c:pt>
                <c:pt idx="9">
                  <c:v>0.40499999999999997</c:v>
                </c:pt>
                <c:pt idx="10">
                  <c:v>0.45</c:v>
                </c:pt>
                <c:pt idx="11">
                  <c:v>0.495</c:v>
                </c:pt>
                <c:pt idx="12">
                  <c:v>0.54</c:v>
                </c:pt>
                <c:pt idx="13">
                  <c:v>0.58499999999999996</c:v>
                </c:pt>
                <c:pt idx="14">
                  <c:v>0.63000000000000012</c:v>
                </c:pt>
                <c:pt idx="15">
                  <c:v>0.67499999999999993</c:v>
                </c:pt>
                <c:pt idx="16">
                  <c:v>0.72</c:v>
                </c:pt>
                <c:pt idx="17">
                  <c:v>0.76500000000000001</c:v>
                </c:pt>
                <c:pt idx="18">
                  <c:v>0.80999999999999994</c:v>
                </c:pt>
                <c:pt idx="19">
                  <c:v>0.85499999999999998</c:v>
                </c:pt>
                <c:pt idx="20">
                  <c:v>0.9</c:v>
                </c:pt>
                <c:pt idx="21">
                  <c:v>0.94499999999999995</c:v>
                </c:pt>
                <c:pt idx="22">
                  <c:v>0.99</c:v>
                </c:pt>
                <c:pt idx="23">
                  <c:v>1.0350000000000001</c:v>
                </c:pt>
                <c:pt idx="24">
                  <c:v>1.08</c:v>
                </c:pt>
                <c:pt idx="25">
                  <c:v>1.125</c:v>
                </c:pt>
                <c:pt idx="26">
                  <c:v>1.17</c:v>
                </c:pt>
                <c:pt idx="27">
                  <c:v>1.2150000000000001</c:v>
                </c:pt>
                <c:pt idx="28">
                  <c:v>1.2600000000000002</c:v>
                </c:pt>
                <c:pt idx="29">
                  <c:v>1.3049999999999999</c:v>
                </c:pt>
                <c:pt idx="30">
                  <c:v>1.3499999999999999</c:v>
                </c:pt>
                <c:pt idx="31">
                  <c:v>1.395</c:v>
                </c:pt>
                <c:pt idx="32">
                  <c:v>1.44</c:v>
                </c:pt>
                <c:pt idx="33">
                  <c:v>1.4850000000000001</c:v>
                </c:pt>
                <c:pt idx="34">
                  <c:v>1.53</c:v>
                </c:pt>
                <c:pt idx="35">
                  <c:v>1.575</c:v>
                </c:pt>
                <c:pt idx="36">
                  <c:v>1.6199999999999999</c:v>
                </c:pt>
                <c:pt idx="37">
                  <c:v>1.665</c:v>
                </c:pt>
                <c:pt idx="38">
                  <c:v>1.71</c:v>
                </c:pt>
                <c:pt idx="39">
                  <c:v>1.7550000000000001</c:v>
                </c:pt>
                <c:pt idx="40">
                  <c:v>1.8</c:v>
                </c:pt>
                <c:pt idx="41">
                  <c:v>1.845</c:v>
                </c:pt>
                <c:pt idx="42">
                  <c:v>1.89</c:v>
                </c:pt>
                <c:pt idx="43">
                  <c:v>1.9350000000000001</c:v>
                </c:pt>
                <c:pt idx="44">
                  <c:v>1.98</c:v>
                </c:pt>
                <c:pt idx="45">
                  <c:v>2.0249999999999999</c:v>
                </c:pt>
                <c:pt idx="46">
                  <c:v>2.0700000000000003</c:v>
                </c:pt>
                <c:pt idx="47">
                  <c:v>2.1149999999999998</c:v>
                </c:pt>
                <c:pt idx="48">
                  <c:v>2.16</c:v>
                </c:pt>
                <c:pt idx="49">
                  <c:v>2.2050000000000001</c:v>
                </c:pt>
                <c:pt idx="50">
                  <c:v>2.25</c:v>
                </c:pt>
                <c:pt idx="51">
                  <c:v>2.2949999999999999</c:v>
                </c:pt>
                <c:pt idx="52">
                  <c:v>2.34</c:v>
                </c:pt>
                <c:pt idx="53">
                  <c:v>2.3850000000000002</c:v>
                </c:pt>
                <c:pt idx="54">
                  <c:v>2.4300000000000002</c:v>
                </c:pt>
                <c:pt idx="55">
                  <c:v>2.4750000000000001</c:v>
                </c:pt>
                <c:pt idx="56">
                  <c:v>2.5200000000000005</c:v>
                </c:pt>
                <c:pt idx="57">
                  <c:v>2.5649999999999999</c:v>
                </c:pt>
                <c:pt idx="58">
                  <c:v>2.61</c:v>
                </c:pt>
                <c:pt idx="59">
                  <c:v>2.6549999999999998</c:v>
                </c:pt>
                <c:pt idx="60">
                  <c:v>2.6999999999999997</c:v>
                </c:pt>
                <c:pt idx="61">
                  <c:v>2.7450000000000001</c:v>
                </c:pt>
                <c:pt idx="62">
                  <c:v>2.79</c:v>
                </c:pt>
                <c:pt idx="63">
                  <c:v>2.835</c:v>
                </c:pt>
                <c:pt idx="64">
                  <c:v>2.88</c:v>
                </c:pt>
                <c:pt idx="65">
                  <c:v>2.9250000000000003</c:v>
                </c:pt>
                <c:pt idx="66">
                  <c:v>2.97</c:v>
                </c:pt>
                <c:pt idx="67">
                  <c:v>3.0150000000000001</c:v>
                </c:pt>
                <c:pt idx="68">
                  <c:v>3.06</c:v>
                </c:pt>
                <c:pt idx="69">
                  <c:v>3.1049999999999995</c:v>
                </c:pt>
                <c:pt idx="70">
                  <c:v>3.15</c:v>
                </c:pt>
                <c:pt idx="71">
                  <c:v>3.1949999999999998</c:v>
                </c:pt>
                <c:pt idx="72">
                  <c:v>3.2399999999999998</c:v>
                </c:pt>
                <c:pt idx="73">
                  <c:v>3.2850000000000001</c:v>
                </c:pt>
                <c:pt idx="74">
                  <c:v>3.33</c:v>
                </c:pt>
                <c:pt idx="75">
                  <c:v>3.375</c:v>
                </c:pt>
                <c:pt idx="76">
                  <c:v>3.42</c:v>
                </c:pt>
                <c:pt idx="77">
                  <c:v>3.4649999999999999</c:v>
                </c:pt>
                <c:pt idx="78">
                  <c:v>3.5100000000000002</c:v>
                </c:pt>
                <c:pt idx="79">
                  <c:v>3.5550000000000002</c:v>
                </c:pt>
                <c:pt idx="80">
                  <c:v>3.6</c:v>
                </c:pt>
                <c:pt idx="81">
                  <c:v>3.6450000000000005</c:v>
                </c:pt>
                <c:pt idx="82">
                  <c:v>3.69</c:v>
                </c:pt>
                <c:pt idx="83">
                  <c:v>3.7349999999999999</c:v>
                </c:pt>
                <c:pt idx="84">
                  <c:v>3.78</c:v>
                </c:pt>
                <c:pt idx="85">
                  <c:v>3.8249999999999997</c:v>
                </c:pt>
                <c:pt idx="86">
                  <c:v>3.87</c:v>
                </c:pt>
                <c:pt idx="87">
                  <c:v>3.915</c:v>
                </c:pt>
                <c:pt idx="88">
                  <c:v>3.96</c:v>
                </c:pt>
                <c:pt idx="89">
                  <c:v>4.0049999999999999</c:v>
                </c:pt>
                <c:pt idx="90">
                  <c:v>4.05</c:v>
                </c:pt>
                <c:pt idx="91">
                  <c:v>4.0949999999999998</c:v>
                </c:pt>
                <c:pt idx="92">
                  <c:v>4.1400000000000006</c:v>
                </c:pt>
                <c:pt idx="93">
                  <c:v>4.1850000000000005</c:v>
                </c:pt>
                <c:pt idx="94">
                  <c:v>4.2299999999999995</c:v>
                </c:pt>
                <c:pt idx="95">
                  <c:v>4.2749999999999995</c:v>
                </c:pt>
                <c:pt idx="96">
                  <c:v>4.32</c:v>
                </c:pt>
                <c:pt idx="97">
                  <c:v>4.3650000000000002</c:v>
                </c:pt>
                <c:pt idx="98">
                  <c:v>4.41</c:v>
                </c:pt>
                <c:pt idx="99">
                  <c:v>4.4550000000000001</c:v>
                </c:pt>
                <c:pt idx="100">
                  <c:v>4.5</c:v>
                </c:pt>
                <c:pt idx="101">
                  <c:v>4.5449999999999999</c:v>
                </c:pt>
                <c:pt idx="102">
                  <c:v>4.59</c:v>
                </c:pt>
                <c:pt idx="103">
                  <c:v>4.6349999999999998</c:v>
                </c:pt>
                <c:pt idx="104">
                  <c:v>4.68</c:v>
                </c:pt>
                <c:pt idx="105">
                  <c:v>4.7250000000000005</c:v>
                </c:pt>
                <c:pt idx="106">
                  <c:v>4.7700000000000005</c:v>
                </c:pt>
                <c:pt idx="107">
                  <c:v>4.8150000000000004</c:v>
                </c:pt>
                <c:pt idx="108">
                  <c:v>4.8600000000000003</c:v>
                </c:pt>
                <c:pt idx="109">
                  <c:v>4.9050000000000002</c:v>
                </c:pt>
                <c:pt idx="110">
                  <c:v>4.95</c:v>
                </c:pt>
                <c:pt idx="111">
                  <c:v>4.9950000000000001</c:v>
                </c:pt>
                <c:pt idx="112">
                  <c:v>5.0400000000000009</c:v>
                </c:pt>
                <c:pt idx="113">
                  <c:v>5.0849999999999991</c:v>
                </c:pt>
                <c:pt idx="114">
                  <c:v>5.13</c:v>
                </c:pt>
                <c:pt idx="115">
                  <c:v>5.1749999999999998</c:v>
                </c:pt>
                <c:pt idx="116">
                  <c:v>5.22</c:v>
                </c:pt>
                <c:pt idx="117">
                  <c:v>5.2649999999999997</c:v>
                </c:pt>
                <c:pt idx="118">
                  <c:v>5.31</c:v>
                </c:pt>
                <c:pt idx="119">
                  <c:v>5.3549999999999995</c:v>
                </c:pt>
                <c:pt idx="120">
                  <c:v>5.3999999999999995</c:v>
                </c:pt>
                <c:pt idx="121">
                  <c:v>5.4450000000000003</c:v>
                </c:pt>
                <c:pt idx="122">
                  <c:v>5.49</c:v>
                </c:pt>
                <c:pt idx="123">
                  <c:v>5.5350000000000001</c:v>
                </c:pt>
                <c:pt idx="124">
                  <c:v>5.58</c:v>
                </c:pt>
                <c:pt idx="125">
                  <c:v>5.625</c:v>
                </c:pt>
                <c:pt idx="126">
                  <c:v>5.67</c:v>
                </c:pt>
                <c:pt idx="127">
                  <c:v>5.7149999999999999</c:v>
                </c:pt>
                <c:pt idx="128">
                  <c:v>5.76</c:v>
                </c:pt>
                <c:pt idx="129">
                  <c:v>5.8049999999999997</c:v>
                </c:pt>
                <c:pt idx="130">
                  <c:v>5.8500000000000005</c:v>
                </c:pt>
                <c:pt idx="131">
                  <c:v>5.8950000000000005</c:v>
                </c:pt>
                <c:pt idx="132">
                  <c:v>5.94</c:v>
                </c:pt>
                <c:pt idx="133">
                  <c:v>5.9850000000000003</c:v>
                </c:pt>
                <c:pt idx="134">
                  <c:v>6.03</c:v>
                </c:pt>
                <c:pt idx="135">
                  <c:v>6.0750000000000002</c:v>
                </c:pt>
                <c:pt idx="136">
                  <c:v>6.12</c:v>
                </c:pt>
                <c:pt idx="137">
                  <c:v>6.1650000000000009</c:v>
                </c:pt>
                <c:pt idx="138">
                  <c:v>6.2099999999999991</c:v>
                </c:pt>
                <c:pt idx="139">
                  <c:v>6.2549999999999999</c:v>
                </c:pt>
                <c:pt idx="140">
                  <c:v>6.3</c:v>
                </c:pt>
                <c:pt idx="141">
                  <c:v>6.3449999999999998</c:v>
                </c:pt>
                <c:pt idx="142">
                  <c:v>6.39</c:v>
                </c:pt>
                <c:pt idx="143">
                  <c:v>6.4349999999999996</c:v>
                </c:pt>
                <c:pt idx="144">
                  <c:v>6.4799999999999995</c:v>
                </c:pt>
                <c:pt idx="145">
                  <c:v>6.5249999999999995</c:v>
                </c:pt>
                <c:pt idx="146">
                  <c:v>6.57</c:v>
                </c:pt>
                <c:pt idx="147">
                  <c:v>6.6150000000000002</c:v>
                </c:pt>
                <c:pt idx="148">
                  <c:v>6.66</c:v>
                </c:pt>
                <c:pt idx="149">
                  <c:v>6.7050000000000001</c:v>
                </c:pt>
                <c:pt idx="150">
                  <c:v>6.75</c:v>
                </c:pt>
                <c:pt idx="151">
                  <c:v>6.7949999999999999</c:v>
                </c:pt>
                <c:pt idx="152">
                  <c:v>6.84</c:v>
                </c:pt>
                <c:pt idx="153">
                  <c:v>6.8849999999999998</c:v>
                </c:pt>
                <c:pt idx="154">
                  <c:v>6.93</c:v>
                </c:pt>
                <c:pt idx="155">
                  <c:v>6.9750000000000005</c:v>
                </c:pt>
                <c:pt idx="156">
                  <c:v>7.0200000000000005</c:v>
                </c:pt>
                <c:pt idx="157">
                  <c:v>7.0650000000000004</c:v>
                </c:pt>
                <c:pt idx="158">
                  <c:v>7.11</c:v>
                </c:pt>
                <c:pt idx="159">
                  <c:v>7.1550000000000002</c:v>
                </c:pt>
                <c:pt idx="160">
                  <c:v>7.2</c:v>
                </c:pt>
                <c:pt idx="161">
                  <c:v>7.2450000000000001</c:v>
                </c:pt>
                <c:pt idx="162">
                  <c:v>7.2900000000000009</c:v>
                </c:pt>
                <c:pt idx="163">
                  <c:v>7.3349999999999991</c:v>
                </c:pt>
                <c:pt idx="164">
                  <c:v>7.38</c:v>
                </c:pt>
                <c:pt idx="165">
                  <c:v>7.4249999999999998</c:v>
                </c:pt>
                <c:pt idx="166">
                  <c:v>7.47</c:v>
                </c:pt>
                <c:pt idx="167">
                  <c:v>7.5149999999999997</c:v>
                </c:pt>
                <c:pt idx="168">
                  <c:v>7.56</c:v>
                </c:pt>
                <c:pt idx="169">
                  <c:v>7.6049999999999995</c:v>
                </c:pt>
                <c:pt idx="170">
                  <c:v>7.6499999999999995</c:v>
                </c:pt>
                <c:pt idx="171">
                  <c:v>7.6950000000000003</c:v>
                </c:pt>
                <c:pt idx="172">
                  <c:v>7.74</c:v>
                </c:pt>
                <c:pt idx="173">
                  <c:v>7.7850000000000001</c:v>
                </c:pt>
                <c:pt idx="174">
                  <c:v>7.83</c:v>
                </c:pt>
                <c:pt idx="175">
                  <c:v>7.875</c:v>
                </c:pt>
                <c:pt idx="176">
                  <c:v>7.92</c:v>
                </c:pt>
                <c:pt idx="177">
                  <c:v>7.9649999999999999</c:v>
                </c:pt>
                <c:pt idx="178">
                  <c:v>8.01</c:v>
                </c:pt>
                <c:pt idx="179">
                  <c:v>8.0549999999999997</c:v>
                </c:pt>
                <c:pt idx="180">
                  <c:v>8.1</c:v>
                </c:pt>
                <c:pt idx="181">
                  <c:v>8.1449999999999996</c:v>
                </c:pt>
                <c:pt idx="182">
                  <c:v>8.19</c:v>
                </c:pt>
                <c:pt idx="183">
                  <c:v>8.2349999999999994</c:v>
                </c:pt>
                <c:pt idx="184">
                  <c:v>8.2800000000000011</c:v>
                </c:pt>
                <c:pt idx="185">
                  <c:v>8.3250000000000011</c:v>
                </c:pt>
                <c:pt idx="186">
                  <c:v>8.370000000000001</c:v>
                </c:pt>
                <c:pt idx="187">
                  <c:v>8.4150000000000009</c:v>
                </c:pt>
                <c:pt idx="188">
                  <c:v>8.4599999999999991</c:v>
                </c:pt>
                <c:pt idx="189">
                  <c:v>8.504999999999999</c:v>
                </c:pt>
                <c:pt idx="190">
                  <c:v>8.5499999999999989</c:v>
                </c:pt>
                <c:pt idx="191">
                  <c:v>8.5949999999999989</c:v>
                </c:pt>
                <c:pt idx="192">
                  <c:v>8.64</c:v>
                </c:pt>
                <c:pt idx="193">
                  <c:v>8.6850000000000005</c:v>
                </c:pt>
                <c:pt idx="194">
                  <c:v>8.73</c:v>
                </c:pt>
                <c:pt idx="195">
                  <c:v>8.7750000000000004</c:v>
                </c:pt>
                <c:pt idx="196">
                  <c:v>8.82</c:v>
                </c:pt>
                <c:pt idx="197">
                  <c:v>8.8650000000000002</c:v>
                </c:pt>
                <c:pt idx="198">
                  <c:v>8.91</c:v>
                </c:pt>
                <c:pt idx="199">
                  <c:v>8.9550000000000001</c:v>
                </c:pt>
                <c:pt idx="200">
                  <c:v>9</c:v>
                </c:pt>
              </c:numCache>
            </c:numRef>
          </c:xVal>
          <c:yVal>
            <c:numRef>
              <c:f>'Power Calculations'!$AG$9:$AG$209</c:f>
              <c:numCache>
                <c:formatCode>0.0000</c:formatCode>
                <c:ptCount val="201"/>
                <c:pt idx="0">
                  <c:v>1.3943753380205514E-2</c:v>
                </c:pt>
                <c:pt idx="1">
                  <c:v>1.444152630624922E-2</c:v>
                </c:pt>
                <c:pt idx="2">
                  <c:v>1.4959599627106411E-2</c:v>
                </c:pt>
                <c:pt idx="3">
                  <c:v>1.5497972279028818E-2</c:v>
                </c:pt>
                <c:pt idx="4">
                  <c:v>1.6056643590015011E-2</c:v>
                </c:pt>
                <c:pt idx="5">
                  <c:v>1.6635613279596975E-2</c:v>
                </c:pt>
                <c:pt idx="6">
                  <c:v>1.7234881458645632E-2</c:v>
                </c:pt>
                <c:pt idx="7">
                  <c:v>1.7854448629195375E-2</c:v>
                </c:pt>
                <c:pt idx="8">
                  <c:v>1.8494315684287499E-2</c:v>
                </c:pt>
                <c:pt idx="9">
                  <c:v>1.9154483907832549E-2</c:v>
                </c:pt>
                <c:pt idx="10">
                  <c:v>1.9834954974491597E-2</c:v>
                </c:pt>
                <c:pt idx="11">
                  <c:v>2.0535730949576378E-2</c:v>
                </c:pt>
                <c:pt idx="12">
                  <c:v>2.1256814288968234E-2</c:v>
                </c:pt>
                <c:pt idx="13">
                  <c:v>2.1998207839056007E-2</c:v>
                </c:pt>
                <c:pt idx="14">
                  <c:v>2.2759914836692655E-2</c:v>
                </c:pt>
                <c:pt idx="15">
                  <c:v>2.3541938909170737E-2</c:v>
                </c:pt>
                <c:pt idx="16">
                  <c:v>2.4344284074216755E-2</c:v>
                </c:pt>
                <c:pt idx="17">
                  <c:v>2.5166954740004119E-2</c:v>
                </c:pt>
                <c:pt idx="18">
                  <c:v>2.6009955705185155E-2</c:v>
                </c:pt>
                <c:pt idx="19">
                  <c:v>2.6873292158941679E-2</c:v>
                </c:pt>
                <c:pt idx="20">
                  <c:v>2.775696968105448E-2</c:v>
                </c:pt>
                <c:pt idx="21">
                  <c:v>2.866099424199154E-2</c:v>
                </c:pt>
                <c:pt idx="22">
                  <c:v>2.9585372203015031E-2</c:v>
                </c:pt>
                <c:pt idx="23">
                  <c:v>3.0530110316307115E-2</c:v>
                </c:pt>
                <c:pt idx="24">
                  <c:v>3.1495215725114496E-2</c:v>
                </c:pt>
                <c:pt idx="25">
                  <c:v>3.2687921941591522E-2</c:v>
                </c:pt>
                <c:pt idx="26">
                  <c:v>3.4179237908035898E-2</c:v>
                </c:pt>
                <c:pt idx="27">
                  <c:v>3.5691028729952855E-2</c:v>
                </c:pt>
                <c:pt idx="28">
                  <c:v>3.7223307824667297E-2</c:v>
                </c:pt>
                <c:pt idx="29">
                  <c:v>3.8776089002935193E-2</c:v>
                </c:pt>
                <c:pt idx="30">
                  <c:v>4.0349386469352079E-2</c:v>
                </c:pt>
                <c:pt idx="31">
                  <c:v>4.1943214822780329E-2</c:v>
                </c:pt>
                <c:pt idx="32">
                  <c:v>4.355758905679543E-2</c:v>
                </c:pt>
                <c:pt idx="33">
                  <c:v>4.5192524560151312E-2</c:v>
                </c:pt>
                <c:pt idx="34">
                  <c:v>4.6848037117264471E-2</c:v>
                </c:pt>
                <c:pt idx="35">
                  <c:v>4.8524142908717413E-2</c:v>
                </c:pt>
                <c:pt idx="36">
                  <c:v>5.0220858511780847E-2</c:v>
                </c:pt>
                <c:pt idx="37">
                  <c:v>5.1938200900955231E-2</c:v>
                </c:pt>
                <c:pt idx="38">
                  <c:v>5.3676187448531247E-2</c:v>
                </c:pt>
                <c:pt idx="39">
                  <c:v>5.5434835925169727E-2</c:v>
                </c:pt>
                <c:pt idx="40">
                  <c:v>5.7214164500500438E-2</c:v>
                </c:pt>
                <c:pt idx="41">
                  <c:v>5.9014191743740466E-2</c:v>
                </c:pt>
                <c:pt idx="42">
                  <c:v>6.0834936624331655E-2</c:v>
                </c:pt>
                <c:pt idx="43">
                  <c:v>6.2676418512597601E-2</c:v>
                </c:pt>
                <c:pt idx="44">
                  <c:v>6.4538657180419762E-2</c:v>
                </c:pt>
                <c:pt idx="45">
                  <c:v>6.6421672801933382E-2</c:v>
                </c:pt>
                <c:pt idx="46">
                  <c:v>6.8325485954242621E-2</c:v>
                </c:pt>
                <c:pt idx="47">
                  <c:v>7.0250117618155208E-2</c:v>
                </c:pt>
                <c:pt idx="48">
                  <c:v>7.2195589178937161E-2</c:v>
                </c:pt>
                <c:pt idx="49">
                  <c:v>7.4161922427086371E-2</c:v>
                </c:pt>
                <c:pt idx="50">
                  <c:v>7.6149139559126833E-2</c:v>
                </c:pt>
                <c:pt idx="51">
                  <c:v>7.815726317842174E-2</c:v>
                </c:pt>
                <c:pt idx="52">
                  <c:v>8.0186316296007212E-2</c:v>
                </c:pt>
                <c:pt idx="53">
                  <c:v>8.2236322331445372E-2</c:v>
                </c:pt>
                <c:pt idx="54">
                  <c:v>8.430730511369762E-2</c:v>
                </c:pt>
                <c:pt idx="55">
                  <c:v>8.6399288882018019E-2</c:v>
                </c:pt>
                <c:pt idx="56">
                  <c:v>8.8512298286866575E-2</c:v>
                </c:pt>
                <c:pt idx="57">
                  <c:v>9.0646358390842813E-2</c:v>
                </c:pt>
                <c:pt idx="58">
                  <c:v>9.2801494669639745E-2</c:v>
                </c:pt>
                <c:pt idx="59">
                  <c:v>9.4977733013017734E-2</c:v>
                </c:pt>
                <c:pt idx="60">
                  <c:v>9.7175099725799324E-2</c:v>
                </c:pt>
                <c:pt idx="61">
                  <c:v>9.9393621528884077E-2</c:v>
                </c:pt>
                <c:pt idx="62">
                  <c:v>0.10163332556028409</c:v>
                </c:pt>
                <c:pt idx="63">
                  <c:v>0.1038942393761805</c:v>
                </c:pt>
                <c:pt idx="64">
                  <c:v>0.10617639095200006</c:v>
                </c:pt>
                <c:pt idx="65">
                  <c:v>0.1084798086835132</c:v>
                </c:pt>
                <c:pt idx="66">
                  <c:v>0.11080452138795246</c:v>
                </c:pt>
                <c:pt idx="67">
                  <c:v>0.11315055830515222</c:v>
                </c:pt>
                <c:pt idx="68">
                  <c:v>0.11551794909870947</c:v>
                </c:pt>
                <c:pt idx="69">
                  <c:v>0.11790672385716561</c:v>
                </c:pt>
                <c:pt idx="70">
                  <c:v>0.12031691309520964</c:v>
                </c:pt>
                <c:pt idx="71">
                  <c:v>0.1227485477549026</c:v>
                </c:pt>
                <c:pt idx="72">
                  <c:v>0.1252016592069238</c:v>
                </c:pt>
                <c:pt idx="73">
                  <c:v>0.1276762792518383</c:v>
                </c:pt>
                <c:pt idx="74">
                  <c:v>0.13017244012138579</c:v>
                </c:pt>
                <c:pt idx="75">
                  <c:v>0.13269017447979223</c:v>
                </c:pt>
                <c:pt idx="76">
                  <c:v>0.13522951542510217</c:v>
                </c:pt>
                <c:pt idx="77">
                  <c:v>0.13779049649053415</c:v>
                </c:pt>
                <c:pt idx="78">
                  <c:v>0.14037315164585729</c:v>
                </c:pt>
                <c:pt idx="79">
                  <c:v>0.14297751529879074</c:v>
                </c:pt>
                <c:pt idx="80">
                  <c:v>0.14560362229642537</c:v>
                </c:pt>
                <c:pt idx="81">
                  <c:v>0.14825150792666736</c:v>
                </c:pt>
                <c:pt idx="82">
                  <c:v>0.15092120791970526</c:v>
                </c:pt>
                <c:pt idx="83">
                  <c:v>0.15361275844949912</c:v>
                </c:pt>
                <c:pt idx="84">
                  <c:v>0.15632619613529264</c:v>
                </c:pt>
                <c:pt idx="85">
                  <c:v>0.15906155804314825</c:v>
                </c:pt>
                <c:pt idx="86">
                  <c:v>0.16181888168750533</c:v>
                </c:pt>
                <c:pt idx="87">
                  <c:v>0.1645982050327614</c:v>
                </c:pt>
                <c:pt idx="88">
                  <c:v>0.16739956649487717</c:v>
                </c:pt>
                <c:pt idx="89">
                  <c:v>0.17022300494300457</c:v>
                </c:pt>
                <c:pt idx="90">
                  <c:v>0.17306855970113869</c:v>
                </c:pt>
                <c:pt idx="91">
                  <c:v>0.1759362705497933</c:v>
                </c:pt>
                <c:pt idx="92">
                  <c:v>0.17882617772770054</c:v>
                </c:pt>
                <c:pt idx="93">
                  <c:v>0.18173832193353401</c:v>
                </c:pt>
                <c:pt idx="94">
                  <c:v>0.18467274432765729</c:v>
                </c:pt>
                <c:pt idx="95">
                  <c:v>0.18762948653389566</c:v>
                </c:pt>
                <c:pt idx="96">
                  <c:v>0.19060859064133268</c:v>
                </c:pt>
                <c:pt idx="97">
                  <c:v>0.19361009920613168</c:v>
                </c:pt>
                <c:pt idx="98">
                  <c:v>0.19663405525338151</c:v>
                </c:pt>
                <c:pt idx="99">
                  <c:v>0.19968050227896827</c:v>
                </c:pt>
                <c:pt idx="100">
                  <c:v>0.20274948425147096</c:v>
                </c:pt>
                <c:pt idx="101">
                  <c:v>0.20584104561408348</c:v>
                </c:pt>
                <c:pt idx="102">
                  <c:v>0.20895523128656104</c:v>
                </c:pt>
                <c:pt idx="103">
                  <c:v>0.21209208666719373</c:v>
                </c:pt>
                <c:pt idx="104">
                  <c:v>0.21525165763480406</c:v>
                </c:pt>
                <c:pt idx="105">
                  <c:v>0.21843399055077212</c:v>
                </c:pt>
                <c:pt idx="106">
                  <c:v>0.22163913226108592</c:v>
                </c:pt>
                <c:pt idx="107">
                  <c:v>0.22486713009841847</c:v>
                </c:pt>
                <c:pt idx="108">
                  <c:v>0.22811803188423121</c:v>
                </c:pt>
                <c:pt idx="109">
                  <c:v>0.23139188593090476</c:v>
                </c:pt>
                <c:pt idx="110">
                  <c:v>0.23468874104389531</c:v>
                </c:pt>
                <c:pt idx="111">
                  <c:v>0.23800864652391987</c:v>
                </c:pt>
                <c:pt idx="112">
                  <c:v>0.24135165216916701</c:v>
                </c:pt>
                <c:pt idx="113">
                  <c:v>0.24471780827753603</c:v>
                </c:pt>
                <c:pt idx="114">
                  <c:v>0.24810716564890492</c:v>
                </c:pt>
                <c:pt idx="115">
                  <c:v>0.25151977558742339</c:v>
                </c:pt>
                <c:pt idx="116">
                  <c:v>0.25495568990383671</c:v>
                </c:pt>
                <c:pt idx="117">
                  <c:v>0.25841496091783678</c:v>
                </c:pt>
                <c:pt idx="118">
                  <c:v>0.26189764146044131</c:v>
                </c:pt>
                <c:pt idx="119">
                  <c:v>0.26540378487640304</c:v>
                </c:pt>
                <c:pt idx="120">
                  <c:v>0.26893344502664612</c:v>
                </c:pt>
                <c:pt idx="121">
                  <c:v>0.27248667629073359</c:v>
                </c:pt>
                <c:pt idx="122">
                  <c:v>0.27606353356936286</c:v>
                </c:pt>
                <c:pt idx="123">
                  <c:v>0.27966407228689133</c:v>
                </c:pt>
                <c:pt idx="124">
                  <c:v>0.28328834839389239</c:v>
                </c:pt>
                <c:pt idx="125">
                  <c:v>0.28693641836974043</c:v>
                </c:pt>
                <c:pt idx="126">
                  <c:v>0.29060833922522711</c:v>
                </c:pt>
                <c:pt idx="127">
                  <c:v>0.29430416850520813</c:v>
                </c:pt>
                <c:pt idx="128">
                  <c:v>0.2980239642912802</c:v>
                </c:pt>
                <c:pt idx="129">
                  <c:v>0.30176778520448932</c:v>
                </c:pt>
                <c:pt idx="130">
                  <c:v>0.30553569040807194</c:v>
                </c:pt>
                <c:pt idx="131">
                  <c:v>0.30932773961022425</c:v>
                </c:pt>
                <c:pt idx="132">
                  <c:v>0.31314399306690727</c:v>
                </c:pt>
                <c:pt idx="133">
                  <c:v>0.31698451158468111</c:v>
                </c:pt>
                <c:pt idx="134">
                  <c:v>0.32084935652357344</c:v>
                </c:pt>
                <c:pt idx="135">
                  <c:v>0.32473858979997888</c:v>
                </c:pt>
                <c:pt idx="136">
                  <c:v>0.32865227388959367</c:v>
                </c:pt>
                <c:pt idx="137">
                  <c:v>0.33259047183038076</c:v>
                </c:pt>
                <c:pt idx="138">
                  <c:v>0.33655324722557045</c:v>
                </c:pt>
                <c:pt idx="139">
                  <c:v>0.34054066424669427</c:v>
                </c:pt>
                <c:pt idx="140">
                  <c:v>0.34455278763665209</c:v>
                </c:pt>
                <c:pt idx="141">
                  <c:v>0.3485896827128151</c:v>
                </c:pt>
                <c:pt idx="142">
                  <c:v>0.35265141537016181</c:v>
                </c:pt>
                <c:pt idx="143">
                  <c:v>0.35673805208444981</c:v>
                </c:pt>
                <c:pt idx="144">
                  <c:v>0.36084965991542306</c:v>
                </c:pt>
                <c:pt idx="145">
                  <c:v>0.36498630651005404</c:v>
                </c:pt>
                <c:pt idx="146">
                  <c:v>0.36914806010582213</c:v>
                </c:pt>
                <c:pt idx="147">
                  <c:v>0.37333498953402805</c:v>
                </c:pt>
                <c:pt idx="148">
                  <c:v>0.37754716422314505</c:v>
                </c:pt>
                <c:pt idx="149">
                  <c:v>0.38178465420220631</c:v>
                </c:pt>
                <c:pt idx="150">
                  <c:v>0.38604753010423043</c:v>
                </c:pt>
                <c:pt idx="151">
                  <c:v>0.39033586316968316</c:v>
                </c:pt>
                <c:pt idx="152">
                  <c:v>0.3946497252499786</c:v>
                </c:pt>
                <c:pt idx="153">
                  <c:v>0.39898918881101686</c:v>
                </c:pt>
                <c:pt idx="154">
                  <c:v>0.40335432693676093</c:v>
                </c:pt>
                <c:pt idx="155">
                  <c:v>0.40774521333285363</c:v>
                </c:pt>
                <c:pt idx="156">
                  <c:v>0.41216192233027071</c:v>
                </c:pt>
                <c:pt idx="157">
                  <c:v>0.41660452888901756</c:v>
                </c:pt>
                <c:pt idx="158">
                  <c:v>0.42107310860186192</c:v>
                </c:pt>
                <c:pt idx="159">
                  <c:v>0.42556773769811007</c:v>
                </c:pt>
                <c:pt idx="160">
                  <c:v>0.43008849304742203</c:v>
                </c:pt>
                <c:pt idx="161">
                  <c:v>0.43463545216366761</c:v>
                </c:pt>
                <c:pt idx="162">
                  <c:v>0.43920869320882538</c:v>
                </c:pt>
                <c:pt idx="163">
                  <c:v>0.44380829499692176</c:v>
                </c:pt>
                <c:pt idx="164">
                  <c:v>0.44843433699801449</c:v>
                </c:pt>
                <c:pt idx="165">
                  <c:v>0.45308689934221591</c:v>
                </c:pt>
                <c:pt idx="166">
                  <c:v>0.45776606282376198</c:v>
                </c:pt>
                <c:pt idx="167">
                  <c:v>0.46247190890512363</c:v>
                </c:pt>
                <c:pt idx="168">
                  <c:v>0.46720451972116112</c:v>
                </c:pt>
                <c:pt idx="169">
                  <c:v>0.47196397808332474</c:v>
                </c:pt>
                <c:pt idx="170">
                  <c:v>0.47675036748389865</c:v>
                </c:pt>
                <c:pt idx="171">
                  <c:v>0.48156377210028978</c:v>
                </c:pt>
                <c:pt idx="172">
                  <c:v>0.48640427679936432</c:v>
                </c:pt>
                <c:pt idx="173">
                  <c:v>0.4912719671418273</c:v>
                </c:pt>
                <c:pt idx="174">
                  <c:v>0.49616692938665158</c:v>
                </c:pt>
                <c:pt idx="175">
                  <c:v>0.50108925049555175</c:v>
                </c:pt>
                <c:pt idx="176">
                  <c:v>0.5060390181375064</c:v>
                </c:pt>
                <c:pt idx="177">
                  <c:v>0.51101632069332803</c:v>
                </c:pt>
                <c:pt idx="178">
                  <c:v>0.51602124726028176</c:v>
                </c:pt>
                <c:pt idx="179">
                  <c:v>0.52105388765675142</c:v>
                </c:pt>
                <c:pt idx="180">
                  <c:v>0.52611433242695849</c:v>
                </c:pt>
                <c:pt idx="181">
                  <c:v>0.53120267284572542</c:v>
                </c:pt>
                <c:pt idx="182">
                  <c:v>0.53631900092329443</c:v>
                </c:pt>
                <c:pt idx="183">
                  <c:v>0.54146340941019522</c:v>
                </c:pt>
                <c:pt idx="184">
                  <c:v>0.54663599180216271</c:v>
                </c:pt>
                <c:pt idx="185">
                  <c:v>0.55183684234510877</c:v>
                </c:pt>
                <c:pt idx="186">
                  <c:v>0.55706605604014492</c:v>
                </c:pt>
                <c:pt idx="187">
                  <c:v>0.56232372864866031</c:v>
                </c:pt>
                <c:pt idx="188">
                  <c:v>0.56760995669744774</c:v>
                </c:pt>
                <c:pt idx="189">
                  <c:v>0.57292483748389245</c:v>
                </c:pt>
                <c:pt idx="190">
                  <c:v>0.57826846908120666</c:v>
                </c:pt>
                <c:pt idx="191">
                  <c:v>0.58364095034372432</c:v>
                </c:pt>
                <c:pt idx="192">
                  <c:v>0.58904238091225114</c:v>
                </c:pt>
                <c:pt idx="193">
                  <c:v>0.59447286121946896</c:v>
                </c:pt>
                <c:pt idx="194">
                  <c:v>0.59993249249540004</c:v>
                </c:pt>
                <c:pt idx="195">
                  <c:v>0.60542137677292518</c:v>
                </c:pt>
                <c:pt idx="196">
                  <c:v>0.61093961689336329</c:v>
                </c:pt>
                <c:pt idx="197">
                  <c:v>0.61648731651210875</c:v>
                </c:pt>
                <c:pt idx="198">
                  <c:v>0.62206458010432508</c:v>
                </c:pt>
                <c:pt idx="199">
                  <c:v>0.62767151297070478</c:v>
                </c:pt>
                <c:pt idx="200">
                  <c:v>0.63330822124328279</c:v>
                </c:pt>
              </c:numCache>
            </c:numRef>
          </c:yVal>
          <c:smooth val="0"/>
          <c:extLst>
            <c:ext xmlns:c16="http://schemas.microsoft.com/office/drawing/2014/chart" uri="{C3380CC4-5D6E-409C-BE32-E72D297353CC}">
              <c16:uniqueId val="{00000001-10C0-444D-84FA-8FD69F5D8657}"/>
            </c:ext>
          </c:extLst>
        </c:ser>
        <c:ser>
          <c:idx val="0"/>
          <c:order val="2"/>
          <c:tx>
            <c:v>Inductor Loss</c:v>
          </c:tx>
          <c:spPr>
            <a:ln w="38100">
              <a:solidFill>
                <a:srgbClr val="FF6600"/>
              </a:solidFill>
              <a:prstDash val="solid"/>
            </a:ln>
          </c:spPr>
          <c:marker>
            <c:symbol val="none"/>
          </c:marker>
          <c:xVal>
            <c:numRef>
              <c:f>'Power Calculations'!$H$9:$H$209</c:f>
              <c:numCache>
                <c:formatCode>General</c:formatCode>
                <c:ptCount val="201"/>
                <c:pt idx="0">
                  <c:v>0</c:v>
                </c:pt>
                <c:pt idx="1">
                  <c:v>4.4999999999999998E-2</c:v>
                </c:pt>
                <c:pt idx="2">
                  <c:v>0.09</c:v>
                </c:pt>
                <c:pt idx="3">
                  <c:v>0.13500000000000001</c:v>
                </c:pt>
                <c:pt idx="4">
                  <c:v>0.18</c:v>
                </c:pt>
                <c:pt idx="5">
                  <c:v>0.22500000000000001</c:v>
                </c:pt>
                <c:pt idx="6">
                  <c:v>0.27</c:v>
                </c:pt>
                <c:pt idx="7">
                  <c:v>0.31500000000000006</c:v>
                </c:pt>
                <c:pt idx="8">
                  <c:v>0.36</c:v>
                </c:pt>
                <c:pt idx="9">
                  <c:v>0.40499999999999997</c:v>
                </c:pt>
                <c:pt idx="10">
                  <c:v>0.45</c:v>
                </c:pt>
                <c:pt idx="11">
                  <c:v>0.495</c:v>
                </c:pt>
                <c:pt idx="12">
                  <c:v>0.54</c:v>
                </c:pt>
                <c:pt idx="13">
                  <c:v>0.58499999999999996</c:v>
                </c:pt>
                <c:pt idx="14">
                  <c:v>0.63000000000000012</c:v>
                </c:pt>
                <c:pt idx="15">
                  <c:v>0.67499999999999993</c:v>
                </c:pt>
                <c:pt idx="16">
                  <c:v>0.72</c:v>
                </c:pt>
                <c:pt idx="17">
                  <c:v>0.76500000000000001</c:v>
                </c:pt>
                <c:pt idx="18">
                  <c:v>0.80999999999999994</c:v>
                </c:pt>
                <c:pt idx="19">
                  <c:v>0.85499999999999998</c:v>
                </c:pt>
                <c:pt idx="20">
                  <c:v>0.9</c:v>
                </c:pt>
                <c:pt idx="21">
                  <c:v>0.94499999999999995</c:v>
                </c:pt>
                <c:pt idx="22">
                  <c:v>0.99</c:v>
                </c:pt>
                <c:pt idx="23">
                  <c:v>1.0350000000000001</c:v>
                </c:pt>
                <c:pt idx="24">
                  <c:v>1.08</c:v>
                </c:pt>
                <c:pt idx="25">
                  <c:v>1.125</c:v>
                </c:pt>
                <c:pt idx="26">
                  <c:v>1.17</c:v>
                </c:pt>
                <c:pt idx="27">
                  <c:v>1.2150000000000001</c:v>
                </c:pt>
                <c:pt idx="28">
                  <c:v>1.2600000000000002</c:v>
                </c:pt>
                <c:pt idx="29">
                  <c:v>1.3049999999999999</c:v>
                </c:pt>
                <c:pt idx="30">
                  <c:v>1.3499999999999999</c:v>
                </c:pt>
                <c:pt idx="31">
                  <c:v>1.395</c:v>
                </c:pt>
                <c:pt idx="32">
                  <c:v>1.44</c:v>
                </c:pt>
                <c:pt idx="33">
                  <c:v>1.4850000000000001</c:v>
                </c:pt>
                <c:pt idx="34">
                  <c:v>1.53</c:v>
                </c:pt>
                <c:pt idx="35">
                  <c:v>1.575</c:v>
                </c:pt>
                <c:pt idx="36">
                  <c:v>1.6199999999999999</c:v>
                </c:pt>
                <c:pt idx="37">
                  <c:v>1.665</c:v>
                </c:pt>
                <c:pt idx="38">
                  <c:v>1.71</c:v>
                </c:pt>
                <c:pt idx="39">
                  <c:v>1.7550000000000001</c:v>
                </c:pt>
                <c:pt idx="40">
                  <c:v>1.8</c:v>
                </c:pt>
                <c:pt idx="41">
                  <c:v>1.845</c:v>
                </c:pt>
                <c:pt idx="42">
                  <c:v>1.89</c:v>
                </c:pt>
                <c:pt idx="43">
                  <c:v>1.9350000000000001</c:v>
                </c:pt>
                <c:pt idx="44">
                  <c:v>1.98</c:v>
                </c:pt>
                <c:pt idx="45">
                  <c:v>2.0249999999999999</c:v>
                </c:pt>
                <c:pt idx="46">
                  <c:v>2.0700000000000003</c:v>
                </c:pt>
                <c:pt idx="47">
                  <c:v>2.1149999999999998</c:v>
                </c:pt>
                <c:pt idx="48">
                  <c:v>2.16</c:v>
                </c:pt>
                <c:pt idx="49">
                  <c:v>2.2050000000000001</c:v>
                </c:pt>
                <c:pt idx="50">
                  <c:v>2.25</c:v>
                </c:pt>
                <c:pt idx="51">
                  <c:v>2.2949999999999999</c:v>
                </c:pt>
                <c:pt idx="52">
                  <c:v>2.34</c:v>
                </c:pt>
                <c:pt idx="53">
                  <c:v>2.3850000000000002</c:v>
                </c:pt>
                <c:pt idx="54">
                  <c:v>2.4300000000000002</c:v>
                </c:pt>
                <c:pt idx="55">
                  <c:v>2.4750000000000001</c:v>
                </c:pt>
                <c:pt idx="56">
                  <c:v>2.5200000000000005</c:v>
                </c:pt>
                <c:pt idx="57">
                  <c:v>2.5649999999999999</c:v>
                </c:pt>
                <c:pt idx="58">
                  <c:v>2.61</c:v>
                </c:pt>
                <c:pt idx="59">
                  <c:v>2.6549999999999998</c:v>
                </c:pt>
                <c:pt idx="60">
                  <c:v>2.6999999999999997</c:v>
                </c:pt>
                <c:pt idx="61">
                  <c:v>2.7450000000000001</c:v>
                </c:pt>
                <c:pt idx="62">
                  <c:v>2.79</c:v>
                </c:pt>
                <c:pt idx="63">
                  <c:v>2.835</c:v>
                </c:pt>
                <c:pt idx="64">
                  <c:v>2.88</c:v>
                </c:pt>
                <c:pt idx="65">
                  <c:v>2.9250000000000003</c:v>
                </c:pt>
                <c:pt idx="66">
                  <c:v>2.97</c:v>
                </c:pt>
                <c:pt idx="67">
                  <c:v>3.0150000000000001</c:v>
                </c:pt>
                <c:pt idx="68">
                  <c:v>3.06</c:v>
                </c:pt>
                <c:pt idx="69">
                  <c:v>3.1049999999999995</c:v>
                </c:pt>
                <c:pt idx="70">
                  <c:v>3.15</c:v>
                </c:pt>
                <c:pt idx="71">
                  <c:v>3.1949999999999998</c:v>
                </c:pt>
                <c:pt idx="72">
                  <c:v>3.2399999999999998</c:v>
                </c:pt>
                <c:pt idx="73">
                  <c:v>3.2850000000000001</c:v>
                </c:pt>
                <c:pt idx="74">
                  <c:v>3.33</c:v>
                </c:pt>
                <c:pt idx="75">
                  <c:v>3.375</c:v>
                </c:pt>
                <c:pt idx="76">
                  <c:v>3.42</c:v>
                </c:pt>
                <c:pt idx="77">
                  <c:v>3.4649999999999999</c:v>
                </c:pt>
                <c:pt idx="78">
                  <c:v>3.5100000000000002</c:v>
                </c:pt>
                <c:pt idx="79">
                  <c:v>3.5550000000000002</c:v>
                </c:pt>
                <c:pt idx="80">
                  <c:v>3.6</c:v>
                </c:pt>
                <c:pt idx="81">
                  <c:v>3.6450000000000005</c:v>
                </c:pt>
                <c:pt idx="82">
                  <c:v>3.69</c:v>
                </c:pt>
                <c:pt idx="83">
                  <c:v>3.7349999999999999</c:v>
                </c:pt>
                <c:pt idx="84">
                  <c:v>3.78</c:v>
                </c:pt>
                <c:pt idx="85">
                  <c:v>3.8249999999999997</c:v>
                </c:pt>
                <c:pt idx="86">
                  <c:v>3.87</c:v>
                </c:pt>
                <c:pt idx="87">
                  <c:v>3.915</c:v>
                </c:pt>
                <c:pt idx="88">
                  <c:v>3.96</c:v>
                </c:pt>
                <c:pt idx="89">
                  <c:v>4.0049999999999999</c:v>
                </c:pt>
                <c:pt idx="90">
                  <c:v>4.05</c:v>
                </c:pt>
                <c:pt idx="91">
                  <c:v>4.0949999999999998</c:v>
                </c:pt>
                <c:pt idx="92">
                  <c:v>4.1400000000000006</c:v>
                </c:pt>
                <c:pt idx="93">
                  <c:v>4.1850000000000005</c:v>
                </c:pt>
                <c:pt idx="94">
                  <c:v>4.2299999999999995</c:v>
                </c:pt>
                <c:pt idx="95">
                  <c:v>4.2749999999999995</c:v>
                </c:pt>
                <c:pt idx="96">
                  <c:v>4.32</c:v>
                </c:pt>
                <c:pt idx="97">
                  <c:v>4.3650000000000002</c:v>
                </c:pt>
                <c:pt idx="98">
                  <c:v>4.41</c:v>
                </c:pt>
                <c:pt idx="99">
                  <c:v>4.4550000000000001</c:v>
                </c:pt>
                <c:pt idx="100">
                  <c:v>4.5</c:v>
                </c:pt>
                <c:pt idx="101">
                  <c:v>4.5449999999999999</c:v>
                </c:pt>
                <c:pt idx="102">
                  <c:v>4.59</c:v>
                </c:pt>
                <c:pt idx="103">
                  <c:v>4.6349999999999998</c:v>
                </c:pt>
                <c:pt idx="104">
                  <c:v>4.68</c:v>
                </c:pt>
                <c:pt idx="105">
                  <c:v>4.7250000000000005</c:v>
                </c:pt>
                <c:pt idx="106">
                  <c:v>4.7700000000000005</c:v>
                </c:pt>
                <c:pt idx="107">
                  <c:v>4.8150000000000004</c:v>
                </c:pt>
                <c:pt idx="108">
                  <c:v>4.8600000000000003</c:v>
                </c:pt>
                <c:pt idx="109">
                  <c:v>4.9050000000000002</c:v>
                </c:pt>
                <c:pt idx="110">
                  <c:v>4.95</c:v>
                </c:pt>
                <c:pt idx="111">
                  <c:v>4.9950000000000001</c:v>
                </c:pt>
                <c:pt idx="112">
                  <c:v>5.0400000000000009</c:v>
                </c:pt>
                <c:pt idx="113">
                  <c:v>5.0849999999999991</c:v>
                </c:pt>
                <c:pt idx="114">
                  <c:v>5.13</c:v>
                </c:pt>
                <c:pt idx="115">
                  <c:v>5.1749999999999998</c:v>
                </c:pt>
                <c:pt idx="116">
                  <c:v>5.22</c:v>
                </c:pt>
                <c:pt idx="117">
                  <c:v>5.2649999999999997</c:v>
                </c:pt>
                <c:pt idx="118">
                  <c:v>5.31</c:v>
                </c:pt>
                <c:pt idx="119">
                  <c:v>5.3549999999999995</c:v>
                </c:pt>
                <c:pt idx="120">
                  <c:v>5.3999999999999995</c:v>
                </c:pt>
                <c:pt idx="121">
                  <c:v>5.4450000000000003</c:v>
                </c:pt>
                <c:pt idx="122">
                  <c:v>5.49</c:v>
                </c:pt>
                <c:pt idx="123">
                  <c:v>5.5350000000000001</c:v>
                </c:pt>
                <c:pt idx="124">
                  <c:v>5.58</c:v>
                </c:pt>
                <c:pt idx="125">
                  <c:v>5.625</c:v>
                </c:pt>
                <c:pt idx="126">
                  <c:v>5.67</c:v>
                </c:pt>
                <c:pt idx="127">
                  <c:v>5.7149999999999999</c:v>
                </c:pt>
                <c:pt idx="128">
                  <c:v>5.76</c:v>
                </c:pt>
                <c:pt idx="129">
                  <c:v>5.8049999999999997</c:v>
                </c:pt>
                <c:pt idx="130">
                  <c:v>5.8500000000000005</c:v>
                </c:pt>
                <c:pt idx="131">
                  <c:v>5.8950000000000005</c:v>
                </c:pt>
                <c:pt idx="132">
                  <c:v>5.94</c:v>
                </c:pt>
                <c:pt idx="133">
                  <c:v>5.9850000000000003</c:v>
                </c:pt>
                <c:pt idx="134">
                  <c:v>6.03</c:v>
                </c:pt>
                <c:pt idx="135">
                  <c:v>6.0750000000000002</c:v>
                </c:pt>
                <c:pt idx="136">
                  <c:v>6.12</c:v>
                </c:pt>
                <c:pt idx="137">
                  <c:v>6.1650000000000009</c:v>
                </c:pt>
                <c:pt idx="138">
                  <c:v>6.2099999999999991</c:v>
                </c:pt>
                <c:pt idx="139">
                  <c:v>6.2549999999999999</c:v>
                </c:pt>
                <c:pt idx="140">
                  <c:v>6.3</c:v>
                </c:pt>
                <c:pt idx="141">
                  <c:v>6.3449999999999998</c:v>
                </c:pt>
                <c:pt idx="142">
                  <c:v>6.39</c:v>
                </c:pt>
                <c:pt idx="143">
                  <c:v>6.4349999999999996</c:v>
                </c:pt>
                <c:pt idx="144">
                  <c:v>6.4799999999999995</c:v>
                </c:pt>
                <c:pt idx="145">
                  <c:v>6.5249999999999995</c:v>
                </c:pt>
                <c:pt idx="146">
                  <c:v>6.57</c:v>
                </c:pt>
                <c:pt idx="147">
                  <c:v>6.6150000000000002</c:v>
                </c:pt>
                <c:pt idx="148">
                  <c:v>6.66</c:v>
                </c:pt>
                <c:pt idx="149">
                  <c:v>6.7050000000000001</c:v>
                </c:pt>
                <c:pt idx="150">
                  <c:v>6.75</c:v>
                </c:pt>
                <c:pt idx="151">
                  <c:v>6.7949999999999999</c:v>
                </c:pt>
                <c:pt idx="152">
                  <c:v>6.84</c:v>
                </c:pt>
                <c:pt idx="153">
                  <c:v>6.8849999999999998</c:v>
                </c:pt>
                <c:pt idx="154">
                  <c:v>6.93</c:v>
                </c:pt>
                <c:pt idx="155">
                  <c:v>6.9750000000000005</c:v>
                </c:pt>
                <c:pt idx="156">
                  <c:v>7.0200000000000005</c:v>
                </c:pt>
                <c:pt idx="157">
                  <c:v>7.0650000000000004</c:v>
                </c:pt>
                <c:pt idx="158">
                  <c:v>7.11</c:v>
                </c:pt>
                <c:pt idx="159">
                  <c:v>7.1550000000000002</c:v>
                </c:pt>
                <c:pt idx="160">
                  <c:v>7.2</c:v>
                </c:pt>
                <c:pt idx="161">
                  <c:v>7.2450000000000001</c:v>
                </c:pt>
                <c:pt idx="162">
                  <c:v>7.2900000000000009</c:v>
                </c:pt>
                <c:pt idx="163">
                  <c:v>7.3349999999999991</c:v>
                </c:pt>
                <c:pt idx="164">
                  <c:v>7.38</c:v>
                </c:pt>
                <c:pt idx="165">
                  <c:v>7.4249999999999998</c:v>
                </c:pt>
                <c:pt idx="166">
                  <c:v>7.47</c:v>
                </c:pt>
                <c:pt idx="167">
                  <c:v>7.5149999999999997</c:v>
                </c:pt>
                <c:pt idx="168">
                  <c:v>7.56</c:v>
                </c:pt>
                <c:pt idx="169">
                  <c:v>7.6049999999999995</c:v>
                </c:pt>
                <c:pt idx="170">
                  <c:v>7.6499999999999995</c:v>
                </c:pt>
                <c:pt idx="171">
                  <c:v>7.6950000000000003</c:v>
                </c:pt>
                <c:pt idx="172">
                  <c:v>7.74</c:v>
                </c:pt>
                <c:pt idx="173">
                  <c:v>7.7850000000000001</c:v>
                </c:pt>
                <c:pt idx="174">
                  <c:v>7.83</c:v>
                </c:pt>
                <c:pt idx="175">
                  <c:v>7.875</c:v>
                </c:pt>
                <c:pt idx="176">
                  <c:v>7.92</c:v>
                </c:pt>
                <c:pt idx="177">
                  <c:v>7.9649999999999999</c:v>
                </c:pt>
                <c:pt idx="178">
                  <c:v>8.01</c:v>
                </c:pt>
                <c:pt idx="179">
                  <c:v>8.0549999999999997</c:v>
                </c:pt>
                <c:pt idx="180">
                  <c:v>8.1</c:v>
                </c:pt>
                <c:pt idx="181">
                  <c:v>8.1449999999999996</c:v>
                </c:pt>
                <c:pt idx="182">
                  <c:v>8.19</c:v>
                </c:pt>
                <c:pt idx="183">
                  <c:v>8.2349999999999994</c:v>
                </c:pt>
                <c:pt idx="184">
                  <c:v>8.2800000000000011</c:v>
                </c:pt>
                <c:pt idx="185">
                  <c:v>8.3250000000000011</c:v>
                </c:pt>
                <c:pt idx="186">
                  <c:v>8.370000000000001</c:v>
                </c:pt>
                <c:pt idx="187">
                  <c:v>8.4150000000000009</c:v>
                </c:pt>
                <c:pt idx="188">
                  <c:v>8.4599999999999991</c:v>
                </c:pt>
                <c:pt idx="189">
                  <c:v>8.504999999999999</c:v>
                </c:pt>
                <c:pt idx="190">
                  <c:v>8.5499999999999989</c:v>
                </c:pt>
                <c:pt idx="191">
                  <c:v>8.5949999999999989</c:v>
                </c:pt>
                <c:pt idx="192">
                  <c:v>8.64</c:v>
                </c:pt>
                <c:pt idx="193">
                  <c:v>8.6850000000000005</c:v>
                </c:pt>
                <c:pt idx="194">
                  <c:v>8.73</c:v>
                </c:pt>
                <c:pt idx="195">
                  <c:v>8.7750000000000004</c:v>
                </c:pt>
                <c:pt idx="196">
                  <c:v>8.82</c:v>
                </c:pt>
                <c:pt idx="197">
                  <c:v>8.8650000000000002</c:v>
                </c:pt>
                <c:pt idx="198">
                  <c:v>8.91</c:v>
                </c:pt>
                <c:pt idx="199">
                  <c:v>8.9550000000000001</c:v>
                </c:pt>
                <c:pt idx="200">
                  <c:v>9</c:v>
                </c:pt>
              </c:numCache>
            </c:numRef>
          </c:xVal>
          <c:yVal>
            <c:numRef>
              <c:f>'Power Calculations'!$Q$9:$Q$209</c:f>
              <c:numCache>
                <c:formatCode>0.0000</c:formatCode>
                <c:ptCount val="201"/>
                <c:pt idx="0">
                  <c:v>0.40486781186448012</c:v>
                </c:pt>
                <c:pt idx="1">
                  <c:v>0.40489315356085215</c:v>
                </c:pt>
                <c:pt idx="2">
                  <c:v>0.40496713395627759</c:v>
                </c:pt>
                <c:pt idx="3">
                  <c:v>0.40508975477730047</c:v>
                </c:pt>
                <c:pt idx="4">
                  <c:v>0.40526101888568411</c:v>
                </c:pt>
                <c:pt idx="5">
                  <c:v>0.40548093027857807</c:v>
                </c:pt>
                <c:pt idx="6">
                  <c:v>0.40574949408875133</c:v>
                </c:pt>
                <c:pt idx="7">
                  <c:v>0.40606671658489207</c:v>
                </c:pt>
                <c:pt idx="8">
                  <c:v>0.40643260517197316</c:v>
                </c:pt>
                <c:pt idx="9">
                  <c:v>0.40684716839168455</c:v>
                </c:pt>
                <c:pt idx="10">
                  <c:v>0.40731041592293188</c:v>
                </c:pt>
                <c:pt idx="11">
                  <c:v>0.4078223585824014</c:v>
                </c:pt>
                <c:pt idx="12">
                  <c:v>0.40838300832519164</c:v>
                </c:pt>
                <c:pt idx="13">
                  <c:v>0.40899237824551155</c:v>
                </c:pt>
                <c:pt idx="14">
                  <c:v>0.40965048257744524</c:v>
                </c:pt>
                <c:pt idx="15">
                  <c:v>0.41035733669578373</c:v>
                </c:pt>
                <c:pt idx="16">
                  <c:v>0.41111295711692308</c:v>
                </c:pt>
                <c:pt idx="17">
                  <c:v>0.4119173614998301</c:v>
                </c:pt>
                <c:pt idx="18">
                  <c:v>0.4127705686470744</c:v>
                </c:pt>
                <c:pt idx="19">
                  <c:v>0.41367259850592808</c:v>
                </c:pt>
                <c:pt idx="20">
                  <c:v>0.41462347216953249</c:v>
                </c:pt>
                <c:pt idx="21">
                  <c:v>0.41562321187813256</c:v>
                </c:pt>
                <c:pt idx="22">
                  <c:v>0.41667184102037846</c:v>
                </c:pt>
                <c:pt idx="23">
                  <c:v>0.417769384134695</c:v>
                </c:pt>
                <c:pt idx="24">
                  <c:v>0.41891586691071886</c:v>
                </c:pt>
                <c:pt idx="25">
                  <c:v>0.42011131619080411</c:v>
                </c:pt>
                <c:pt idx="26">
                  <c:v>0.42135575997159525</c:v>
                </c:pt>
                <c:pt idx="27">
                  <c:v>0.42264922740566913</c:v>
                </c:pt>
                <c:pt idx="28">
                  <c:v>0.42399174880324519</c:v>
                </c:pt>
                <c:pt idx="29">
                  <c:v>0.42538335563396418</c:v>
                </c:pt>
                <c:pt idx="30">
                  <c:v>0.42682408052873627</c:v>
                </c:pt>
                <c:pt idx="31">
                  <c:v>0.42831395728165772</c:v>
                </c:pt>
                <c:pt idx="32">
                  <c:v>0.42985302085199711</c:v>
                </c:pt>
                <c:pt idx="33">
                  <c:v>0.43144130736625114</c:v>
                </c:pt>
                <c:pt idx="34">
                  <c:v>0.43307885412026981</c:v>
                </c:pt>
                <c:pt idx="35">
                  <c:v>0.43476569958145239</c:v>
                </c:pt>
                <c:pt idx="36">
                  <c:v>0.43650188339101259</c:v>
                </c:pt>
                <c:pt idx="37">
                  <c:v>0.43828744636631473</c:v>
                </c:pt>
                <c:pt idx="38">
                  <c:v>0.44012243050328093</c:v>
                </c:pt>
                <c:pt idx="39">
                  <c:v>0.44200687897886859</c:v>
                </c:pt>
                <c:pt idx="40">
                  <c:v>0.44394083615361968</c:v>
                </c:pt>
                <c:pt idx="41">
                  <c:v>0.4459243475742814</c:v>
                </c:pt>
                <c:pt idx="42">
                  <c:v>0.44795745997649872</c:v>
                </c:pt>
                <c:pt idx="43">
                  <c:v>0.45004022128757892</c:v>
                </c:pt>
                <c:pt idx="44">
                  <c:v>0.45217268062932869</c:v>
                </c:pt>
                <c:pt idx="45">
                  <c:v>0.45435488832096405</c:v>
                </c:pt>
                <c:pt idx="46">
                  <c:v>0.45658689588209328</c:v>
                </c:pt>
                <c:pt idx="47">
                  <c:v>0.4588687560357731</c:v>
                </c:pt>
                <c:pt idx="48">
                  <c:v>0.46120052271163914</c:v>
                </c:pt>
                <c:pt idx="49">
                  <c:v>0.46358225104910966</c:v>
                </c:pt>
                <c:pt idx="50">
                  <c:v>0.46601399740066457</c:v>
                </c:pt>
                <c:pt idx="51">
                  <c:v>0.46849581933519885</c:v>
                </c:pt>
                <c:pt idx="52">
                  <c:v>0.47102777564145115</c:v>
                </c:pt>
                <c:pt idx="53">
                  <c:v>0.47360992633150806</c:v>
                </c:pt>
                <c:pt idx="54">
                  <c:v>0.47624233264438448</c:v>
                </c:pt>
                <c:pt idx="55">
                  <c:v>0.47892505704968019</c:v>
                </c:pt>
                <c:pt idx="56">
                  <c:v>0.48165816325131333</c:v>
                </c:pt>
                <c:pt idx="57">
                  <c:v>0.48444171619133086</c:v>
                </c:pt>
                <c:pt idx="58">
                  <c:v>0.48727578205379696</c:v>
                </c:pt>
                <c:pt idx="59">
                  <c:v>0.4901604282687595</c:v>
                </c:pt>
                <c:pt idx="60">
                  <c:v>0.4930957235162946</c:v>
                </c:pt>
                <c:pt idx="61">
                  <c:v>0.49608173773063069</c:v>
                </c:pt>
                <c:pt idx="62">
                  <c:v>0.4991185421043518</c:v>
                </c:pt>
                <c:pt idx="63">
                  <c:v>0.50220620909268054</c:v>
                </c:pt>
                <c:pt idx="64">
                  <c:v>0.50534481241784213</c:v>
                </c:pt>
                <c:pt idx="65">
                  <c:v>0.5085344270735086</c:v>
                </c:pt>
                <c:pt idx="66">
                  <c:v>0.51177512932932467</c:v>
                </c:pt>
                <c:pt idx="67">
                  <c:v>0.51506699673551593</c:v>
                </c:pt>
                <c:pt idx="68">
                  <c:v>0.51841010812757871</c:v>
                </c:pt>
                <c:pt idx="69">
                  <c:v>0.52180454363105389</c:v>
                </c:pt>
                <c:pt idx="70">
                  <c:v>0.52525038466638296</c:v>
                </c:pt>
                <c:pt idx="71">
                  <c:v>0.52874771395384979</c:v>
                </c:pt>
                <c:pt idx="72">
                  <c:v>0.5322966155186053</c:v>
                </c:pt>
                <c:pt idx="73">
                  <c:v>0.53589717469577902</c:v>
                </c:pt>
                <c:pt idx="74">
                  <c:v>0.53954947813567489</c:v>
                </c:pt>
                <c:pt idx="75">
                  <c:v>0.54325361380905479</c:v>
                </c:pt>
                <c:pt idx="76">
                  <c:v>0.54700967101250852</c:v>
                </c:pt>
                <c:pt idx="77">
                  <c:v>0.55081774037391118</c:v>
                </c:pt>
                <c:pt idx="78">
                  <c:v>0.55467791385796938</c:v>
                </c:pt>
                <c:pt idx="79">
                  <c:v>0.55859028477185535</c:v>
                </c:pt>
                <c:pt idx="80">
                  <c:v>0.56255494777093262</c:v>
                </c:pt>
                <c:pt idx="81">
                  <c:v>0.56657199886456955</c:v>
                </c:pt>
                <c:pt idx="82">
                  <c:v>0.57064153542204499</c:v>
                </c:pt>
                <c:pt idx="83">
                  <c:v>0.5747636561785463</c:v>
                </c:pt>
                <c:pt idx="84">
                  <c:v>0.57893846124125758</c:v>
                </c:pt>
                <c:pt idx="85">
                  <c:v>0.58316605209554295</c:v>
                </c:pt>
                <c:pt idx="86">
                  <c:v>0.5874465316112224</c:v>
                </c:pt>
                <c:pt idx="87">
                  <c:v>0.59178000404894238</c:v>
                </c:pt>
                <c:pt idx="88">
                  <c:v>0.59616657506664195</c:v>
                </c:pt>
                <c:pt idx="89">
                  <c:v>0.60060635172611432</c:v>
                </c:pt>
                <c:pt idx="90">
                  <c:v>0.60509944249966563</c:v>
                </c:pt>
                <c:pt idx="91">
                  <c:v>0.6096459572768711</c:v>
                </c:pt>
                <c:pt idx="92">
                  <c:v>0.61424600737142954</c:v>
                </c:pt>
                <c:pt idx="93">
                  <c:v>0.61889970552811668</c:v>
                </c:pt>
                <c:pt idx="94">
                  <c:v>0.62360716592983911</c:v>
                </c:pt>
                <c:pt idx="95">
                  <c:v>0.62836850420478896</c:v>
                </c:pt>
                <c:pt idx="96">
                  <c:v>0.63318383743369977</c:v>
                </c:pt>
                <c:pt idx="97">
                  <c:v>0.63805328415720453</c:v>
                </c:pt>
                <c:pt idx="98">
                  <c:v>0.64297696438329888</c:v>
                </c:pt>
                <c:pt idx="99">
                  <c:v>0.64795499959490699</c:v>
                </c:pt>
                <c:pt idx="100">
                  <c:v>0.65298751275755307</c:v>
                </c:pt>
                <c:pt idx="101">
                  <c:v>0.65807462832713981</c:v>
                </c:pt>
                <c:pt idx="102">
                  <c:v>0.66321647225783209</c:v>
                </c:pt>
                <c:pt idx="103">
                  <c:v>0.66841317201005146</c:v>
                </c:pt>
                <c:pt idx="104">
                  <c:v>0.67366485655857644</c:v>
                </c:pt>
                <c:pt idx="105">
                  <c:v>0.67897165640075641</c:v>
                </c:pt>
                <c:pt idx="106">
                  <c:v>0.68433370356483247</c:v>
                </c:pt>
                <c:pt idx="107">
                  <c:v>0.6897511316183742</c:v>
                </c:pt>
                <c:pt idx="108">
                  <c:v>0.69522407567682665</c:v>
                </c:pt>
                <c:pt idx="109">
                  <c:v>0.70075267241217276</c:v>
                </c:pt>
                <c:pt idx="110">
                  <c:v>0.70633706006171071</c:v>
                </c:pt>
                <c:pt idx="111">
                  <c:v>0.71197737843694764</c:v>
                </c:pt>
                <c:pt idx="112">
                  <c:v>0.71767376893261015</c:v>
                </c:pt>
                <c:pt idx="113">
                  <c:v>0.72342637453577296</c:v>
                </c:pt>
                <c:pt idx="114">
                  <c:v>0.72923533983510991</c:v>
                </c:pt>
                <c:pt idx="115">
                  <c:v>0.73510081103026104</c:v>
                </c:pt>
                <c:pt idx="116">
                  <c:v>0.74102293594132607</c:v>
                </c:pt>
                <c:pt idx="117">
                  <c:v>0.74700186401847746</c:v>
                </c:pt>
                <c:pt idx="118">
                  <c:v>0.7530377463517004</c:v>
                </c:pt>
                <c:pt idx="119">
                  <c:v>0.75913073568065692</c:v>
                </c:pt>
                <c:pt idx="120">
                  <c:v>0.76528098640467612</c:v>
                </c:pt>
                <c:pt idx="121">
                  <c:v>0.77148865459287475</c:v>
                </c:pt>
                <c:pt idx="122">
                  <c:v>0.77775389799440386</c:v>
                </c:pt>
                <c:pt idx="123">
                  <c:v>0.78407687604882936</c:v>
                </c:pt>
                <c:pt idx="124">
                  <c:v>0.79045774989664175</c:v>
                </c:pt>
                <c:pt idx="125">
                  <c:v>0.79689668238990041</c:v>
                </c:pt>
                <c:pt idx="126">
                  <c:v>0.80339383810301213</c:v>
                </c:pt>
                <c:pt idx="127">
                  <c:v>0.80994938334364663</c:v>
                </c:pt>
                <c:pt idx="128">
                  <c:v>0.81656348616378616</c:v>
                </c:pt>
                <c:pt idx="129">
                  <c:v>0.82323631637091843</c:v>
                </c:pt>
                <c:pt idx="130">
                  <c:v>0.82996804553936698</c:v>
                </c:pt>
                <c:pt idx="131">
                  <c:v>0.8367588470217624</c:v>
                </c:pt>
                <c:pt idx="132">
                  <c:v>0.84360889596065891</c:v>
                </c:pt>
                <c:pt idx="133">
                  <c:v>0.85051836930029556</c:v>
                </c:pt>
                <c:pt idx="134">
                  <c:v>0.85748744579850156</c:v>
                </c:pt>
                <c:pt idx="135">
                  <c:v>0.86451630603875018</c:v>
                </c:pt>
                <c:pt idx="136">
                  <c:v>0.87160513244236348</c:v>
                </c:pt>
                <c:pt idx="137">
                  <c:v>0.87875410928086639</c:v>
                </c:pt>
                <c:pt idx="138">
                  <c:v>0.88596342268849249</c:v>
                </c:pt>
                <c:pt idx="139">
                  <c:v>0.89323326067484721</c:v>
                </c:pt>
                <c:pt idx="140">
                  <c:v>0.90056381313772316</c:v>
                </c:pt>
                <c:pt idx="141">
                  <c:v>0.90795527187607528</c:v>
                </c:pt>
                <c:pt idx="142">
                  <c:v>0.91540783060315467</c:v>
                </c:pt>
                <c:pt idx="143">
                  <c:v>0.92292168495980309</c:v>
                </c:pt>
                <c:pt idx="144">
                  <c:v>0.93049703252791094</c:v>
                </c:pt>
                <c:pt idx="145">
                  <c:v>0.93813407284403927</c:v>
                </c:pt>
                <c:pt idx="146">
                  <c:v>0.94583300741320753</c:v>
                </c:pt>
                <c:pt idx="147">
                  <c:v>0.95359403972285195</c:v>
                </c:pt>
                <c:pt idx="148">
                  <c:v>0.96141737525695103</c:v>
                </c:pt>
                <c:pt idx="149">
                  <c:v>0.96930322151032577</c:v>
                </c:pt>
                <c:pt idx="150">
                  <c:v>0.97725178800311174</c:v>
                </c:pt>
                <c:pt idx="151">
                  <c:v>0.9852632862954086</c:v>
                </c:pt>
                <c:pt idx="152">
                  <c:v>0.99333793000210635</c:v>
                </c:pt>
                <c:pt idx="153">
                  <c:v>1.0014759348078943</c:v>
                </c:pt>
                <c:pt idx="154">
                  <c:v>1.009677518482446</c:v>
                </c:pt>
                <c:pt idx="155">
                  <c:v>1.0179429008957979</c:v>
                </c:pt>
                <c:pt idx="156">
                  <c:v>1.026272304033903</c:v>
                </c:pt>
                <c:pt idx="157">
                  <c:v>1.0346659520143826</c:v>
                </c:pt>
                <c:pt idx="158">
                  <c:v>1.0431240711024641</c:v>
                </c:pt>
                <c:pt idx="159">
                  <c:v>1.0516468897271096</c:v>
                </c:pt>
                <c:pt idx="160">
                  <c:v>1.060234638497346</c:v>
                </c:pt>
                <c:pt idx="161">
                  <c:v>1.0688875502187853</c:v>
                </c:pt>
                <c:pt idx="162">
                  <c:v>1.0776058599103506</c:v>
                </c:pt>
                <c:pt idx="163">
                  <c:v>1.0863898048211973</c:v>
                </c:pt>
                <c:pt idx="164">
                  <c:v>1.0952396244478493</c:v>
                </c:pt>
                <c:pt idx="165">
                  <c:v>1.1041555605515287</c:v>
                </c:pt>
                <c:pt idx="166">
                  <c:v>1.1131378571757071</c:v>
                </c:pt>
                <c:pt idx="167">
                  <c:v>1.122186760663858</c:v>
                </c:pt>
                <c:pt idx="168">
                  <c:v>1.1313025196774347</c:v>
                </c:pt>
                <c:pt idx="169">
                  <c:v>1.140485385214054</c:v>
                </c:pt>
                <c:pt idx="170">
                  <c:v>1.1497356106259082</c:v>
                </c:pt>
                <c:pt idx="171">
                  <c:v>1.1590534516383943</c:v>
                </c:pt>
                <c:pt idx="172">
                  <c:v>1.1684391663689693</c:v>
                </c:pt>
                <c:pt idx="173">
                  <c:v>1.1778930153462335</c:v>
                </c:pt>
                <c:pt idx="174">
                  <c:v>1.187415261529245</c:v>
                </c:pt>
                <c:pt idx="175">
                  <c:v>1.197006170327066</c:v>
                </c:pt>
                <c:pt idx="176">
                  <c:v>1.2066660096185444</c:v>
                </c:pt>
                <c:pt idx="177">
                  <c:v>1.2163950497723386</c:v>
                </c:pt>
                <c:pt idx="178">
                  <c:v>1.2261935636671777</c:v>
                </c:pt>
                <c:pt idx="179">
                  <c:v>1.2360618267123733</c:v>
                </c:pt>
                <c:pt idx="180">
                  <c:v>1.2460001168685761</c:v>
                </c:pt>
                <c:pt idx="181">
                  <c:v>1.2560087146687811</c:v>
                </c:pt>
                <c:pt idx="182">
                  <c:v>1.2660879032395922</c:v>
                </c:pt>
                <c:pt idx="183">
                  <c:v>1.2762379683227416</c:v>
                </c:pt>
                <c:pt idx="184">
                  <c:v>1.2864591982968698</c:v>
                </c:pt>
                <c:pt idx="185">
                  <c:v>1.2967518841995669</c:v>
                </c:pt>
                <c:pt idx="186">
                  <c:v>1.3071163197496891</c:v>
                </c:pt>
                <c:pt idx="187">
                  <c:v>1.3175528013699385</c:v>
                </c:pt>
                <c:pt idx="188">
                  <c:v>1.3280616282097153</c:v>
                </c:pt>
                <c:pt idx="189">
                  <c:v>1.338643102168259</c:v>
                </c:pt>
                <c:pt idx="190">
                  <c:v>1.3492975279180577</c:v>
                </c:pt>
                <c:pt idx="191">
                  <c:v>1.3600252129285497</c:v>
                </c:pt>
                <c:pt idx="192">
                  <c:v>1.3708264674901107</c:v>
                </c:pt>
                <c:pt idx="193">
                  <c:v>1.381701604738335</c:v>
                </c:pt>
                <c:pt idx="194">
                  <c:v>1.3926509406786112</c:v>
                </c:pt>
                <c:pt idx="195">
                  <c:v>1.4036747942109984</c:v>
                </c:pt>
                <c:pt idx="196">
                  <c:v>1.4147734871554039</c:v>
                </c:pt>
                <c:pt idx="197">
                  <c:v>1.4259473442770725</c:v>
                </c:pt>
                <c:pt idx="198">
                  <c:v>1.4371966933123841</c:v>
                </c:pt>
                <c:pt idx="199">
                  <c:v>1.4485218649949667</c:v>
                </c:pt>
                <c:pt idx="200">
                  <c:v>1.4599231930821341</c:v>
                </c:pt>
              </c:numCache>
            </c:numRef>
          </c:yVal>
          <c:smooth val="0"/>
          <c:extLst>
            <c:ext xmlns:c16="http://schemas.microsoft.com/office/drawing/2014/chart" uri="{C3380CC4-5D6E-409C-BE32-E72D297353CC}">
              <c16:uniqueId val="{00000002-10C0-444D-84FA-8FD69F5D8657}"/>
            </c:ext>
          </c:extLst>
        </c:ser>
        <c:dLbls>
          <c:showLegendKey val="0"/>
          <c:showVal val="0"/>
          <c:showCatName val="0"/>
          <c:showSerName val="0"/>
          <c:showPercent val="0"/>
          <c:showBubbleSize val="0"/>
        </c:dLbls>
        <c:axId val="157759360"/>
        <c:axId val="157761536"/>
      </c:scatterChart>
      <c:valAx>
        <c:axId val="157759360"/>
        <c:scaling>
          <c:orientation val="minMax"/>
          <c:min val="0"/>
        </c:scaling>
        <c:delete val="0"/>
        <c:axPos val="b"/>
        <c:majorGridlines/>
        <c:title>
          <c:tx>
            <c:rich>
              <a:bodyPr/>
              <a:lstStyle/>
              <a:p>
                <a:pPr>
                  <a:defRPr sz="975" b="1" i="0" u="none" strike="noStrike" baseline="0">
                    <a:solidFill>
                      <a:srgbClr val="000000"/>
                    </a:solidFill>
                    <a:latin typeface="Arial"/>
                    <a:ea typeface="Arial"/>
                    <a:cs typeface="Arial"/>
                  </a:defRPr>
                </a:pPr>
                <a:r>
                  <a:rPr lang="en-US"/>
                  <a:t>Iout (A)</a:t>
                </a:r>
              </a:p>
            </c:rich>
          </c:tx>
          <c:layout>
            <c:manualLayout>
              <c:xMode val="edge"/>
              <c:yMode val="edge"/>
              <c:x val="0.47898089171975411"/>
              <c:y val="0.92540407247481904"/>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1" i="0" u="none" strike="noStrike" baseline="0">
                <a:solidFill>
                  <a:srgbClr val="000000"/>
                </a:solidFill>
                <a:latin typeface="Arial"/>
                <a:ea typeface="Arial"/>
                <a:cs typeface="Arial"/>
              </a:defRPr>
            </a:pPr>
            <a:endParaRPr lang="en-US"/>
          </a:p>
        </c:txPr>
        <c:crossAx val="157761536"/>
        <c:crosses val="autoZero"/>
        <c:crossBetween val="midCat"/>
      </c:valAx>
      <c:valAx>
        <c:axId val="157761536"/>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00"/>
                    </a:solidFill>
                    <a:latin typeface="Arial"/>
                    <a:ea typeface="Arial"/>
                    <a:cs typeface="Arial"/>
                  </a:defRPr>
                </a:pPr>
                <a:r>
                  <a:rPr lang="en-US"/>
                  <a:t>Power Disipation (W)</a:t>
                </a:r>
              </a:p>
            </c:rich>
          </c:tx>
          <c:layout>
            <c:manualLayout>
              <c:xMode val="edge"/>
              <c:yMode val="edge"/>
              <c:x val="1.9108280254777267E-2"/>
              <c:y val="0.37298429430192653"/>
            </c:manualLayout>
          </c:layout>
          <c:overlay val="0"/>
          <c:spPr>
            <a:noFill/>
            <a:ln w="25400">
              <a:noFill/>
            </a:ln>
          </c:spPr>
        </c:title>
        <c:numFmt formatCode="General" sourceLinked="0"/>
        <c:majorTickMark val="out"/>
        <c:minorTickMark val="none"/>
        <c:tickLblPos val="nextTo"/>
        <c:spPr>
          <a:ln w="3175">
            <a:solidFill>
              <a:srgbClr val="000000"/>
            </a:solidFill>
            <a:prstDash val="solid"/>
          </a:ln>
        </c:spPr>
        <c:txPr>
          <a:bodyPr rot="0" vert="horz"/>
          <a:lstStyle/>
          <a:p>
            <a:pPr>
              <a:defRPr sz="975" b="1" i="0" u="none" strike="noStrike" baseline="0">
                <a:solidFill>
                  <a:srgbClr val="000000"/>
                </a:solidFill>
                <a:latin typeface="Arial"/>
                <a:ea typeface="Arial"/>
                <a:cs typeface="Arial"/>
              </a:defRPr>
            </a:pPr>
            <a:endParaRPr lang="en-US"/>
          </a:p>
        </c:txPr>
        <c:crossAx val="157759360"/>
        <c:crosses val="autoZero"/>
        <c:crossBetween val="midCat"/>
      </c:valAx>
      <c:spPr>
        <a:solidFill>
          <a:srgbClr val="C0C0C0"/>
        </a:solidFill>
        <a:ln w="12700">
          <a:solidFill>
            <a:srgbClr val="808080"/>
          </a:solidFill>
          <a:prstDash val="solid"/>
        </a:ln>
      </c:spPr>
    </c:plotArea>
    <c:legend>
      <c:legendPos val="r"/>
      <c:layout>
        <c:manualLayout>
          <c:xMode val="edge"/>
          <c:yMode val="edge"/>
          <c:x val="0.84585987261148066"/>
          <c:y val="1.0080645161290319E-2"/>
          <c:w val="0.14904458598726408"/>
          <c:h val="0.1290324697316062"/>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75" b="1" i="0" u="none" strike="noStrike" baseline="0">
                <a:solidFill>
                  <a:srgbClr val="000000"/>
                </a:solidFill>
                <a:latin typeface="Arial"/>
                <a:ea typeface="Arial"/>
                <a:cs typeface="Arial"/>
              </a:defRPr>
            </a:pPr>
            <a:r>
              <a:rPr lang="en-US"/>
              <a:t> Overall Efficiency</a:t>
            </a:r>
          </a:p>
        </c:rich>
      </c:tx>
      <c:layout>
        <c:manualLayout>
          <c:xMode val="edge"/>
          <c:yMode val="edge"/>
          <c:x val="0.41192468827576079"/>
          <c:y val="3.0241935483871732E-2"/>
        </c:manualLayout>
      </c:layout>
      <c:overlay val="0"/>
      <c:spPr>
        <a:noFill/>
        <a:ln w="25400">
          <a:noFill/>
        </a:ln>
      </c:spPr>
    </c:title>
    <c:autoTitleDeleted val="0"/>
    <c:plotArea>
      <c:layout>
        <c:manualLayout>
          <c:layoutTarget val="inner"/>
          <c:xMode val="edge"/>
          <c:yMode val="edge"/>
          <c:x val="0.12330639622818776"/>
          <c:y val="0.15927435034411094"/>
          <c:w val="0.80758914452747144"/>
          <c:h val="0.72983942815909986"/>
        </c:manualLayout>
      </c:layout>
      <c:scatterChart>
        <c:scatterStyle val="lineMarker"/>
        <c:varyColors val="0"/>
        <c:ser>
          <c:idx val="0"/>
          <c:order val="0"/>
          <c:spPr>
            <a:ln w="38100">
              <a:solidFill>
                <a:srgbClr val="000080"/>
              </a:solidFill>
              <a:prstDash val="solid"/>
            </a:ln>
          </c:spPr>
          <c:marker>
            <c:symbol val="none"/>
          </c:marker>
          <c:xVal>
            <c:numRef>
              <c:f>'Power Calculations'!$H$9:$H$209</c:f>
              <c:numCache>
                <c:formatCode>General</c:formatCode>
                <c:ptCount val="201"/>
                <c:pt idx="0">
                  <c:v>0</c:v>
                </c:pt>
                <c:pt idx="1">
                  <c:v>4.4999999999999998E-2</c:v>
                </c:pt>
                <c:pt idx="2">
                  <c:v>0.09</c:v>
                </c:pt>
                <c:pt idx="3">
                  <c:v>0.13500000000000001</c:v>
                </c:pt>
                <c:pt idx="4">
                  <c:v>0.18</c:v>
                </c:pt>
                <c:pt idx="5">
                  <c:v>0.22500000000000001</c:v>
                </c:pt>
                <c:pt idx="6">
                  <c:v>0.27</c:v>
                </c:pt>
                <c:pt idx="7">
                  <c:v>0.31500000000000006</c:v>
                </c:pt>
                <c:pt idx="8">
                  <c:v>0.36</c:v>
                </c:pt>
                <c:pt idx="9">
                  <c:v>0.40499999999999997</c:v>
                </c:pt>
                <c:pt idx="10">
                  <c:v>0.45</c:v>
                </c:pt>
                <c:pt idx="11">
                  <c:v>0.495</c:v>
                </c:pt>
                <c:pt idx="12">
                  <c:v>0.54</c:v>
                </c:pt>
                <c:pt idx="13">
                  <c:v>0.58499999999999996</c:v>
                </c:pt>
                <c:pt idx="14">
                  <c:v>0.63000000000000012</c:v>
                </c:pt>
                <c:pt idx="15">
                  <c:v>0.67499999999999993</c:v>
                </c:pt>
                <c:pt idx="16">
                  <c:v>0.72</c:v>
                </c:pt>
                <c:pt idx="17">
                  <c:v>0.76500000000000001</c:v>
                </c:pt>
                <c:pt idx="18">
                  <c:v>0.80999999999999994</c:v>
                </c:pt>
                <c:pt idx="19">
                  <c:v>0.85499999999999998</c:v>
                </c:pt>
                <c:pt idx="20">
                  <c:v>0.9</c:v>
                </c:pt>
                <c:pt idx="21">
                  <c:v>0.94499999999999995</c:v>
                </c:pt>
                <c:pt idx="22">
                  <c:v>0.99</c:v>
                </c:pt>
                <c:pt idx="23">
                  <c:v>1.0350000000000001</c:v>
                </c:pt>
                <c:pt idx="24">
                  <c:v>1.08</c:v>
                </c:pt>
                <c:pt idx="25">
                  <c:v>1.125</c:v>
                </c:pt>
                <c:pt idx="26">
                  <c:v>1.17</c:v>
                </c:pt>
                <c:pt idx="27">
                  <c:v>1.2150000000000001</c:v>
                </c:pt>
                <c:pt idx="28">
                  <c:v>1.2600000000000002</c:v>
                </c:pt>
                <c:pt idx="29">
                  <c:v>1.3049999999999999</c:v>
                </c:pt>
                <c:pt idx="30">
                  <c:v>1.3499999999999999</c:v>
                </c:pt>
                <c:pt idx="31">
                  <c:v>1.395</c:v>
                </c:pt>
                <c:pt idx="32">
                  <c:v>1.44</c:v>
                </c:pt>
                <c:pt idx="33">
                  <c:v>1.4850000000000001</c:v>
                </c:pt>
                <c:pt idx="34">
                  <c:v>1.53</c:v>
                </c:pt>
                <c:pt idx="35">
                  <c:v>1.575</c:v>
                </c:pt>
                <c:pt idx="36">
                  <c:v>1.6199999999999999</c:v>
                </c:pt>
                <c:pt idx="37">
                  <c:v>1.665</c:v>
                </c:pt>
                <c:pt idx="38">
                  <c:v>1.71</c:v>
                </c:pt>
                <c:pt idx="39">
                  <c:v>1.7550000000000001</c:v>
                </c:pt>
                <c:pt idx="40">
                  <c:v>1.8</c:v>
                </c:pt>
                <c:pt idx="41">
                  <c:v>1.845</c:v>
                </c:pt>
                <c:pt idx="42">
                  <c:v>1.89</c:v>
                </c:pt>
                <c:pt idx="43">
                  <c:v>1.9350000000000001</c:v>
                </c:pt>
                <c:pt idx="44">
                  <c:v>1.98</c:v>
                </c:pt>
                <c:pt idx="45">
                  <c:v>2.0249999999999999</c:v>
                </c:pt>
                <c:pt idx="46">
                  <c:v>2.0700000000000003</c:v>
                </c:pt>
                <c:pt idx="47">
                  <c:v>2.1149999999999998</c:v>
                </c:pt>
                <c:pt idx="48">
                  <c:v>2.16</c:v>
                </c:pt>
                <c:pt idx="49">
                  <c:v>2.2050000000000001</c:v>
                </c:pt>
                <c:pt idx="50">
                  <c:v>2.25</c:v>
                </c:pt>
                <c:pt idx="51">
                  <c:v>2.2949999999999999</c:v>
                </c:pt>
                <c:pt idx="52">
                  <c:v>2.34</c:v>
                </c:pt>
                <c:pt idx="53">
                  <c:v>2.3850000000000002</c:v>
                </c:pt>
                <c:pt idx="54">
                  <c:v>2.4300000000000002</c:v>
                </c:pt>
                <c:pt idx="55">
                  <c:v>2.4750000000000001</c:v>
                </c:pt>
                <c:pt idx="56">
                  <c:v>2.5200000000000005</c:v>
                </c:pt>
                <c:pt idx="57">
                  <c:v>2.5649999999999999</c:v>
                </c:pt>
                <c:pt idx="58">
                  <c:v>2.61</c:v>
                </c:pt>
                <c:pt idx="59">
                  <c:v>2.6549999999999998</c:v>
                </c:pt>
                <c:pt idx="60">
                  <c:v>2.6999999999999997</c:v>
                </c:pt>
                <c:pt idx="61">
                  <c:v>2.7450000000000001</c:v>
                </c:pt>
                <c:pt idx="62">
                  <c:v>2.79</c:v>
                </c:pt>
                <c:pt idx="63">
                  <c:v>2.835</c:v>
                </c:pt>
                <c:pt idx="64">
                  <c:v>2.88</c:v>
                </c:pt>
                <c:pt idx="65">
                  <c:v>2.9250000000000003</c:v>
                </c:pt>
                <c:pt idx="66">
                  <c:v>2.97</c:v>
                </c:pt>
                <c:pt idx="67">
                  <c:v>3.0150000000000001</c:v>
                </c:pt>
                <c:pt idx="68">
                  <c:v>3.06</c:v>
                </c:pt>
                <c:pt idx="69">
                  <c:v>3.1049999999999995</c:v>
                </c:pt>
                <c:pt idx="70">
                  <c:v>3.15</c:v>
                </c:pt>
                <c:pt idx="71">
                  <c:v>3.1949999999999998</c:v>
                </c:pt>
                <c:pt idx="72">
                  <c:v>3.2399999999999998</c:v>
                </c:pt>
                <c:pt idx="73">
                  <c:v>3.2850000000000001</c:v>
                </c:pt>
                <c:pt idx="74">
                  <c:v>3.33</c:v>
                </c:pt>
                <c:pt idx="75">
                  <c:v>3.375</c:v>
                </c:pt>
                <c:pt idx="76">
                  <c:v>3.42</c:v>
                </c:pt>
                <c:pt idx="77">
                  <c:v>3.4649999999999999</c:v>
                </c:pt>
                <c:pt idx="78">
                  <c:v>3.5100000000000002</c:v>
                </c:pt>
                <c:pt idx="79">
                  <c:v>3.5550000000000002</c:v>
                </c:pt>
                <c:pt idx="80">
                  <c:v>3.6</c:v>
                </c:pt>
                <c:pt idx="81">
                  <c:v>3.6450000000000005</c:v>
                </c:pt>
                <c:pt idx="82">
                  <c:v>3.69</c:v>
                </c:pt>
                <c:pt idx="83">
                  <c:v>3.7349999999999999</c:v>
                </c:pt>
                <c:pt idx="84">
                  <c:v>3.78</c:v>
                </c:pt>
                <c:pt idx="85">
                  <c:v>3.8249999999999997</c:v>
                </c:pt>
                <c:pt idx="86">
                  <c:v>3.87</c:v>
                </c:pt>
                <c:pt idx="87">
                  <c:v>3.915</c:v>
                </c:pt>
                <c:pt idx="88">
                  <c:v>3.96</c:v>
                </c:pt>
                <c:pt idx="89">
                  <c:v>4.0049999999999999</c:v>
                </c:pt>
                <c:pt idx="90">
                  <c:v>4.05</c:v>
                </c:pt>
                <c:pt idx="91">
                  <c:v>4.0949999999999998</c:v>
                </c:pt>
                <c:pt idx="92">
                  <c:v>4.1400000000000006</c:v>
                </c:pt>
                <c:pt idx="93">
                  <c:v>4.1850000000000005</c:v>
                </c:pt>
                <c:pt idx="94">
                  <c:v>4.2299999999999995</c:v>
                </c:pt>
                <c:pt idx="95">
                  <c:v>4.2749999999999995</c:v>
                </c:pt>
                <c:pt idx="96">
                  <c:v>4.32</c:v>
                </c:pt>
                <c:pt idx="97">
                  <c:v>4.3650000000000002</c:v>
                </c:pt>
                <c:pt idx="98">
                  <c:v>4.41</c:v>
                </c:pt>
                <c:pt idx="99">
                  <c:v>4.4550000000000001</c:v>
                </c:pt>
                <c:pt idx="100">
                  <c:v>4.5</c:v>
                </c:pt>
                <c:pt idx="101">
                  <c:v>4.5449999999999999</c:v>
                </c:pt>
                <c:pt idx="102">
                  <c:v>4.59</c:v>
                </c:pt>
                <c:pt idx="103">
                  <c:v>4.6349999999999998</c:v>
                </c:pt>
                <c:pt idx="104">
                  <c:v>4.68</c:v>
                </c:pt>
                <c:pt idx="105">
                  <c:v>4.7250000000000005</c:v>
                </c:pt>
                <c:pt idx="106">
                  <c:v>4.7700000000000005</c:v>
                </c:pt>
                <c:pt idx="107">
                  <c:v>4.8150000000000004</c:v>
                </c:pt>
                <c:pt idx="108">
                  <c:v>4.8600000000000003</c:v>
                </c:pt>
                <c:pt idx="109">
                  <c:v>4.9050000000000002</c:v>
                </c:pt>
                <c:pt idx="110">
                  <c:v>4.95</c:v>
                </c:pt>
                <c:pt idx="111">
                  <c:v>4.9950000000000001</c:v>
                </c:pt>
                <c:pt idx="112">
                  <c:v>5.0400000000000009</c:v>
                </c:pt>
                <c:pt idx="113">
                  <c:v>5.0849999999999991</c:v>
                </c:pt>
                <c:pt idx="114">
                  <c:v>5.13</c:v>
                </c:pt>
                <c:pt idx="115">
                  <c:v>5.1749999999999998</c:v>
                </c:pt>
                <c:pt idx="116">
                  <c:v>5.22</c:v>
                </c:pt>
                <c:pt idx="117">
                  <c:v>5.2649999999999997</c:v>
                </c:pt>
                <c:pt idx="118">
                  <c:v>5.31</c:v>
                </c:pt>
                <c:pt idx="119">
                  <c:v>5.3549999999999995</c:v>
                </c:pt>
                <c:pt idx="120">
                  <c:v>5.3999999999999995</c:v>
                </c:pt>
                <c:pt idx="121">
                  <c:v>5.4450000000000003</c:v>
                </c:pt>
                <c:pt idx="122">
                  <c:v>5.49</c:v>
                </c:pt>
                <c:pt idx="123">
                  <c:v>5.5350000000000001</c:v>
                </c:pt>
                <c:pt idx="124">
                  <c:v>5.58</c:v>
                </c:pt>
                <c:pt idx="125">
                  <c:v>5.625</c:v>
                </c:pt>
                <c:pt idx="126">
                  <c:v>5.67</c:v>
                </c:pt>
                <c:pt idx="127">
                  <c:v>5.7149999999999999</c:v>
                </c:pt>
                <c:pt idx="128">
                  <c:v>5.76</c:v>
                </c:pt>
                <c:pt idx="129">
                  <c:v>5.8049999999999997</c:v>
                </c:pt>
                <c:pt idx="130">
                  <c:v>5.8500000000000005</c:v>
                </c:pt>
                <c:pt idx="131">
                  <c:v>5.8950000000000005</c:v>
                </c:pt>
                <c:pt idx="132">
                  <c:v>5.94</c:v>
                </c:pt>
                <c:pt idx="133">
                  <c:v>5.9850000000000003</c:v>
                </c:pt>
                <c:pt idx="134">
                  <c:v>6.03</c:v>
                </c:pt>
                <c:pt idx="135">
                  <c:v>6.0750000000000002</c:v>
                </c:pt>
                <c:pt idx="136">
                  <c:v>6.12</c:v>
                </c:pt>
                <c:pt idx="137">
                  <c:v>6.1650000000000009</c:v>
                </c:pt>
                <c:pt idx="138">
                  <c:v>6.2099999999999991</c:v>
                </c:pt>
                <c:pt idx="139">
                  <c:v>6.2549999999999999</c:v>
                </c:pt>
                <c:pt idx="140">
                  <c:v>6.3</c:v>
                </c:pt>
                <c:pt idx="141">
                  <c:v>6.3449999999999998</c:v>
                </c:pt>
                <c:pt idx="142">
                  <c:v>6.39</c:v>
                </c:pt>
                <c:pt idx="143">
                  <c:v>6.4349999999999996</c:v>
                </c:pt>
                <c:pt idx="144">
                  <c:v>6.4799999999999995</c:v>
                </c:pt>
                <c:pt idx="145">
                  <c:v>6.5249999999999995</c:v>
                </c:pt>
                <c:pt idx="146">
                  <c:v>6.57</c:v>
                </c:pt>
                <c:pt idx="147">
                  <c:v>6.6150000000000002</c:v>
                </c:pt>
                <c:pt idx="148">
                  <c:v>6.66</c:v>
                </c:pt>
                <c:pt idx="149">
                  <c:v>6.7050000000000001</c:v>
                </c:pt>
                <c:pt idx="150">
                  <c:v>6.75</c:v>
                </c:pt>
                <c:pt idx="151">
                  <c:v>6.7949999999999999</c:v>
                </c:pt>
                <c:pt idx="152">
                  <c:v>6.84</c:v>
                </c:pt>
                <c:pt idx="153">
                  <c:v>6.8849999999999998</c:v>
                </c:pt>
                <c:pt idx="154">
                  <c:v>6.93</c:v>
                </c:pt>
                <c:pt idx="155">
                  <c:v>6.9750000000000005</c:v>
                </c:pt>
                <c:pt idx="156">
                  <c:v>7.0200000000000005</c:v>
                </c:pt>
                <c:pt idx="157">
                  <c:v>7.0650000000000004</c:v>
                </c:pt>
                <c:pt idx="158">
                  <c:v>7.11</c:v>
                </c:pt>
                <c:pt idx="159">
                  <c:v>7.1550000000000002</c:v>
                </c:pt>
                <c:pt idx="160">
                  <c:v>7.2</c:v>
                </c:pt>
                <c:pt idx="161">
                  <c:v>7.2450000000000001</c:v>
                </c:pt>
                <c:pt idx="162">
                  <c:v>7.2900000000000009</c:v>
                </c:pt>
                <c:pt idx="163">
                  <c:v>7.3349999999999991</c:v>
                </c:pt>
                <c:pt idx="164">
                  <c:v>7.38</c:v>
                </c:pt>
                <c:pt idx="165">
                  <c:v>7.4249999999999998</c:v>
                </c:pt>
                <c:pt idx="166">
                  <c:v>7.47</c:v>
                </c:pt>
                <c:pt idx="167">
                  <c:v>7.5149999999999997</c:v>
                </c:pt>
                <c:pt idx="168">
                  <c:v>7.56</c:v>
                </c:pt>
                <c:pt idx="169">
                  <c:v>7.6049999999999995</c:v>
                </c:pt>
                <c:pt idx="170">
                  <c:v>7.6499999999999995</c:v>
                </c:pt>
                <c:pt idx="171">
                  <c:v>7.6950000000000003</c:v>
                </c:pt>
                <c:pt idx="172">
                  <c:v>7.74</c:v>
                </c:pt>
                <c:pt idx="173">
                  <c:v>7.7850000000000001</c:v>
                </c:pt>
                <c:pt idx="174">
                  <c:v>7.83</c:v>
                </c:pt>
                <c:pt idx="175">
                  <c:v>7.875</c:v>
                </c:pt>
                <c:pt idx="176">
                  <c:v>7.92</c:v>
                </c:pt>
                <c:pt idx="177">
                  <c:v>7.9649999999999999</c:v>
                </c:pt>
                <c:pt idx="178">
                  <c:v>8.01</c:v>
                </c:pt>
                <c:pt idx="179">
                  <c:v>8.0549999999999997</c:v>
                </c:pt>
                <c:pt idx="180">
                  <c:v>8.1</c:v>
                </c:pt>
                <c:pt idx="181">
                  <c:v>8.1449999999999996</c:v>
                </c:pt>
                <c:pt idx="182">
                  <c:v>8.19</c:v>
                </c:pt>
                <c:pt idx="183">
                  <c:v>8.2349999999999994</c:v>
                </c:pt>
                <c:pt idx="184">
                  <c:v>8.2800000000000011</c:v>
                </c:pt>
                <c:pt idx="185">
                  <c:v>8.3250000000000011</c:v>
                </c:pt>
                <c:pt idx="186">
                  <c:v>8.370000000000001</c:v>
                </c:pt>
                <c:pt idx="187">
                  <c:v>8.4150000000000009</c:v>
                </c:pt>
                <c:pt idx="188">
                  <c:v>8.4599999999999991</c:v>
                </c:pt>
                <c:pt idx="189">
                  <c:v>8.504999999999999</c:v>
                </c:pt>
                <c:pt idx="190">
                  <c:v>8.5499999999999989</c:v>
                </c:pt>
                <c:pt idx="191">
                  <c:v>8.5949999999999989</c:v>
                </c:pt>
                <c:pt idx="192">
                  <c:v>8.64</c:v>
                </c:pt>
                <c:pt idx="193">
                  <c:v>8.6850000000000005</c:v>
                </c:pt>
                <c:pt idx="194">
                  <c:v>8.73</c:v>
                </c:pt>
                <c:pt idx="195">
                  <c:v>8.7750000000000004</c:v>
                </c:pt>
                <c:pt idx="196">
                  <c:v>8.82</c:v>
                </c:pt>
                <c:pt idx="197">
                  <c:v>8.8650000000000002</c:v>
                </c:pt>
                <c:pt idx="198">
                  <c:v>8.91</c:v>
                </c:pt>
                <c:pt idx="199">
                  <c:v>8.9550000000000001</c:v>
                </c:pt>
                <c:pt idx="200">
                  <c:v>9</c:v>
                </c:pt>
              </c:numCache>
            </c:numRef>
          </c:xVal>
          <c:yVal>
            <c:numRef>
              <c:f>'Power Calculations'!$AQ$9:$AQ$209</c:f>
              <c:numCache>
                <c:formatCode>0.00%</c:formatCode>
                <c:ptCount val="201"/>
                <c:pt idx="0">
                  <c:v>0</c:v>
                </c:pt>
                <c:pt idx="1">
                  <c:v>0.30591661463907655</c:v>
                </c:pt>
                <c:pt idx="2">
                  <c:v>0.46672458349690432</c:v>
                </c:pt>
                <c:pt idx="3">
                  <c:v>0.56587738813866872</c:v>
                </c:pt>
                <c:pt idx="4">
                  <c:v>0.6331294768604856</c:v>
                </c:pt>
                <c:pt idx="5">
                  <c:v>0.68174258416172029</c:v>
                </c:pt>
                <c:pt idx="6">
                  <c:v>0.71852220761601782</c:v>
                </c:pt>
                <c:pt idx="7">
                  <c:v>0.74732019384044712</c:v>
                </c:pt>
                <c:pt idx="8">
                  <c:v>0.77048028436964189</c:v>
                </c:pt>
                <c:pt idx="9">
                  <c:v>0.78951039327986994</c:v>
                </c:pt>
                <c:pt idx="10">
                  <c:v>0.80542469995204202</c:v>
                </c:pt>
                <c:pt idx="11">
                  <c:v>0.81893043791399944</c:v>
                </c:pt>
                <c:pt idx="12">
                  <c:v>0.83053584979026762</c:v>
                </c:pt>
                <c:pt idx="13">
                  <c:v>0.84061557434545808</c:v>
                </c:pt>
                <c:pt idx="14">
                  <c:v>0.84945184057507195</c:v>
                </c:pt>
                <c:pt idx="15">
                  <c:v>0.85726130544166135</c:v>
                </c:pt>
                <c:pt idx="16">
                  <c:v>0.86421305196432407</c:v>
                </c:pt>
                <c:pt idx="17">
                  <c:v>0.870440967701262</c:v>
                </c:pt>
                <c:pt idx="18">
                  <c:v>0.8760524494355213</c:v>
                </c:pt>
                <c:pt idx="19">
                  <c:v>0.88113464617315407</c:v>
                </c:pt>
                <c:pt idx="20">
                  <c:v>0.88575901608909591</c:v>
                </c:pt>
                <c:pt idx="21">
                  <c:v>0.88998470578437228</c:v>
                </c:pt>
                <c:pt idx="22">
                  <c:v>0.89386109227787847</c:v>
                </c:pt>
                <c:pt idx="23">
                  <c:v>0.89742972015533129</c:v>
                </c:pt>
                <c:pt idx="24">
                  <c:v>0.90072579537361597</c:v>
                </c:pt>
                <c:pt idx="25">
                  <c:v>0.9038748238934774</c:v>
                </c:pt>
                <c:pt idx="26">
                  <c:v>0.90692022775648706</c:v>
                </c:pt>
                <c:pt idx="27">
                  <c:v>0.90975163671111847</c:v>
                </c:pt>
                <c:pt idx="28">
                  <c:v>0.91239010967715162</c:v>
                </c:pt>
                <c:pt idx="29">
                  <c:v>0.91485402918289871</c:v>
                </c:pt>
                <c:pt idx="30">
                  <c:v>0.91715951341975777</c:v>
                </c:pt>
                <c:pt idx="31">
                  <c:v>0.91932075444332284</c:v>
                </c:pt>
                <c:pt idx="32">
                  <c:v>0.92135029751618447</c:v>
                </c:pt>
                <c:pt idx="33">
                  <c:v>0.92325927320608769</c:v>
                </c:pt>
                <c:pt idx="34">
                  <c:v>0.92505759130598908</c:v>
                </c:pt>
                <c:pt idx="35">
                  <c:v>0.92675410370713474</c:v>
                </c:pt>
                <c:pt idx="36">
                  <c:v>0.92835674187355965</c:v>
                </c:pt>
                <c:pt idx="37">
                  <c:v>0.92987263342174709</c:v>
                </c:pt>
                <c:pt idx="38">
                  <c:v>0.93130820141902859</c:v>
                </c:pt>
                <c:pt idx="39">
                  <c:v>0.93266924931731354</c:v>
                </c:pt>
                <c:pt idx="40">
                  <c:v>0.93396103388942198</c:v>
                </c:pt>
                <c:pt idx="41">
                  <c:v>0.93518832809969832</c:v>
                </c:pt>
                <c:pt idx="42">
                  <c:v>0.93635547549312348</c:v>
                </c:pt>
                <c:pt idx="43">
                  <c:v>0.93746643740845947</c:v>
                </c:pt>
                <c:pt idx="44">
                  <c:v>0.938524834096232</c:v>
                </c:pt>
                <c:pt idx="45">
                  <c:v>0.93953398064023808</c:v>
                </c:pt>
                <c:pt idx="46">
                  <c:v>0.94049691843295324</c:v>
                </c:pt>
                <c:pt idx="47">
                  <c:v>0.94141644283388526</c:v>
                </c:pt>
                <c:pt idx="48">
                  <c:v>0.9422951275402176</c:v>
                </c:pt>
                <c:pt idx="49">
                  <c:v>0.94313534611682581</c:v>
                </c:pt>
                <c:pt idx="50">
                  <c:v>0.94393929106458763</c:v>
                </c:pt>
                <c:pt idx="51">
                  <c:v>0.94470899074922332</c:v>
                </c:pt>
                <c:pt idx="52">
                  <c:v>0.9454463244655813</c:v>
                </c:pt>
                <c:pt idx="53">
                  <c:v>0.9461530358726371</c:v>
                </c:pt>
                <c:pt idx="54">
                  <c:v>0.94683074500115261</c:v>
                </c:pt>
                <c:pt idx="55">
                  <c:v>0.94748095900782847</c:v>
                </c:pt>
                <c:pt idx="56">
                  <c:v>0.94810508182600217</c:v>
                </c:pt>
                <c:pt idx="57">
                  <c:v>0.94870442284276524</c:v>
                </c:pt>
                <c:pt idx="58">
                  <c:v>0.9492802047151867</c:v>
                </c:pt>
                <c:pt idx="59">
                  <c:v>0.94983357042366856</c:v>
                </c:pt>
                <c:pt idx="60">
                  <c:v>0.95036558964791074</c:v>
                </c:pt>
                <c:pt idx="61">
                  <c:v>0.95087726454017996</c:v>
                </c:pt>
                <c:pt idx="62">
                  <c:v>0.95136953496132293</c:v>
                </c:pt>
                <c:pt idx="63">
                  <c:v>0.951843283236955</c:v>
                </c:pt>
                <c:pt idx="64">
                  <c:v>0.95229933848435355</c:v>
                </c:pt>
                <c:pt idx="65">
                  <c:v>0.95273848055459132</c:v>
                </c:pt>
                <c:pt idx="66">
                  <c:v>0.95316144362923905</c:v>
                </c:pt>
                <c:pt idx="67">
                  <c:v>0.95356891950644407</c:v>
                </c:pt>
                <c:pt idx="68">
                  <c:v>0.95396156060723614</c:v>
                </c:pt>
                <c:pt idx="69">
                  <c:v>0.95433998272945808</c:v>
                </c:pt>
                <c:pt idx="70">
                  <c:v>0.95470476757369926</c:v>
                </c:pt>
                <c:pt idx="71">
                  <c:v>0.95505646506295139</c:v>
                </c:pt>
                <c:pt idx="72">
                  <c:v>0.95539559547537334</c:v>
                </c:pt>
                <c:pt idx="73">
                  <c:v>0.95572265140750157</c:v>
                </c:pt>
                <c:pt idx="74">
                  <c:v>0.95603809958342034</c:v>
                </c:pt>
                <c:pt idx="75">
                  <c:v>0.95634238252381598</c:v>
                </c:pt>
                <c:pt idx="76">
                  <c:v>0.95663592008740472</c:v>
                </c:pt>
                <c:pt idx="77">
                  <c:v>0.95691911089598458</c:v>
                </c:pt>
                <c:pt idx="78">
                  <c:v>0.95719233365322487</c:v>
                </c:pt>
                <c:pt idx="79">
                  <c:v>0.9574559483663293</c:v>
                </c:pt>
                <c:pt idx="80">
                  <c:v>0.95771029747881165</c:v>
                </c:pt>
                <c:pt idx="81">
                  <c:v>0.9579557069218404</c:v>
                </c:pt>
                <c:pt idx="82">
                  <c:v>0.95819248709089822</c:v>
                </c:pt>
                <c:pt idx="83">
                  <c:v>0.95842093375387361</c:v>
                </c:pt>
                <c:pt idx="84">
                  <c:v>0.95864132889613285</c:v>
                </c:pt>
                <c:pt idx="85">
                  <c:v>0.9588539415076186</c:v>
                </c:pt>
                <c:pt idx="86">
                  <c:v>0.95905902831655809</c:v>
                </c:pt>
                <c:pt idx="87">
                  <c:v>0.95925683447395937</c:v>
                </c:pt>
                <c:pt idx="88">
                  <c:v>0.95944759419270365</c:v>
                </c:pt>
                <c:pt idx="89">
                  <c:v>0.9596315313447058</c:v>
                </c:pt>
                <c:pt idx="90">
                  <c:v>0.95980886001931964</c:v>
                </c:pt>
                <c:pt idx="91">
                  <c:v>0.95997978504588699</c:v>
                </c:pt>
                <c:pt idx="92">
                  <c:v>0.9601445024830898</c:v>
                </c:pt>
                <c:pt idx="93">
                  <c:v>0.960303200077538</c:v>
                </c:pt>
                <c:pt idx="94">
                  <c:v>0.96045605769382381</c:v>
                </c:pt>
                <c:pt idx="95">
                  <c:v>0.96060324771809391</c:v>
                </c:pt>
                <c:pt idx="96">
                  <c:v>0.96074493543702</c:v>
                </c:pt>
                <c:pt idx="97">
                  <c:v>0.96088127939389811</c:v>
                </c:pt>
                <c:pt idx="98">
                  <c:v>0.96101243172347328</c:v>
                </c:pt>
                <c:pt idx="99">
                  <c:v>0.9611385384669523</c:v>
                </c:pt>
                <c:pt idx="100">
                  <c:v>0.96125973986856139</c:v>
                </c:pt>
                <c:pt idx="101">
                  <c:v>0.96137617065489589</c:v>
                </c:pt>
                <c:pt idx="102">
                  <c:v>0.96148796029821371</c:v>
                </c:pt>
                <c:pt idx="103">
                  <c:v>0.96159523326473939</c:v>
                </c:pt>
                <c:pt idx="104">
                  <c:v>0.96169810924896393</c:v>
                </c:pt>
                <c:pt idx="105">
                  <c:v>0.96179670339485113</c:v>
                </c:pt>
                <c:pt idx="106">
                  <c:v>0.96189112650479602</c:v>
                </c:pt>
                <c:pt idx="107">
                  <c:v>0.96198148523711868</c:v>
                </c:pt>
                <c:pt idx="108">
                  <c:v>0.96206788229281948</c:v>
                </c:pt>
                <c:pt idx="109">
                  <c:v>0.96215041659226841</c:v>
                </c:pt>
                <c:pt idx="110">
                  <c:v>0.96222918344245767</c:v>
                </c:pt>
                <c:pt idx="111">
                  <c:v>0.96230427469539603</c:v>
                </c:pt>
                <c:pt idx="112">
                  <c:v>0.96237577889818993</c:v>
                </c:pt>
                <c:pt idx="113">
                  <c:v>0.96244378143531206</c:v>
                </c:pt>
                <c:pt idx="114">
                  <c:v>0.9625083646635284</c:v>
                </c:pt>
                <c:pt idx="115">
                  <c:v>0.96256960803992075</c:v>
                </c:pt>
                <c:pt idx="116">
                  <c:v>0.9626275882434121</c:v>
                </c:pt>
                <c:pt idx="117">
                  <c:v>0.96268237929017531</c:v>
                </c:pt>
                <c:pt idx="118">
                  <c:v>0.96273405264328105</c:v>
                </c:pt>
                <c:pt idx="119">
                  <c:v>0.96278267731691558</c:v>
                </c:pt>
                <c:pt idx="120">
                  <c:v>0.96282831997547946</c:v>
                </c:pt>
                <c:pt idx="121">
                  <c:v>0.96287104502785692</c:v>
                </c:pt>
                <c:pt idx="122">
                  <c:v>0.96291091471712642</c:v>
                </c:pt>
                <c:pt idx="123">
                  <c:v>0.96294798920596825</c:v>
                </c:pt>
                <c:pt idx="124">
                  <c:v>0.96298232665800587</c:v>
                </c:pt>
                <c:pt idx="125">
                  <c:v>0.96301398331530297</c:v>
                </c:pt>
                <c:pt idx="126">
                  <c:v>0.96304301357222888</c:v>
                </c:pt>
                <c:pt idx="127">
                  <c:v>0.96306947004588472</c:v>
                </c:pt>
                <c:pt idx="128">
                  <c:v>0.96309340364327711</c:v>
                </c:pt>
                <c:pt idx="129">
                  <c:v>0.96311486362541021</c:v>
                </c:pt>
                <c:pt idx="130">
                  <c:v>0.96313389766846147</c:v>
                </c:pt>
                <c:pt idx="131">
                  <c:v>0.96315055192219123</c:v>
                </c:pt>
                <c:pt idx="132">
                  <c:v>0.96316487106573101</c:v>
                </c:pt>
                <c:pt idx="133">
                  <c:v>0.96317689836088538</c:v>
                </c:pt>
                <c:pt idx="134">
                  <c:v>0.9631866757030757</c:v>
                </c:pt>
                <c:pt idx="135">
                  <c:v>0.96319424367004369</c:v>
                </c:pt>
                <c:pt idx="136">
                  <c:v>0.96319964156842908</c:v>
                </c:pt>
                <c:pt idx="137">
                  <c:v>0.96320290747832837</c:v>
                </c:pt>
                <c:pt idx="138">
                  <c:v>0.96320407829593213</c:v>
                </c:pt>
                <c:pt idx="139">
                  <c:v>0.96320318977434072</c:v>
                </c:pt>
                <c:pt idx="140">
                  <c:v>0.96320027656264107</c:v>
                </c:pt>
                <c:pt idx="141">
                  <c:v>0.96319537224333551</c:v>
                </c:pt>
                <c:pt idx="142">
                  <c:v>0.96318850936819755</c:v>
                </c:pt>
                <c:pt idx="143">
                  <c:v>0.96317971949263281</c:v>
                </c:pt>
                <c:pt idx="144">
                  <c:v>0.96316903320861402</c:v>
                </c:pt>
                <c:pt idx="145">
                  <c:v>0.9631564801762601</c:v>
                </c:pt>
                <c:pt idx="146">
                  <c:v>0.96314208915411981</c:v>
                </c:pt>
                <c:pt idx="147">
                  <c:v>0.96312588802822341</c:v>
                </c:pt>
                <c:pt idx="148">
                  <c:v>0.96310790383995737</c:v>
                </c:pt>
                <c:pt idx="149">
                  <c:v>0.96308816281281606</c:v>
                </c:pt>
                <c:pt idx="150">
                  <c:v>0.96306669037808357</c:v>
                </c:pt>
                <c:pt idx="151">
                  <c:v>0.96304351119949194</c:v>
                </c:pt>
                <c:pt idx="152">
                  <c:v>0.9630186491969035</c:v>
                </c:pt>
                <c:pt idx="153">
                  <c:v>0.96299212756905872</c:v>
                </c:pt>
                <c:pt idx="154">
                  <c:v>0.96296396881543489</c:v>
                </c:pt>
                <c:pt idx="155">
                  <c:v>0.96293419475725028</c:v>
                </c:pt>
                <c:pt idx="156">
                  <c:v>0.96290282655765413</c:v>
                </c:pt>
                <c:pt idx="157">
                  <c:v>0.96286988474113733</c:v>
                </c:pt>
                <c:pt idx="158">
                  <c:v>0.9628353892121968</c:v>
                </c:pt>
                <c:pt idx="159">
                  <c:v>0.96279935927328553</c:v>
                </c:pt>
                <c:pt idx="160">
                  <c:v>0.96276181364207969</c:v>
                </c:pt>
                <c:pt idx="161">
                  <c:v>0.96272277046809007</c:v>
                </c:pt>
                <c:pt idx="162">
                  <c:v>0.96268224734864738</c:v>
                </c:pt>
                <c:pt idx="163">
                  <c:v>0.96264026134428593</c:v>
                </c:pt>
                <c:pt idx="164">
                  <c:v>0.96259682899354981</c:v>
                </c:pt>
                <c:pt idx="165">
                  <c:v>0.96255196632724949</c:v>
                </c:pt>
                <c:pt idx="166">
                  <c:v>0.96250568888218435</c:v>
                </c:pt>
                <c:pt idx="167">
                  <c:v>0.96245801171436052</c:v>
                </c:pt>
                <c:pt idx="168">
                  <c:v>0.96240894941171773</c:v>
                </c:pt>
                <c:pt idx="169">
                  <c:v>0.96235851610638923</c:v>
                </c:pt>
                <c:pt idx="170">
                  <c:v>0.96230672548651053</c:v>
                </c:pt>
                <c:pt idx="171">
                  <c:v>0.96225359080759632</c:v>
                </c:pt>
                <c:pt idx="172">
                  <c:v>0.96219912490350235</c:v>
                </c:pt>
                <c:pt idx="173">
                  <c:v>0.96214334019698644</c:v>
                </c:pt>
                <c:pt idx="174">
                  <c:v>0.96208624870988713</c:v>
                </c:pt>
                <c:pt idx="175">
                  <c:v>0.96202786207293178</c:v>
                </c:pt>
                <c:pt idx="176">
                  <c:v>0.96196819153518986</c:v>
                </c:pt>
                <c:pt idx="177">
                  <c:v>0.96190724797318417</c:v>
                </c:pt>
                <c:pt idx="178">
                  <c:v>0.96184504189967202</c:v>
                </c:pt>
                <c:pt idx="179">
                  <c:v>0.9617815834721114</c:v>
                </c:pt>
                <c:pt idx="180">
                  <c:v>0.96171688250081833</c:v>
                </c:pt>
                <c:pt idx="181">
                  <c:v>0.96165094845683285</c:v>
                </c:pt>
                <c:pt idx="182">
                  <c:v>0.96158379047950016</c:v>
                </c:pt>
                <c:pt idx="183">
                  <c:v>0.96151541738377744</c:v>
                </c:pt>
                <c:pt idx="184">
                  <c:v>0.96144583766727787</c:v>
                </c:pt>
                <c:pt idx="185">
                  <c:v>0.96137505951705959</c:v>
                </c:pt>
                <c:pt idx="186">
                  <c:v>0.96130309081616849</c:v>
                </c:pt>
                <c:pt idx="187">
                  <c:v>0.96122993914994403</c:v>
                </c:pt>
                <c:pt idx="188">
                  <c:v>0.96115561181209608</c:v>
                </c:pt>
                <c:pt idx="189">
                  <c:v>0.96108011581055997</c:v>
                </c:pt>
                <c:pt idx="190">
                  <c:v>0.96100345787313701</c:v>
                </c:pt>
                <c:pt idx="191">
                  <c:v>0.96092564445292894</c:v>
                </c:pt>
                <c:pt idx="192">
                  <c:v>0.96084668173357191</c:v>
                </c:pt>
                <c:pt idx="193">
                  <c:v>0.96076657563427637</c:v>
                </c:pt>
                <c:pt idx="194">
                  <c:v>0.96068533181467919</c:v>
                </c:pt>
                <c:pt idx="195">
                  <c:v>0.9606029556795157</c:v>
                </c:pt>
                <c:pt idx="196">
                  <c:v>0.9605194523831142</c:v>
                </c:pt>
                <c:pt idx="197">
                  <c:v>0.96043482683372017</c:v>
                </c:pt>
                <c:pt idx="198">
                  <c:v>0.96034908369765692</c:v>
                </c:pt>
                <c:pt idx="199">
                  <c:v>0.96026222740332323</c:v>
                </c:pt>
                <c:pt idx="200">
                  <c:v>0.96017426214503809</c:v>
                </c:pt>
              </c:numCache>
            </c:numRef>
          </c:yVal>
          <c:smooth val="0"/>
          <c:extLst>
            <c:ext xmlns:c16="http://schemas.microsoft.com/office/drawing/2014/chart" uri="{C3380CC4-5D6E-409C-BE32-E72D297353CC}">
              <c16:uniqueId val="{00000000-A24D-4748-9C73-C6174B12E704}"/>
            </c:ext>
          </c:extLst>
        </c:ser>
        <c:dLbls>
          <c:showLegendKey val="0"/>
          <c:showVal val="0"/>
          <c:showCatName val="0"/>
          <c:showSerName val="0"/>
          <c:showPercent val="0"/>
          <c:showBubbleSize val="0"/>
        </c:dLbls>
        <c:axId val="157790592"/>
        <c:axId val="157792512"/>
      </c:scatterChart>
      <c:valAx>
        <c:axId val="157790592"/>
        <c:scaling>
          <c:orientation val="minMax"/>
          <c:min val="0"/>
        </c:scaling>
        <c:delete val="0"/>
        <c:axPos val="b"/>
        <c:majorGridlines/>
        <c:title>
          <c:tx>
            <c:rich>
              <a:bodyPr/>
              <a:lstStyle/>
              <a:p>
                <a:pPr>
                  <a:defRPr sz="1025" b="1" i="0" u="none" strike="noStrike" baseline="0">
                    <a:solidFill>
                      <a:srgbClr val="000000"/>
                    </a:solidFill>
                    <a:latin typeface="Arial"/>
                    <a:ea typeface="Arial"/>
                    <a:cs typeface="Arial"/>
                  </a:defRPr>
                </a:pPr>
                <a:r>
                  <a:rPr lang="en-US"/>
                  <a:t>Iout (A)</a:t>
                </a:r>
              </a:p>
            </c:rich>
          </c:tx>
          <c:layout>
            <c:manualLayout>
              <c:xMode val="edge"/>
              <c:yMode val="edge"/>
              <c:x val="0.49051561644225661"/>
              <c:y val="0.9435492337651399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25" b="1" i="0" u="none" strike="noStrike" baseline="0">
                <a:solidFill>
                  <a:srgbClr val="000000"/>
                </a:solidFill>
                <a:latin typeface="Arial"/>
                <a:ea typeface="Arial"/>
                <a:cs typeface="Arial"/>
              </a:defRPr>
            </a:pPr>
            <a:endParaRPr lang="en-US"/>
          </a:p>
        </c:txPr>
        <c:crossAx val="157792512"/>
        <c:crosses val="autoZero"/>
        <c:crossBetween val="midCat"/>
      </c:valAx>
      <c:valAx>
        <c:axId val="157792512"/>
        <c:scaling>
          <c:orientation val="minMax"/>
          <c:min val="0.5"/>
        </c:scaling>
        <c:delete val="0"/>
        <c:axPos val="l"/>
        <c:majorGridlines>
          <c:spPr>
            <a:ln w="3175">
              <a:solidFill>
                <a:srgbClr val="000000"/>
              </a:solidFill>
              <a:prstDash val="solid"/>
            </a:ln>
          </c:spPr>
        </c:majorGridlines>
        <c:title>
          <c:tx>
            <c:rich>
              <a:bodyPr/>
              <a:lstStyle/>
              <a:p>
                <a:pPr>
                  <a:defRPr sz="1025" b="1" i="0" u="none" strike="noStrike" baseline="0">
                    <a:solidFill>
                      <a:srgbClr val="000000"/>
                    </a:solidFill>
                    <a:latin typeface="Arial"/>
                    <a:ea typeface="Arial"/>
                    <a:cs typeface="Arial"/>
                  </a:defRPr>
                </a:pPr>
                <a:r>
                  <a:rPr lang="en-US"/>
                  <a:t>Efficiency (%)</a:t>
                </a:r>
              </a:p>
            </c:rich>
          </c:tx>
          <c:layout>
            <c:manualLayout>
              <c:xMode val="edge"/>
              <c:yMode val="edge"/>
              <c:x val="6.7750677506775965E-3"/>
              <c:y val="0.42741977817289623"/>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1025" b="1" i="0" u="none" strike="noStrike" baseline="0">
                <a:solidFill>
                  <a:srgbClr val="000000"/>
                </a:solidFill>
                <a:latin typeface="Arial"/>
                <a:ea typeface="Arial"/>
                <a:cs typeface="Arial"/>
              </a:defRPr>
            </a:pPr>
            <a:endParaRPr lang="en-US"/>
          </a:p>
        </c:txPr>
        <c:crossAx val="157790592"/>
        <c:crosses val="autoZero"/>
        <c:crossBetween val="midCat"/>
      </c:valAx>
      <c:spPr>
        <a:solidFill>
          <a:srgbClr val="C0C0C0"/>
        </a:solidFill>
        <a:ln w="12700">
          <a:solidFill>
            <a:srgbClr val="808080"/>
          </a:solidFill>
          <a:prstDash val="solid"/>
        </a:ln>
      </c:spPr>
    </c:plotArea>
    <c:legend>
      <c:legendPos val="r"/>
      <c:layout>
        <c:manualLayout>
          <c:xMode val="edge"/>
          <c:yMode val="edge"/>
          <c:x val="0.85636970175475957"/>
          <c:y val="3.6290322580645677E-2"/>
          <c:w val="0.11788632112042907"/>
          <c:h val="4.2338709677419352E-2"/>
        </c:manualLayout>
      </c:layout>
      <c:overlay val="0"/>
      <c:spPr>
        <a:solidFill>
          <a:srgbClr val="FFFFFF"/>
        </a:solidFill>
        <a:ln w="3175">
          <a:solidFill>
            <a:srgbClr val="000000"/>
          </a:solidFill>
          <a:prstDash val="solid"/>
        </a:ln>
      </c:spPr>
      <c:txPr>
        <a:bodyPr/>
        <a:lstStyle/>
        <a:p>
          <a:pPr>
            <a:defRPr sz="78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Spin" dx="16" fmlaLink="$E$60" inc="5" max="150" min="10" page="10" val="50"/>
</file>

<file path=xl/ctrlProps/ctrlProp4.xml><?xml version="1.0" encoding="utf-8"?>
<formControlPr xmlns="http://schemas.microsoft.com/office/spreadsheetml/2009/9/main" objectType="Spin" dx="16" fmlaLink="$E$66" max="100" min="1" page="10" val="6"/>
</file>

<file path=xl/ctrlProps/ctrlProp5.xml><?xml version="1.0" encoding="utf-8"?>
<formControlPr xmlns="http://schemas.microsoft.com/office/spreadsheetml/2009/9/main" objectType="Spin" dx="16" fmlaLink="$E$67" max="100" min="1" page="10" val="7"/>
</file>

<file path=xl/ctrlProps/ctrlProp6.xml><?xml version="1.0" encoding="utf-8"?>
<formControlPr xmlns="http://schemas.microsoft.com/office/spreadsheetml/2009/9/main" objectType="Spin" dx="16" fmlaLink="$E$68" inc="10" max="1000" min="100" page="10" val="1000"/>
</file>

<file path=xl/ctrlProps/ctrlProp7.xml><?xml version="1.0" encoding="utf-8"?>
<formControlPr xmlns="http://schemas.microsoft.com/office/spreadsheetml/2009/9/main" objectType="Spin" dx="16" fmlaLink="$E$69" inc="10" max="1000" min="100" page="10" val="200"/>
</file>

<file path=xl/ctrlProps/ctrlProp8.xml><?xml version="1.0" encoding="utf-8"?>
<formControlPr xmlns="http://schemas.microsoft.com/office/spreadsheetml/2009/9/main" objectType="Drop" dropLines="2" dropStyle="combo" dx="16" fmlaLink="'Variable Management'!$M$56" fmlaRange="'Variable Management'!$L$54:$L$55" noThreeD="1" sel="1" val="0"/>
</file>

<file path=xl/ctrlProps/ctrlProp9.xml><?xml version="1.0" encoding="utf-8"?>
<formControlPr xmlns="http://schemas.microsoft.com/office/spreadsheetml/2009/9/main" objectType="Drop" dropLines="4" dropStyle="combo" dx="16" fmlaLink="'Schematic &amp; BOM'!$Q$49" fmlaRange="'Variable Management'!$L$48:$L$51" noThreeD="1" sel="1" val="0"/>
</file>

<file path=xl/ctrlProps/ctrlProp10.xml><?xml version="1.0" encoding="utf-8"?>
<formControlPr xmlns="http://schemas.microsoft.com/office/spreadsheetml/2009/9/main" objectType="Drop" dropStyle="combo" dx="16" fmlaLink="$Q$50" fmlaRange="'Variable Management'!$L$48:$L$51" noThreeD="1" sel="1" val="0"/>
</file>

<file path=xl/ctrlProps/ctrlProp11.xml><?xml version="1.0" encoding="utf-8"?>
<formControlPr xmlns="http://schemas.microsoft.com/office/spreadsheetml/2009/9/main" objectType="Drop" dropLines="3" dropStyle="combo" dx="16" fmlaLink="$Q$38" fmlaRange="'Variable Management'!$L$69:$L$71" noThreeD="1" sel="2" val="0"/>
</file>

<file path=xl/ctrlProps/ctrlProp12.xml><?xml version="1.0" encoding="utf-8"?>
<formControlPr xmlns="http://schemas.microsoft.com/office/spreadsheetml/2009/9/main" objectType="Drop" dropLines="3" dropStyle="combo" dx="16" fmlaLink="$Q$39" fmlaRange="'Variable Management'!$L$69:$L$71" noThreeD="1" sel="1" val="0"/>
</file>

<file path=xl/ctrlProps/ctrlProp13.xml><?xml version="1.0" encoding="utf-8"?>
<formControlPr xmlns="http://schemas.microsoft.com/office/spreadsheetml/2009/9/main" objectType="Drop" dropLines="3" dropStyle="combo" dx="16" fmlaLink="$Q$40" fmlaRange="'Variable Management'!$L$69:$L$71" noThreeD="1" sel="1" val="0"/>
</file>

<file path=xl/ctrlProps/ctrlProp14.xml><?xml version="1.0" encoding="utf-8"?>
<formControlPr xmlns="http://schemas.microsoft.com/office/spreadsheetml/2009/9/main" objectType="Drop" dropLines="3" dropStyle="combo" dx="16" fmlaLink="$Q$41" fmlaRange="'Variable Management'!$L$69:$L$71" noThreeD="1" sel="1" val="0"/>
</file>

<file path=xl/ctrlProps/ctrlProp15.xml><?xml version="1.0" encoding="utf-8"?>
<formControlPr xmlns="http://schemas.microsoft.com/office/spreadsheetml/2009/9/main" objectType="Drop" dropLines="3" dropStyle="combo" dx="16" fmlaLink="$Q$42" fmlaRange="'Variable Management'!$L$69:$L$71" noThreeD="1" sel="2" val="0"/>
</file>

<file path=xl/ctrlProps/ctrlProp16.xml><?xml version="1.0" encoding="utf-8"?>
<formControlPr xmlns="http://schemas.microsoft.com/office/spreadsheetml/2009/9/main" objectType="Drop" dropLines="3" dropStyle="combo" dx="16" fmlaLink="$Q$45" fmlaRange="'Variable Management'!$L$69:$L$71" noThreeD="1" sel="2" val="0"/>
</file>

<file path=xl/ctrlProps/ctrlProp17.xml><?xml version="1.0" encoding="utf-8"?>
<formControlPr xmlns="http://schemas.microsoft.com/office/spreadsheetml/2009/9/main" objectType="Drop" dropLines="3" dropStyle="combo" dx="16" fmlaLink="$Q$46" fmlaRange="'Variable Management'!$L$69:$L$71" noThreeD="1" sel="3" val="0"/>
</file>

<file path=xl/ctrlProps/ctrlProp18.xml><?xml version="1.0" encoding="utf-8"?>
<formControlPr xmlns="http://schemas.microsoft.com/office/spreadsheetml/2009/9/main" objectType="Drop" dropLines="3" dropStyle="combo" dx="16" fmlaLink="$Q$47" fmlaRange="'Variable Management'!$L$69:$L$71" noThreeD="1" sel="2" val="0"/>
</file>

<file path=xl/ctrlProps/ctrlProp19.xml><?xml version="1.0" encoding="utf-8"?>
<formControlPr xmlns="http://schemas.microsoft.com/office/spreadsheetml/2009/9/main" objectType="Drop" dropLines="3" dropStyle="combo" dx="16" fmlaLink="$Q$52" fmlaRange="'Variable Management'!$L$69:$L$71" noThreeD="1" sel="1" val="0"/>
</file>

<file path=xl/ctrlProps/ctrlProp20.xml><?xml version="1.0" encoding="utf-8"?>
<formControlPr xmlns="http://schemas.microsoft.com/office/spreadsheetml/2009/9/main" objectType="Drop" dropLines="3" dropStyle="combo" dx="16" fmlaLink="$Q$53" fmlaRange="'Variable Management'!$L$69:$L$71" noThreeD="1" sel="1" val="0"/>
</file>

<file path=xl/ctrlProps/ctrlProp21.xml><?xml version="1.0" encoding="utf-8"?>
<formControlPr xmlns="http://schemas.microsoft.com/office/spreadsheetml/2009/9/main" objectType="Drop" dropLines="3" dropStyle="combo" dx="16" fmlaLink="$Q$54" fmlaRange="'Variable Management'!$L$69:$L$71" noThreeD="1" sel="3" val="0"/>
</file>

<file path=xl/ctrlProps/ctrlProp22.xml><?xml version="1.0" encoding="utf-8"?>
<formControlPr xmlns="http://schemas.microsoft.com/office/spreadsheetml/2009/9/main" objectType="Drop" dropLines="3" dropStyle="combo" dx="16" fmlaLink="$Q$55" fmlaRange="'Variable Management'!$L$69:$L$71" noThreeD="1" sel="1" val="0"/>
</file>

<file path=xl/ctrlProps/ctrlProp23.xml><?xml version="1.0" encoding="utf-8"?>
<formControlPr xmlns="http://schemas.microsoft.com/office/spreadsheetml/2009/9/main" objectType="Drop" dropLines="3" dropStyle="combo" dx="16" fmlaLink="$Q$56" fmlaRange="'Variable Management'!$L$69:$L$71" noThreeD="1" sel="1" val="0"/>
</file>

<file path=xl/ctrlProps/ctrlProp24.xml><?xml version="1.0" encoding="utf-8"?>
<formControlPr xmlns="http://schemas.microsoft.com/office/spreadsheetml/2009/9/main" objectType="Drop" dropLines="3" dropStyle="combo" dx="16" fmlaLink="$Q$57" fmlaRange="'Variable Management'!$L$69:$L$71" noThreeD="1" sel="1" val="0"/>
</file>

<file path=xl/ctrlProps/ctrlProp25.xml><?xml version="1.0" encoding="utf-8"?>
<formControlPr xmlns="http://schemas.microsoft.com/office/spreadsheetml/2009/9/main" objectType="Drop" dropLines="3" dropStyle="combo" dx="16" fmlaLink="$Q$58" fmlaRange="'Variable Management'!$L$69:$L$71" noThreeD="1" sel="1" val="0"/>
</file>

<file path=xl/ctrlProps/ctrlProp26.xml><?xml version="1.0" encoding="utf-8"?>
<formControlPr xmlns="http://schemas.microsoft.com/office/spreadsheetml/2009/9/main" objectType="Drop" dropLines="3" dropStyle="combo" dx="16" fmlaLink="$Q$60" fmlaRange="'Variable Management'!$L$69:$L$71" noThreeD="1" sel="2" val="0"/>
</file>

<file path=xl/ctrlProps/ctrlProp27.xml><?xml version="1.0" encoding="utf-8"?>
<formControlPr xmlns="http://schemas.microsoft.com/office/spreadsheetml/2009/9/main" objectType="Drop" dropLines="3" dropStyle="combo" dx="16" fmlaLink="$Q$61" fmlaRange="'Variable Management'!$L$69:$L$71" noThreeD="1" sel="1" val="0"/>
</file>

<file path=xl/ctrlProps/ctrlProp28.xml><?xml version="1.0" encoding="utf-8"?>
<formControlPr xmlns="http://schemas.microsoft.com/office/spreadsheetml/2009/9/main" objectType="Drop" dropLines="3" dropStyle="combo" dx="16" fmlaLink="$Q$62" fmlaRange="'Variable Management'!$L$69:$L$71" noThreeD="1" sel="1" val="0"/>
</file>

<file path=xl/ctrlProps/ctrlProp29.xml><?xml version="1.0" encoding="utf-8"?>
<formControlPr xmlns="http://schemas.microsoft.com/office/spreadsheetml/2009/9/main" objectType="Drop" dropStyle="combo" dx="16" fmlaLink="$Q$48" fmlaRange="'Variable Management'!$L$78:$L$85" noThreeD="1" sel="7" val="0"/>
</file>

<file path=xl/ctrlProps/ctrlProp30.xml><?xml version="1.0" encoding="utf-8"?>
<formControlPr xmlns="http://schemas.microsoft.com/office/spreadsheetml/2009/9/main" objectType="Drop" dropLines="5" dropStyle="combo" dx="16" fmlaLink="$Q$43" fmlaRange="'Variable Management'!$L$69:$L$73" noThreeD="1" sel="5" val="0"/>
</file>

<file path=xl/ctrlProps/ctrlProp31.xml><?xml version="1.0" encoding="utf-8"?>
<formControlPr xmlns="http://schemas.microsoft.com/office/spreadsheetml/2009/9/main" objectType="Drop" dropLines="5" dropStyle="combo" dx="16" fmlaLink="$Q$44" fmlaRange="'Variable Management'!$L$69:$L$73" noThreeD="1" sel="5" val="0"/>
</file>

<file path=xl/ctrlProps/ctrlProp32.xml><?xml version="1.0" encoding="utf-8"?>
<formControlPr xmlns="http://schemas.microsoft.com/office/spreadsheetml/2009/9/main" objectType="Drop" dropLines="2" dropStyle="combo" dx="16" fmlaLink="'Schematic &amp; BOM'!$R$49" fmlaRange="'Variable Management'!$Q$44:$Q$45" noThreeD="1" sel="1" val="0"/>
</file>

<file path=xl/ctrlProps/ctrlProp33.xml><?xml version="1.0" encoding="utf-8"?>
<formControlPr xmlns="http://schemas.microsoft.com/office/spreadsheetml/2009/9/main" objectType="Drop" dropLines="2" dropStyle="combo" dx="16" fmlaLink="$R$50" fmlaRange="'Variable Management'!$Q$44:$Q$45" noThreeD="1" sel="1" val="0"/>
</file>

<file path=xl/drawings/_rels/drawing1.xml.rels><?xml version="1.0" encoding="UTF-8" standalone="yes"?>
<Relationships xmlns="http://schemas.openxmlformats.org/package/2006/relationships"><Relationship Id="rId8" Type="http://schemas.openxmlformats.org/officeDocument/2006/relationships/image" Target="../media/image4.png"/><Relationship Id="rId3" Type="http://schemas.openxmlformats.org/officeDocument/2006/relationships/chart" Target="../charts/chart2.xml"/><Relationship Id="rId7" Type="http://schemas.openxmlformats.org/officeDocument/2006/relationships/image" Target="../media/image3.jpg"/><Relationship Id="rId2" Type="http://schemas.openxmlformats.org/officeDocument/2006/relationships/chart" Target="../charts/chart1.xml"/><Relationship Id="rId1" Type="http://schemas.openxmlformats.org/officeDocument/2006/relationships/image" Target="../media/image1.emf"/><Relationship Id="rId6" Type="http://schemas.openxmlformats.org/officeDocument/2006/relationships/hyperlink" Target="http://www.ti.com/automotive" TargetMode="External"/><Relationship Id="rId5" Type="http://schemas.openxmlformats.org/officeDocument/2006/relationships/image" Target="../media/image2.jpg"/><Relationship Id="rId4" Type="http://schemas.openxmlformats.org/officeDocument/2006/relationships/hyperlink" Target="http://www.ti.com/widevin"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7.emf"/></Relationships>
</file>

<file path=xl/drawings/_rels/drawing4.x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9.jpeg"/></Relationships>
</file>

<file path=xl/drawings/_rels/drawing6.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 Id="rId4" Type="http://schemas.openxmlformats.org/officeDocument/2006/relationships/chart" Target="../charts/chart6.xml"/></Relationships>
</file>

<file path=xl/drawings/_rels/drawing7.xml.rels><?xml version="1.0" encoding="UTF-8" standalone="yes"?>
<Relationships xmlns="http://schemas.openxmlformats.org/package/2006/relationships"><Relationship Id="rId2" Type="http://schemas.openxmlformats.org/officeDocument/2006/relationships/image" Target="../media/image13.emf"/><Relationship Id="rId1" Type="http://schemas.openxmlformats.org/officeDocument/2006/relationships/image" Target="../media/image12.emf"/></Relationships>
</file>

<file path=xl/drawings/_rels/drawing8.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393700</xdr:colOff>
          <xdr:row>73</xdr:row>
          <xdr:rowOff>12700</xdr:rowOff>
        </xdr:from>
        <xdr:to>
          <xdr:col>3</xdr:col>
          <xdr:colOff>12700</xdr:colOff>
          <xdr:row>76</xdr:row>
          <xdr:rowOff>19050</xdr:rowOff>
        </xdr:to>
        <xdr:sp macro="" textlink="">
          <xdr:nvSpPr>
            <xdr:cNvPr id="673566" name="Button 798" hidden="1">
              <a:extLst>
                <a:ext uri="{63B3BB69-23CF-44E3-9099-C40C66FF867C}">
                  <a14:compatExt spid="_x0000_s673566"/>
                </a:ext>
                <a:ext uri="{FF2B5EF4-FFF2-40B4-BE49-F238E27FC236}">
                  <a16:creationId xmlns:a16="http://schemas.microsoft.com/office/drawing/2014/main" id="{00000000-0008-0000-0000-00001E47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900" b="1" i="0" u="none" strike="noStrike" baseline="0">
                  <a:solidFill>
                    <a:srgbClr val="000000"/>
                  </a:solidFill>
                  <a:latin typeface="Arial"/>
                  <a:cs typeface="Arial"/>
                </a:rPr>
                <a:t>RESET VALUES</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2</xdr:col>
          <xdr:colOff>393700</xdr:colOff>
          <xdr:row>73</xdr:row>
          <xdr:rowOff>12700</xdr:rowOff>
        </xdr:from>
        <xdr:to>
          <xdr:col>3</xdr:col>
          <xdr:colOff>12700</xdr:colOff>
          <xdr:row>76</xdr:row>
          <xdr:rowOff>19050</xdr:rowOff>
        </xdr:to>
        <xdr:sp macro="" textlink="">
          <xdr:nvSpPr>
            <xdr:cNvPr id="673565" name="Button 797" hidden="1">
              <a:extLst>
                <a:ext uri="{63B3BB69-23CF-44E3-9099-C40C66FF867C}">
                  <a14:compatExt spid="_x0000_s673565"/>
                </a:ext>
                <a:ext uri="{FF2B5EF4-FFF2-40B4-BE49-F238E27FC236}">
                  <a16:creationId xmlns:a16="http://schemas.microsoft.com/office/drawing/2014/main" id="{00000000-0008-0000-0000-00001D47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900" b="1" i="0" u="none" strike="noStrike" baseline="0">
                  <a:solidFill>
                    <a:srgbClr val="000000"/>
                  </a:solidFill>
                  <a:latin typeface="Arial"/>
                  <a:cs typeface="Arial"/>
                </a:rPr>
                <a:t>FIX</a:t>
              </a:r>
            </a:p>
            <a:p>
              <a:pPr algn="ctr" rtl="0">
                <a:defRPr sz="1000"/>
              </a:pPr>
              <a:r>
                <a:rPr lang="en-US" sz="900" b="1" i="0" u="none" strike="noStrike" baseline="0">
                  <a:solidFill>
                    <a:srgbClr val="000000"/>
                  </a:solidFill>
                  <a:latin typeface="Arial"/>
                  <a:cs typeface="Arial"/>
                </a:rPr>
                <a:t>VALUES</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166894</xdr:colOff>
          <xdr:row>8</xdr:row>
          <xdr:rowOff>72059</xdr:rowOff>
        </xdr:from>
        <xdr:to>
          <xdr:col>16</xdr:col>
          <xdr:colOff>2281444</xdr:colOff>
          <xdr:row>36</xdr:row>
          <xdr:rowOff>81584</xdr:rowOff>
        </xdr:to>
        <xdr:pic>
          <xdr:nvPicPr>
            <xdr:cNvPr id="3" name="Picture 2">
              <a:extLst>
                <a:ext uri="{FF2B5EF4-FFF2-40B4-BE49-F238E27FC236}">
                  <a16:creationId xmlns:a16="http://schemas.microsoft.com/office/drawing/2014/main" id="{00000000-0008-0000-0000-000003000000}"/>
                </a:ext>
              </a:extLst>
            </xdr:cNvPr>
            <xdr:cNvPicPr>
              <a:picLocks noChangeAspect="1"/>
              <a:extLst>
                <a:ext uri="{84589F7E-364E-4C9E-8A38-B11213B215E9}">
                  <a14:cameraTool cellRange="PICTURE10" spid="_x0000_s683034"/>
                </a:ext>
              </a:extLst>
            </xdr:cNvPicPr>
          </xdr:nvPicPr>
          <xdr:blipFill>
            <a:blip xmlns:r="http://schemas.openxmlformats.org/officeDocument/2006/relationships" r:embed="rId1"/>
            <a:stretch>
              <a:fillRect/>
            </a:stretch>
          </xdr:blipFill>
          <xdr:spPr>
            <a:xfrm>
              <a:off x="3700669" y="1977059"/>
              <a:ext cx="8896350" cy="5162550"/>
            </a:xfrm>
            <a:prstGeom prst="rect">
              <a:avLst/>
            </a:prstGeom>
          </xdr:spPr>
        </xdr:pic>
        <xdr:clientData/>
      </xdr:twoCellAnchor>
    </mc:Choice>
    <mc:Fallback/>
  </mc:AlternateContent>
  <xdr:twoCellAnchor editAs="absolute">
    <xdr:from>
      <xdr:col>6</xdr:col>
      <xdr:colOff>228601</xdr:colOff>
      <xdr:row>42</xdr:row>
      <xdr:rowOff>46265</xdr:rowOff>
    </xdr:from>
    <xdr:to>
      <xdr:col>16</xdr:col>
      <xdr:colOff>2215563</xdr:colOff>
      <xdr:row>69</xdr:row>
      <xdr:rowOff>9525</xdr:rowOff>
    </xdr:to>
    <xdr:graphicFrame macro="">
      <xdr:nvGraphicFramePr>
        <xdr:cNvPr id="65" name="Chart 12">
          <a:extLst>
            <a:ext uri="{FF2B5EF4-FFF2-40B4-BE49-F238E27FC236}">
              <a16:creationId xmlns:a16="http://schemas.microsoft.com/office/drawing/2014/main" id="{00000000-0008-0000-0000-00004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564178</xdr:colOff>
      <xdr:row>61</xdr:row>
      <xdr:rowOff>198576</xdr:rowOff>
    </xdr:from>
    <xdr:to>
      <xdr:col>10</xdr:col>
      <xdr:colOff>402630</xdr:colOff>
      <xdr:row>63</xdr:row>
      <xdr:rowOff>14727</xdr:rowOff>
    </xdr:to>
    <xdr:sp macro="" textlink="'Variable Management'!A260">
      <xdr:nvSpPr>
        <xdr:cNvPr id="2071" name="Text Box 23">
          <a:extLst>
            <a:ext uri="{FF2B5EF4-FFF2-40B4-BE49-F238E27FC236}">
              <a16:creationId xmlns:a16="http://schemas.microsoft.com/office/drawing/2014/main" id="{00000000-0008-0000-0000-000017080000}"/>
            </a:ext>
          </a:extLst>
        </xdr:cNvPr>
        <xdr:cNvSpPr txBox="1">
          <a:spLocks noChangeArrowheads="1" noTextEdit="1"/>
        </xdr:cNvSpPr>
      </xdr:nvSpPr>
      <xdr:spPr bwMode="auto">
        <a:xfrm>
          <a:off x="4802803" y="11876226"/>
          <a:ext cx="2067302" cy="216201"/>
        </a:xfrm>
        <a:prstGeom prst="rect">
          <a:avLst/>
        </a:prstGeom>
        <a:solidFill>
          <a:schemeClr val="bg1"/>
        </a:solidFill>
        <a:ln w="9525">
          <a:noFill/>
          <a:miter lim="800000"/>
          <a:headEnd/>
          <a:tailEnd/>
        </a:ln>
      </xdr:spPr>
      <xdr:txBody>
        <a:bodyPr vertOverflow="clip" wrap="square" lIns="27432" tIns="22860" rIns="0" bIns="22860" anchor="ctr" upright="1"/>
        <a:lstStyle/>
        <a:p>
          <a:pPr algn="l" rtl="0">
            <a:defRPr sz="1000"/>
          </a:pPr>
          <a:fld id="{10952A97-D9C5-44B7-89A3-65441574648A}" type="TxLink">
            <a:rPr lang="en-US" sz="1050" b="1" i="0" u="none" strike="noStrike" baseline="0">
              <a:solidFill>
                <a:srgbClr val="FF0000"/>
              </a:solidFill>
              <a:latin typeface="Arial"/>
              <a:cs typeface="Arial"/>
            </a:rPr>
            <a:pPr algn="l" rtl="0">
              <a:defRPr sz="1000"/>
            </a:pPr>
            <a:t>Crossover Frequency = 56 kHz</a:t>
          </a:fld>
          <a:endParaRPr lang="en-US" sz="1050" b="1" i="0" u="none" strike="noStrike" baseline="0">
            <a:solidFill>
              <a:srgbClr val="FF0000"/>
            </a:solidFill>
            <a:latin typeface="Arial"/>
            <a:cs typeface="Arial"/>
          </a:endParaRPr>
        </a:p>
      </xdr:txBody>
    </xdr:sp>
    <xdr:clientData/>
  </xdr:twoCellAnchor>
  <xdr:twoCellAnchor>
    <xdr:from>
      <xdr:col>7</xdr:col>
      <xdr:colOff>575180</xdr:colOff>
      <xdr:row>64</xdr:row>
      <xdr:rowOff>23362</xdr:rowOff>
    </xdr:from>
    <xdr:to>
      <xdr:col>9</xdr:col>
      <xdr:colOff>495300</xdr:colOff>
      <xdr:row>65</xdr:row>
      <xdr:rowOff>96064</xdr:rowOff>
    </xdr:to>
    <xdr:sp macro="" textlink="'Variable Management'!A261">
      <xdr:nvSpPr>
        <xdr:cNvPr id="2072" name="Text Box 24">
          <a:extLst>
            <a:ext uri="{FF2B5EF4-FFF2-40B4-BE49-F238E27FC236}">
              <a16:creationId xmlns:a16="http://schemas.microsoft.com/office/drawing/2014/main" id="{00000000-0008-0000-0000-000018080000}"/>
            </a:ext>
          </a:extLst>
        </xdr:cNvPr>
        <xdr:cNvSpPr txBox="1">
          <a:spLocks noChangeArrowheads="1" noTextEdit="1"/>
        </xdr:cNvSpPr>
      </xdr:nvSpPr>
      <xdr:spPr bwMode="auto">
        <a:xfrm>
          <a:off x="4813805" y="12301087"/>
          <a:ext cx="1320295" cy="244152"/>
        </a:xfrm>
        <a:prstGeom prst="rect">
          <a:avLst/>
        </a:prstGeom>
        <a:solidFill>
          <a:schemeClr val="bg1"/>
        </a:solidFill>
        <a:ln w="9525">
          <a:noFill/>
          <a:miter lim="800000"/>
          <a:headEnd/>
          <a:tailEnd/>
        </a:ln>
      </xdr:spPr>
      <xdr:txBody>
        <a:bodyPr vertOverflow="clip" wrap="square" lIns="27432" tIns="22860" rIns="0" bIns="22860" anchor="ctr" upright="1"/>
        <a:lstStyle/>
        <a:p>
          <a:pPr algn="l" rtl="0">
            <a:defRPr sz="1000"/>
          </a:pPr>
          <a:fld id="{95DD25AA-EC3B-4C80-B80E-8DC148525216}" type="TxLink">
            <a:rPr lang="en-US" sz="1050" b="1" i="0" u="none" strike="noStrike" baseline="0">
              <a:solidFill>
                <a:srgbClr val="002060"/>
              </a:solidFill>
              <a:latin typeface="Arial"/>
              <a:cs typeface="Arial"/>
            </a:rPr>
            <a:pPr algn="l" rtl="0">
              <a:defRPr sz="1000"/>
            </a:pPr>
            <a:t>Phase Margin = 62°</a:t>
          </a:fld>
          <a:endParaRPr lang="en-US" sz="1050" b="1" i="0" u="none" strike="noStrike" baseline="0">
            <a:solidFill>
              <a:srgbClr val="002060"/>
            </a:solidFill>
            <a:latin typeface="Arial"/>
            <a:cs typeface="Arial"/>
          </a:endParaRPr>
        </a:p>
      </xdr:txBody>
    </xdr:sp>
    <xdr:clientData/>
  </xdr:twoCellAnchor>
  <xdr:twoCellAnchor>
    <xdr:from>
      <xdr:col>6</xdr:col>
      <xdr:colOff>180974</xdr:colOff>
      <xdr:row>79</xdr:row>
      <xdr:rowOff>104775</xdr:rowOff>
    </xdr:from>
    <xdr:to>
      <xdr:col>16</xdr:col>
      <xdr:colOff>2228849</xdr:colOff>
      <xdr:row>105</xdr:row>
      <xdr:rowOff>201757</xdr:rowOff>
    </xdr:to>
    <xdr:graphicFrame macro="">
      <xdr:nvGraphicFramePr>
        <xdr:cNvPr id="22339318" name="Chart 253">
          <a:extLst>
            <a:ext uri="{FF2B5EF4-FFF2-40B4-BE49-F238E27FC236}">
              <a16:creationId xmlns:a16="http://schemas.microsoft.com/office/drawing/2014/main" id="{00000000-0008-0000-0000-0000F6DE54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393927</xdr:colOff>
      <xdr:row>16</xdr:row>
      <xdr:rowOff>170372</xdr:rowOff>
    </xdr:from>
    <xdr:to>
      <xdr:col>7</xdr:col>
      <xdr:colOff>45948</xdr:colOff>
      <xdr:row>18</xdr:row>
      <xdr:rowOff>47869</xdr:rowOff>
    </xdr:to>
    <xdr:sp macro="" textlink="">
      <xdr:nvSpPr>
        <xdr:cNvPr id="2272" name="Text Box 224">
          <a:extLst>
            <a:ext uri="{FF2B5EF4-FFF2-40B4-BE49-F238E27FC236}">
              <a16:creationId xmlns:a16="http://schemas.microsoft.com/office/drawing/2014/main" id="{00000000-0008-0000-0000-0000E0080000}"/>
            </a:ext>
          </a:extLst>
        </xdr:cNvPr>
        <xdr:cNvSpPr txBox="1">
          <a:spLocks noChangeArrowheads="1"/>
        </xdr:cNvSpPr>
      </xdr:nvSpPr>
      <xdr:spPr bwMode="auto">
        <a:xfrm>
          <a:off x="3921461" y="3540251"/>
          <a:ext cx="262935" cy="219084"/>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C3</a:t>
          </a:r>
        </a:p>
      </xdr:txBody>
    </xdr:sp>
    <xdr:clientData/>
  </xdr:twoCellAnchor>
  <xdr:twoCellAnchor>
    <xdr:from>
      <xdr:col>7</xdr:col>
      <xdr:colOff>556717</xdr:colOff>
      <xdr:row>14</xdr:row>
      <xdr:rowOff>121736</xdr:rowOff>
    </xdr:from>
    <xdr:to>
      <xdr:col>8</xdr:col>
      <xdr:colOff>109892</xdr:colOff>
      <xdr:row>15</xdr:row>
      <xdr:rowOff>75901</xdr:rowOff>
    </xdr:to>
    <xdr:sp macro="" textlink="">
      <xdr:nvSpPr>
        <xdr:cNvPr id="2273" name="Text Box 225">
          <a:extLst>
            <a:ext uri="{FF2B5EF4-FFF2-40B4-BE49-F238E27FC236}">
              <a16:creationId xmlns:a16="http://schemas.microsoft.com/office/drawing/2014/main" id="{00000000-0008-0000-0000-0000E1080000}"/>
            </a:ext>
          </a:extLst>
        </xdr:cNvPr>
        <xdr:cNvSpPr txBox="1">
          <a:spLocks noChangeArrowheads="1"/>
        </xdr:cNvSpPr>
      </xdr:nvSpPr>
      <xdr:spPr bwMode="auto">
        <a:xfrm>
          <a:off x="4695165" y="3071202"/>
          <a:ext cx="341451" cy="203785"/>
        </a:xfrm>
        <a:prstGeom prst="rect">
          <a:avLst/>
        </a:prstGeom>
        <a:noFill/>
        <a:ln w="9525">
          <a:noFill/>
          <a:miter lim="800000"/>
          <a:headEnd/>
          <a:tailEnd/>
        </a:ln>
      </xdr:spPr>
      <xdr:txBody>
        <a:bodyPr vertOverflow="clip" wrap="square" lIns="27432" tIns="27432" rIns="0" bIns="0" anchor="ctr" upright="1"/>
        <a:lstStyle/>
        <a:p>
          <a:pPr algn="ctr"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FB1</a:t>
          </a:r>
        </a:p>
      </xdr:txBody>
    </xdr:sp>
    <xdr:clientData/>
  </xdr:twoCellAnchor>
  <xdr:twoCellAnchor>
    <xdr:from>
      <xdr:col>6</xdr:col>
      <xdr:colOff>435975</xdr:colOff>
      <xdr:row>14</xdr:row>
      <xdr:rowOff>78931</xdr:rowOff>
    </xdr:from>
    <xdr:to>
      <xdr:col>7</xdr:col>
      <xdr:colOff>93868</xdr:colOff>
      <xdr:row>15</xdr:row>
      <xdr:rowOff>73210</xdr:rowOff>
    </xdr:to>
    <xdr:sp macro="" textlink="">
      <xdr:nvSpPr>
        <xdr:cNvPr id="2275" name="Text Box 227">
          <a:extLst>
            <a:ext uri="{FF2B5EF4-FFF2-40B4-BE49-F238E27FC236}">
              <a16:creationId xmlns:a16="http://schemas.microsoft.com/office/drawing/2014/main" id="{00000000-0008-0000-0000-0000E3080000}"/>
            </a:ext>
          </a:extLst>
        </xdr:cNvPr>
        <xdr:cNvSpPr txBox="1">
          <a:spLocks noChangeArrowheads="1"/>
        </xdr:cNvSpPr>
      </xdr:nvSpPr>
      <xdr:spPr bwMode="auto">
        <a:xfrm>
          <a:off x="3963509" y="3028397"/>
          <a:ext cx="268807" cy="243899"/>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C2</a:t>
          </a:r>
        </a:p>
      </xdr:txBody>
    </xdr:sp>
    <xdr:clientData/>
  </xdr:twoCellAnchor>
  <xdr:twoCellAnchor>
    <xdr:from>
      <xdr:col>16</xdr:col>
      <xdr:colOff>1651627</xdr:colOff>
      <xdr:row>23</xdr:row>
      <xdr:rowOff>19180</xdr:rowOff>
    </xdr:from>
    <xdr:to>
      <xdr:col>16</xdr:col>
      <xdr:colOff>2070727</xdr:colOff>
      <xdr:row>24</xdr:row>
      <xdr:rowOff>48748</xdr:rowOff>
    </xdr:to>
    <xdr:sp macro="" textlink="">
      <xdr:nvSpPr>
        <xdr:cNvPr id="2276" name="Text Box 228">
          <a:extLst>
            <a:ext uri="{FF2B5EF4-FFF2-40B4-BE49-F238E27FC236}">
              <a16:creationId xmlns:a16="http://schemas.microsoft.com/office/drawing/2014/main" id="{00000000-0008-0000-0000-0000E4080000}"/>
            </a:ext>
          </a:extLst>
        </xdr:cNvPr>
        <xdr:cNvSpPr txBox="1">
          <a:spLocks noChangeArrowheads="1"/>
        </xdr:cNvSpPr>
      </xdr:nvSpPr>
      <xdr:spPr bwMode="auto">
        <a:xfrm>
          <a:off x="11964903" y="4722559"/>
          <a:ext cx="419100" cy="220068"/>
        </a:xfrm>
        <a:prstGeom prst="rect">
          <a:avLst/>
        </a:prstGeom>
        <a:noFill/>
        <a:ln w="9525">
          <a:noFill/>
          <a:miter lim="800000"/>
          <a:headEnd/>
          <a:tailEnd/>
        </a:ln>
      </xdr:spPr>
      <xdr:txBody>
        <a:bodyPr vertOverflow="clip" wrap="square" lIns="27432" tIns="27432" rIns="0" bIns="0" anchor="ctr"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OUT</a:t>
          </a:r>
        </a:p>
      </xdr:txBody>
    </xdr:sp>
    <xdr:clientData/>
  </xdr:twoCellAnchor>
  <xdr:twoCellAnchor>
    <xdr:from>
      <xdr:col>13</xdr:col>
      <xdr:colOff>221621</xdr:colOff>
      <xdr:row>32</xdr:row>
      <xdr:rowOff>45100</xdr:rowOff>
    </xdr:from>
    <xdr:to>
      <xdr:col>14</xdr:col>
      <xdr:colOff>86543</xdr:colOff>
      <xdr:row>33</xdr:row>
      <xdr:rowOff>137982</xdr:rowOff>
    </xdr:to>
    <xdr:sp macro="" textlink="">
      <xdr:nvSpPr>
        <xdr:cNvPr id="2279" name="Text Box 231">
          <a:extLst>
            <a:ext uri="{FF2B5EF4-FFF2-40B4-BE49-F238E27FC236}">
              <a16:creationId xmlns:a16="http://schemas.microsoft.com/office/drawing/2014/main" id="{00000000-0008-0000-0000-0000E7080000}"/>
            </a:ext>
          </a:extLst>
        </xdr:cNvPr>
        <xdr:cNvSpPr txBox="1">
          <a:spLocks noChangeArrowheads="1"/>
        </xdr:cNvSpPr>
      </xdr:nvSpPr>
      <xdr:spPr bwMode="auto">
        <a:xfrm>
          <a:off x="8633387" y="6456616"/>
          <a:ext cx="472140" cy="265522"/>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ILIM</a:t>
          </a:r>
        </a:p>
      </xdr:txBody>
    </xdr:sp>
    <xdr:clientData/>
  </xdr:twoCellAnchor>
  <xdr:twoCellAnchor>
    <xdr:from>
      <xdr:col>16</xdr:col>
      <xdr:colOff>871373</xdr:colOff>
      <xdr:row>18</xdr:row>
      <xdr:rowOff>79929</xdr:rowOff>
    </xdr:from>
    <xdr:to>
      <xdr:col>16</xdr:col>
      <xdr:colOff>1213754</xdr:colOff>
      <xdr:row>19</xdr:row>
      <xdr:rowOff>165459</xdr:rowOff>
    </xdr:to>
    <xdr:sp macro="" textlink="">
      <xdr:nvSpPr>
        <xdr:cNvPr id="2283" name="Text Box 235">
          <a:extLst>
            <a:ext uri="{FF2B5EF4-FFF2-40B4-BE49-F238E27FC236}">
              <a16:creationId xmlns:a16="http://schemas.microsoft.com/office/drawing/2014/main" id="{00000000-0008-0000-0000-0000EB080000}"/>
            </a:ext>
          </a:extLst>
        </xdr:cNvPr>
        <xdr:cNvSpPr txBox="1">
          <a:spLocks noChangeArrowheads="1"/>
        </xdr:cNvSpPr>
      </xdr:nvSpPr>
      <xdr:spPr bwMode="auto">
        <a:xfrm>
          <a:off x="11282198" y="3842304"/>
          <a:ext cx="342381" cy="276030"/>
        </a:xfrm>
        <a:prstGeom prst="rect">
          <a:avLst/>
        </a:prstGeom>
        <a:noFill/>
        <a:ln w="9525">
          <a:noFill/>
          <a:miter lim="800000"/>
          <a:headEnd/>
          <a:tailEnd/>
        </a:ln>
      </xdr:spPr>
      <xdr:txBody>
        <a:bodyPr vertOverflow="clip" wrap="square" lIns="27432" tIns="27432" rIns="0" bIns="0" anchor="ctr" upright="1"/>
        <a:lstStyle/>
        <a:p>
          <a:pPr algn="l" rtl="0">
            <a:defRPr sz="1000"/>
          </a:pPr>
          <a:r>
            <a:rPr lang="en-US" sz="1000" b="0" i="0" strike="noStrike">
              <a:solidFill>
                <a:srgbClr val="000000"/>
              </a:solidFill>
              <a:latin typeface="Arial" pitchFamily="34" charset="0"/>
              <a:cs typeface="Arial" pitchFamily="34" charset="0"/>
            </a:rPr>
            <a:t>L</a:t>
          </a:r>
          <a:r>
            <a:rPr lang="en-US" sz="1000" b="0" i="0" strike="noStrike" baseline="-25000">
              <a:solidFill>
                <a:srgbClr val="000000"/>
              </a:solidFill>
              <a:latin typeface="Arial" pitchFamily="34" charset="0"/>
              <a:cs typeface="Arial" pitchFamily="34" charset="0"/>
            </a:rPr>
            <a:t>F</a:t>
          </a:r>
        </a:p>
      </xdr:txBody>
    </xdr:sp>
    <xdr:clientData/>
  </xdr:twoCellAnchor>
  <xdr:twoCellAnchor>
    <xdr:from>
      <xdr:col>16</xdr:col>
      <xdr:colOff>602037</xdr:colOff>
      <xdr:row>23</xdr:row>
      <xdr:rowOff>47833</xdr:rowOff>
    </xdr:from>
    <xdr:to>
      <xdr:col>16</xdr:col>
      <xdr:colOff>927803</xdr:colOff>
      <xdr:row>24</xdr:row>
      <xdr:rowOff>80635</xdr:rowOff>
    </xdr:to>
    <xdr:sp macro="" textlink="">
      <xdr:nvSpPr>
        <xdr:cNvPr id="2292" name="Text Box 244">
          <a:extLst>
            <a:ext uri="{FF2B5EF4-FFF2-40B4-BE49-F238E27FC236}">
              <a16:creationId xmlns:a16="http://schemas.microsoft.com/office/drawing/2014/main" id="{00000000-0008-0000-0000-0000F4080000}"/>
            </a:ext>
          </a:extLst>
        </xdr:cNvPr>
        <xdr:cNvSpPr txBox="1">
          <a:spLocks noChangeArrowheads="1"/>
        </xdr:cNvSpPr>
      </xdr:nvSpPr>
      <xdr:spPr bwMode="auto">
        <a:xfrm>
          <a:off x="10915313" y="4751212"/>
          <a:ext cx="325766" cy="223302"/>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IN</a:t>
          </a:r>
        </a:p>
      </xdr:txBody>
    </xdr:sp>
    <xdr:clientData/>
  </xdr:twoCellAnchor>
  <xdr:twoCellAnchor>
    <xdr:from>
      <xdr:col>15</xdr:col>
      <xdr:colOff>155625</xdr:colOff>
      <xdr:row>28</xdr:row>
      <xdr:rowOff>234682</xdr:rowOff>
    </xdr:from>
    <xdr:to>
      <xdr:col>15</xdr:col>
      <xdr:colOff>527937</xdr:colOff>
      <xdr:row>30</xdr:row>
      <xdr:rowOff>43726</xdr:rowOff>
    </xdr:to>
    <xdr:sp macro="" textlink="">
      <xdr:nvSpPr>
        <xdr:cNvPr id="2297" name="Text Box 249">
          <a:extLst>
            <a:ext uri="{FF2B5EF4-FFF2-40B4-BE49-F238E27FC236}">
              <a16:creationId xmlns:a16="http://schemas.microsoft.com/office/drawing/2014/main" id="{00000000-0008-0000-0000-0000F9080000}"/>
            </a:ext>
          </a:extLst>
        </xdr:cNvPr>
        <xdr:cNvSpPr txBox="1">
          <a:spLocks noChangeArrowheads="1"/>
        </xdr:cNvSpPr>
      </xdr:nvSpPr>
      <xdr:spPr bwMode="auto">
        <a:xfrm>
          <a:off x="9877078" y="5890151"/>
          <a:ext cx="372312" cy="231716"/>
        </a:xfrm>
        <a:prstGeom prst="rect">
          <a:avLst/>
        </a:prstGeom>
        <a:noFill/>
        <a:ln w="9525">
          <a:noFill/>
          <a:miter lim="800000"/>
          <a:headEnd/>
          <a:tailEnd/>
        </a:ln>
      </xdr:spPr>
      <xdr:txBody>
        <a:bodyPr vertOverflow="clip" wrap="square" lIns="27432" tIns="27432" rIns="0" bIns="0" anchor="ctr"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VCC</a:t>
          </a:r>
        </a:p>
      </xdr:txBody>
    </xdr:sp>
    <xdr:clientData/>
  </xdr:twoCellAnchor>
  <xdr:twoCellAnchor>
    <xdr:from>
      <xdr:col>9</xdr:col>
      <xdr:colOff>225678</xdr:colOff>
      <xdr:row>16</xdr:row>
      <xdr:rowOff>116195</xdr:rowOff>
    </xdr:from>
    <xdr:to>
      <xdr:col>9</xdr:col>
      <xdr:colOff>550452</xdr:colOff>
      <xdr:row>18</xdr:row>
      <xdr:rowOff>41571</xdr:rowOff>
    </xdr:to>
    <xdr:sp macro="" textlink="">
      <xdr:nvSpPr>
        <xdr:cNvPr id="2299" name="Text Box 251">
          <a:extLst>
            <a:ext uri="{FF2B5EF4-FFF2-40B4-BE49-F238E27FC236}">
              <a16:creationId xmlns:a16="http://schemas.microsoft.com/office/drawing/2014/main" id="{00000000-0008-0000-0000-0000FB080000}"/>
            </a:ext>
          </a:extLst>
        </xdr:cNvPr>
        <xdr:cNvSpPr txBox="1">
          <a:spLocks noChangeArrowheads="1"/>
        </xdr:cNvSpPr>
      </xdr:nvSpPr>
      <xdr:spPr bwMode="auto">
        <a:xfrm>
          <a:off x="5763316" y="3486074"/>
          <a:ext cx="324774" cy="266963"/>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SS</a:t>
          </a:r>
        </a:p>
      </xdr:txBody>
    </xdr:sp>
    <xdr:clientData/>
  </xdr:twoCellAnchor>
  <xdr:twoCellAnchor>
    <xdr:from>
      <xdr:col>8</xdr:col>
      <xdr:colOff>409575</xdr:colOff>
      <xdr:row>29</xdr:row>
      <xdr:rowOff>29720</xdr:rowOff>
    </xdr:from>
    <xdr:to>
      <xdr:col>9</xdr:col>
      <xdr:colOff>161925</xdr:colOff>
      <xdr:row>29</xdr:row>
      <xdr:rowOff>29720</xdr:rowOff>
    </xdr:to>
    <xdr:sp macro="" textlink="">
      <xdr:nvSpPr>
        <xdr:cNvPr id="2300" name="Text Box 252">
          <a:extLst>
            <a:ext uri="{FF2B5EF4-FFF2-40B4-BE49-F238E27FC236}">
              <a16:creationId xmlns:a16="http://schemas.microsoft.com/office/drawing/2014/main" id="{00000000-0008-0000-0000-0000FC080000}"/>
            </a:ext>
          </a:extLst>
        </xdr:cNvPr>
        <xdr:cNvSpPr txBox="1">
          <a:spLocks noChangeArrowheads="1"/>
        </xdr:cNvSpPr>
      </xdr:nvSpPr>
      <xdr:spPr bwMode="auto">
        <a:xfrm>
          <a:off x="5257800" y="5506595"/>
          <a:ext cx="361950" cy="0"/>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100" b="0" i="0" strike="noStrike">
              <a:solidFill>
                <a:srgbClr val="000000"/>
              </a:solidFill>
              <a:latin typeface="Calibri"/>
            </a:rPr>
            <a:t>R</a:t>
          </a:r>
          <a:r>
            <a:rPr lang="en-US" sz="1100" b="0" i="0" strike="noStrike" baseline="-25000">
              <a:solidFill>
                <a:srgbClr val="000000"/>
              </a:solidFill>
              <a:latin typeface="Calibri"/>
            </a:rPr>
            <a:t>FADJ</a:t>
          </a:r>
        </a:p>
      </xdr:txBody>
    </xdr:sp>
    <xdr:clientData/>
  </xdr:twoCellAnchor>
  <xdr:twoCellAnchor>
    <xdr:from>
      <xdr:col>7</xdr:col>
      <xdr:colOff>88663</xdr:colOff>
      <xdr:row>22</xdr:row>
      <xdr:rowOff>27538</xdr:rowOff>
    </xdr:from>
    <xdr:to>
      <xdr:col>7</xdr:col>
      <xdr:colOff>481859</xdr:colOff>
      <xdr:row>23</xdr:row>
      <xdr:rowOff>57937</xdr:rowOff>
    </xdr:to>
    <xdr:sp macro="" textlink="">
      <xdr:nvSpPr>
        <xdr:cNvPr id="2303" name="Text Box 255">
          <a:extLst>
            <a:ext uri="{FF2B5EF4-FFF2-40B4-BE49-F238E27FC236}">
              <a16:creationId xmlns:a16="http://schemas.microsoft.com/office/drawing/2014/main" id="{00000000-0008-0000-0000-0000FF080000}"/>
            </a:ext>
          </a:extLst>
        </xdr:cNvPr>
        <xdr:cNvSpPr txBox="1">
          <a:spLocks noChangeArrowheads="1"/>
        </xdr:cNvSpPr>
      </xdr:nvSpPr>
      <xdr:spPr bwMode="auto">
        <a:xfrm>
          <a:off x="4227111" y="4540417"/>
          <a:ext cx="393196" cy="220899"/>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FB2</a:t>
          </a:r>
        </a:p>
      </xdr:txBody>
    </xdr:sp>
    <xdr:clientData/>
  </xdr:twoCellAnchor>
  <xdr:twoCellAnchor>
    <xdr:from>
      <xdr:col>7</xdr:col>
      <xdr:colOff>720772</xdr:colOff>
      <xdr:row>21</xdr:row>
      <xdr:rowOff>9732</xdr:rowOff>
    </xdr:from>
    <xdr:to>
      <xdr:col>8</xdr:col>
      <xdr:colOff>173588</xdr:colOff>
      <xdr:row>21</xdr:row>
      <xdr:rowOff>227638</xdr:rowOff>
    </xdr:to>
    <xdr:sp macro="" textlink="">
      <xdr:nvSpPr>
        <xdr:cNvPr id="2304" name="Text Box 256">
          <a:extLst>
            <a:ext uri="{FF2B5EF4-FFF2-40B4-BE49-F238E27FC236}">
              <a16:creationId xmlns:a16="http://schemas.microsoft.com/office/drawing/2014/main" id="{00000000-0008-0000-0000-000000090000}"/>
            </a:ext>
          </a:extLst>
        </xdr:cNvPr>
        <xdr:cNvSpPr txBox="1">
          <a:spLocks noChangeArrowheads="1"/>
        </xdr:cNvSpPr>
      </xdr:nvSpPr>
      <xdr:spPr bwMode="auto">
        <a:xfrm>
          <a:off x="4873672" y="4331361"/>
          <a:ext cx="242030" cy="217906"/>
        </a:xfrm>
        <a:prstGeom prst="rect">
          <a:avLst/>
        </a:prstGeom>
        <a:noFill/>
        <a:ln w="9525">
          <a:noFill/>
          <a:miter lim="800000"/>
          <a:headEnd/>
          <a:tailEnd/>
        </a:ln>
      </xdr:spPr>
      <xdr:txBody>
        <a:bodyPr vertOverflow="clip" wrap="square" lIns="27432" tIns="27432" rIns="0" bIns="0" anchor="t" upright="1"/>
        <a:lstStyle/>
        <a:p>
          <a:pPr algn="r"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C2</a:t>
          </a:r>
        </a:p>
      </xdr:txBody>
    </xdr:sp>
    <xdr:clientData/>
  </xdr:twoCellAnchor>
  <xdr:twoCellAnchor>
    <xdr:from>
      <xdr:col>8</xdr:col>
      <xdr:colOff>279544</xdr:colOff>
      <xdr:row>16</xdr:row>
      <xdr:rowOff>141533</xdr:rowOff>
    </xdr:from>
    <xdr:to>
      <xdr:col>8</xdr:col>
      <xdr:colOff>594593</xdr:colOff>
      <xdr:row>18</xdr:row>
      <xdr:rowOff>30350</xdr:rowOff>
    </xdr:to>
    <xdr:sp macro="" textlink="">
      <xdr:nvSpPr>
        <xdr:cNvPr id="2305" name="Text Box 257">
          <a:extLst>
            <a:ext uri="{FF2B5EF4-FFF2-40B4-BE49-F238E27FC236}">
              <a16:creationId xmlns:a16="http://schemas.microsoft.com/office/drawing/2014/main" id="{00000000-0008-0000-0000-000001090000}"/>
            </a:ext>
          </a:extLst>
        </xdr:cNvPr>
        <xdr:cNvSpPr txBox="1">
          <a:spLocks noChangeArrowheads="1"/>
        </xdr:cNvSpPr>
      </xdr:nvSpPr>
      <xdr:spPr bwMode="auto">
        <a:xfrm>
          <a:off x="5221658" y="3559647"/>
          <a:ext cx="315049" cy="237160"/>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C1</a:t>
          </a:r>
        </a:p>
      </xdr:txBody>
    </xdr:sp>
    <xdr:clientData/>
  </xdr:twoCellAnchor>
  <xdr:twoCellAnchor>
    <xdr:from>
      <xdr:col>7</xdr:col>
      <xdr:colOff>667710</xdr:colOff>
      <xdr:row>16</xdr:row>
      <xdr:rowOff>149096</xdr:rowOff>
    </xdr:from>
    <xdr:to>
      <xdr:col>8</xdr:col>
      <xdr:colOff>187351</xdr:colOff>
      <xdr:row>18</xdr:row>
      <xdr:rowOff>44049</xdr:rowOff>
    </xdr:to>
    <xdr:sp macro="" textlink="">
      <xdr:nvSpPr>
        <xdr:cNvPr id="9616412" name="Text Box 258">
          <a:extLst>
            <a:ext uri="{FF2B5EF4-FFF2-40B4-BE49-F238E27FC236}">
              <a16:creationId xmlns:a16="http://schemas.microsoft.com/office/drawing/2014/main" id="{00000000-0008-0000-0000-00001CBC9200}"/>
            </a:ext>
          </a:extLst>
        </xdr:cNvPr>
        <xdr:cNvSpPr txBox="1">
          <a:spLocks noChangeArrowheads="1"/>
        </xdr:cNvSpPr>
      </xdr:nvSpPr>
      <xdr:spPr bwMode="auto">
        <a:xfrm>
          <a:off x="4820610" y="3567210"/>
          <a:ext cx="308855" cy="243296"/>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u="none" strike="noStrike" baseline="0">
              <a:solidFill>
                <a:srgbClr val="000000"/>
              </a:solidFill>
              <a:latin typeface="Arial" pitchFamily="34" charset="0"/>
              <a:cs typeface="Arial" pitchFamily="34" charset="0"/>
            </a:rPr>
            <a:t>R</a:t>
          </a:r>
          <a:r>
            <a:rPr lang="en-US" sz="1000" b="0" i="0" u="none" strike="noStrike" baseline="-25000">
              <a:solidFill>
                <a:srgbClr val="000000"/>
              </a:solidFill>
              <a:latin typeface="Arial" pitchFamily="34" charset="0"/>
              <a:cs typeface="Arial" pitchFamily="34" charset="0"/>
            </a:rPr>
            <a:t>C1</a:t>
          </a:r>
        </a:p>
      </xdr:txBody>
    </xdr:sp>
    <xdr:clientData/>
  </xdr:twoCellAnchor>
  <xdr:twoCellAnchor>
    <xdr:from>
      <xdr:col>15</xdr:col>
      <xdr:colOff>145462</xdr:colOff>
      <xdr:row>30</xdr:row>
      <xdr:rowOff>46351</xdr:rowOff>
    </xdr:from>
    <xdr:to>
      <xdr:col>15</xdr:col>
      <xdr:colOff>559114</xdr:colOff>
      <xdr:row>31</xdr:row>
      <xdr:rowOff>133725</xdr:rowOff>
    </xdr:to>
    <xdr:sp macro="" textlink="">
      <xdr:nvSpPr>
        <xdr:cNvPr id="2308" name="Text Box 260">
          <a:extLst>
            <a:ext uri="{FF2B5EF4-FFF2-40B4-BE49-F238E27FC236}">
              <a16:creationId xmlns:a16="http://schemas.microsoft.com/office/drawing/2014/main" id="{00000000-0008-0000-0000-000004090000}"/>
            </a:ext>
          </a:extLst>
        </xdr:cNvPr>
        <xdr:cNvSpPr txBox="1">
          <a:spLocks noChangeArrowheads="1"/>
        </xdr:cNvSpPr>
      </xdr:nvSpPr>
      <xdr:spPr bwMode="auto">
        <a:xfrm>
          <a:off x="9866915" y="6124492"/>
          <a:ext cx="413652" cy="260014"/>
        </a:xfrm>
        <a:prstGeom prst="rect">
          <a:avLst/>
        </a:prstGeom>
        <a:noFill/>
        <a:ln w="9525">
          <a:noFill/>
          <a:miter lim="800000"/>
          <a:headEnd/>
          <a:tailEnd/>
        </a:ln>
      </xdr:spPr>
      <xdr:txBody>
        <a:bodyPr vertOverflow="clip" wrap="square" lIns="27432" tIns="27432" rIns="0" bIns="0" anchor="ctr" upright="1"/>
        <a:lstStyle/>
        <a:p>
          <a:pPr algn="l" rtl="0">
            <a:defRPr sz="1000"/>
          </a:pPr>
          <a:r>
            <a:rPr lang="en-US" sz="1000" b="0" i="0" strike="noStrike">
              <a:solidFill>
                <a:srgbClr val="000000"/>
              </a:solidFill>
              <a:latin typeface="Arial" pitchFamily="34" charset="0"/>
              <a:cs typeface="Arial" pitchFamily="34" charset="0"/>
            </a:rPr>
            <a:t>2.2</a:t>
          </a:r>
          <a:r>
            <a:rPr lang="el-GR" sz="1000" b="0" i="0" strike="noStrike">
              <a:solidFill>
                <a:srgbClr val="000000"/>
              </a:solidFill>
              <a:latin typeface="Arial" pitchFamily="34" charset="0"/>
              <a:cs typeface="Arial" pitchFamily="34" charset="0"/>
            </a:rPr>
            <a:t>μ</a:t>
          </a:r>
          <a:r>
            <a:rPr lang="en-US" sz="1000" b="0" i="0" strike="noStrike">
              <a:solidFill>
                <a:srgbClr val="000000"/>
              </a:solidFill>
              <a:latin typeface="Arial" pitchFamily="34" charset="0"/>
              <a:cs typeface="Arial" pitchFamily="34" charset="0"/>
            </a:rPr>
            <a:t>F</a:t>
          </a:r>
        </a:p>
      </xdr:txBody>
    </xdr:sp>
    <xdr:clientData/>
  </xdr:twoCellAnchor>
  <xdr:twoCellAnchor>
    <xdr:from>
      <xdr:col>8</xdr:col>
      <xdr:colOff>125891</xdr:colOff>
      <xdr:row>17</xdr:row>
      <xdr:rowOff>141880</xdr:rowOff>
    </xdr:from>
    <xdr:to>
      <xdr:col>9</xdr:col>
      <xdr:colOff>16880</xdr:colOff>
      <xdr:row>19</xdr:row>
      <xdr:rowOff>14801</xdr:rowOff>
    </xdr:to>
    <xdr:sp macro="" textlink="'Variable Management'!B254">
      <xdr:nvSpPr>
        <xdr:cNvPr id="2309" name="Text Box 261">
          <a:extLst>
            <a:ext uri="{FF2B5EF4-FFF2-40B4-BE49-F238E27FC236}">
              <a16:creationId xmlns:a16="http://schemas.microsoft.com/office/drawing/2014/main" id="{00000000-0008-0000-0000-000005090000}"/>
            </a:ext>
          </a:extLst>
        </xdr:cNvPr>
        <xdr:cNvSpPr txBox="1">
          <a:spLocks noChangeArrowheads="1" noTextEdit="1"/>
        </xdr:cNvSpPr>
      </xdr:nvSpPr>
      <xdr:spPr bwMode="auto">
        <a:xfrm>
          <a:off x="5068005" y="3734166"/>
          <a:ext cx="500589" cy="237592"/>
        </a:xfrm>
        <a:prstGeom prst="rect">
          <a:avLst/>
        </a:prstGeom>
        <a:noFill/>
        <a:ln w="9525">
          <a:noFill/>
          <a:miter lim="800000"/>
          <a:headEnd/>
          <a:tailEnd/>
        </a:ln>
      </xdr:spPr>
      <xdr:txBody>
        <a:bodyPr vertOverflow="clip" wrap="square" lIns="27432" tIns="22860" rIns="0" bIns="0" anchor="t" upright="1"/>
        <a:lstStyle/>
        <a:p>
          <a:pPr algn="r" rtl="0">
            <a:defRPr sz="1000"/>
          </a:pPr>
          <a:fld id="{491934A6-59AB-480F-A883-A2630DEA4784}" type="TxLink">
            <a:rPr lang="en-US" sz="1000" b="0" i="0" u="none" strike="noStrike" baseline="0">
              <a:solidFill>
                <a:srgbClr val="000000"/>
              </a:solidFill>
              <a:latin typeface="Arial" pitchFamily="34" charset="0"/>
              <a:cs typeface="Arial" pitchFamily="34" charset="0"/>
            </a:rPr>
            <a:pPr algn="r" rtl="0">
              <a:defRPr sz="1000"/>
            </a:pPr>
            <a:t>6.8nF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8</xdr:col>
      <xdr:colOff>366559</xdr:colOff>
      <xdr:row>21</xdr:row>
      <xdr:rowOff>10304</xdr:rowOff>
    </xdr:from>
    <xdr:to>
      <xdr:col>9</xdr:col>
      <xdr:colOff>211505</xdr:colOff>
      <xdr:row>21</xdr:row>
      <xdr:rowOff>230165</xdr:rowOff>
    </xdr:to>
    <xdr:sp macro="" textlink="'Variable Management'!B255">
      <xdr:nvSpPr>
        <xdr:cNvPr id="2310" name="Text Box 262">
          <a:extLst>
            <a:ext uri="{FF2B5EF4-FFF2-40B4-BE49-F238E27FC236}">
              <a16:creationId xmlns:a16="http://schemas.microsoft.com/office/drawing/2014/main" id="{00000000-0008-0000-0000-000006090000}"/>
            </a:ext>
          </a:extLst>
        </xdr:cNvPr>
        <xdr:cNvSpPr txBox="1">
          <a:spLocks noChangeArrowheads="1" noTextEdit="1"/>
        </xdr:cNvSpPr>
      </xdr:nvSpPr>
      <xdr:spPr bwMode="auto">
        <a:xfrm>
          <a:off x="5395759" y="4325129"/>
          <a:ext cx="454546" cy="219861"/>
        </a:xfrm>
        <a:prstGeom prst="rect">
          <a:avLst/>
        </a:prstGeom>
        <a:noFill/>
        <a:ln w="9525">
          <a:noFill/>
          <a:miter lim="800000"/>
          <a:headEnd/>
          <a:tailEnd/>
        </a:ln>
      </xdr:spPr>
      <xdr:txBody>
        <a:bodyPr vertOverflow="clip" wrap="square" lIns="27432" tIns="22860" rIns="0" bIns="0" anchor="t" upright="1"/>
        <a:lstStyle/>
        <a:p>
          <a:pPr algn="l" rtl="0">
            <a:defRPr sz="1000"/>
          </a:pPr>
          <a:fld id="{2D8520E2-C481-4B17-83BA-3FA209B7A03A}" type="TxLink">
            <a:rPr lang="en-US" sz="1000" b="0" i="0" u="none" strike="noStrike" baseline="0">
              <a:solidFill>
                <a:srgbClr val="000000"/>
              </a:solidFill>
              <a:latin typeface="Arial" pitchFamily="34" charset="0"/>
              <a:cs typeface="Arial" pitchFamily="34" charset="0"/>
            </a:rPr>
            <a:pPr algn="l" rtl="0">
              <a:defRPr sz="1000"/>
            </a:pPr>
            <a:t>100pF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7</xdr:col>
      <xdr:colOff>526804</xdr:colOff>
      <xdr:row>18</xdr:row>
      <xdr:rowOff>15228</xdr:rowOff>
    </xdr:from>
    <xdr:to>
      <xdr:col>8</xdr:col>
      <xdr:colOff>247141</xdr:colOff>
      <xdr:row>19</xdr:row>
      <xdr:rowOff>49638</xdr:rowOff>
    </xdr:to>
    <xdr:sp macro="" textlink="'Variable Management'!B253">
      <xdr:nvSpPr>
        <xdr:cNvPr id="2311" name="Text Box 263">
          <a:extLst>
            <a:ext uri="{FF2B5EF4-FFF2-40B4-BE49-F238E27FC236}">
              <a16:creationId xmlns:a16="http://schemas.microsoft.com/office/drawing/2014/main" id="{00000000-0008-0000-0000-000007090000}"/>
            </a:ext>
          </a:extLst>
        </xdr:cNvPr>
        <xdr:cNvSpPr txBox="1">
          <a:spLocks noChangeArrowheads="1" noTextEdit="1"/>
        </xdr:cNvSpPr>
      </xdr:nvSpPr>
      <xdr:spPr bwMode="auto">
        <a:xfrm>
          <a:off x="4679704" y="3781685"/>
          <a:ext cx="509551" cy="224910"/>
        </a:xfrm>
        <a:prstGeom prst="rect">
          <a:avLst/>
        </a:prstGeom>
        <a:noFill/>
        <a:ln w="9525">
          <a:noFill/>
          <a:miter lim="800000"/>
          <a:headEnd/>
          <a:tailEnd/>
        </a:ln>
      </xdr:spPr>
      <xdr:txBody>
        <a:bodyPr vertOverflow="clip" wrap="square" lIns="27432" tIns="22860" rIns="0" bIns="0" anchor="t" upright="1"/>
        <a:lstStyle/>
        <a:p>
          <a:pPr algn="ctr" rtl="0">
            <a:defRPr sz="1000"/>
          </a:pPr>
          <a:fld id="{EDB14F34-7391-4353-9626-FAE030CE211F}" type="TxLink">
            <a:rPr lang="en-US" sz="1000" b="0" i="0" u="none" strike="noStrike" baseline="0">
              <a:solidFill>
                <a:srgbClr val="000000"/>
              </a:solidFill>
              <a:latin typeface="Arial" pitchFamily="34" charset="0"/>
              <a:cs typeface="Arial" pitchFamily="34" charset="0"/>
            </a:rPr>
            <a:pPr algn="ctr" rtl="0">
              <a:defRPr sz="1000"/>
            </a:pPr>
            <a:t>8.06kΩ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6</xdr:col>
      <xdr:colOff>399597</xdr:colOff>
      <xdr:row>23</xdr:row>
      <xdr:rowOff>72760</xdr:rowOff>
    </xdr:from>
    <xdr:to>
      <xdr:col>7</xdr:col>
      <xdr:colOff>388347</xdr:colOff>
      <xdr:row>24</xdr:row>
      <xdr:rowOff>116340</xdr:rowOff>
    </xdr:to>
    <xdr:sp macro="" textlink="'Variable Management'!B259">
      <xdr:nvSpPr>
        <xdr:cNvPr id="2312" name="Text Box 264">
          <a:extLst>
            <a:ext uri="{FF2B5EF4-FFF2-40B4-BE49-F238E27FC236}">
              <a16:creationId xmlns:a16="http://schemas.microsoft.com/office/drawing/2014/main" id="{00000000-0008-0000-0000-000008090000}"/>
            </a:ext>
          </a:extLst>
        </xdr:cNvPr>
        <xdr:cNvSpPr txBox="1">
          <a:spLocks noChangeArrowheads="1" noTextEdit="1"/>
        </xdr:cNvSpPr>
      </xdr:nvSpPr>
      <xdr:spPr bwMode="auto">
        <a:xfrm>
          <a:off x="3927131" y="4776139"/>
          <a:ext cx="599664" cy="234080"/>
        </a:xfrm>
        <a:prstGeom prst="rect">
          <a:avLst/>
        </a:prstGeom>
        <a:noFill/>
        <a:ln w="9525">
          <a:noFill/>
          <a:miter lim="800000"/>
          <a:headEnd/>
          <a:tailEnd/>
        </a:ln>
      </xdr:spPr>
      <xdr:txBody>
        <a:bodyPr vertOverflow="clip" wrap="square" lIns="27432" tIns="22860" rIns="0" bIns="0" anchor="t" upright="1"/>
        <a:lstStyle/>
        <a:p>
          <a:pPr algn="r" rtl="0">
            <a:defRPr sz="1000"/>
          </a:pPr>
          <a:fld id="{4143709D-01BC-4A19-AF00-5C62DAE21E0B}" type="TxLink">
            <a:rPr lang="en-US" sz="1000" b="0" i="0" u="none" strike="noStrike" baseline="0">
              <a:solidFill>
                <a:srgbClr val="000000"/>
              </a:solidFill>
              <a:latin typeface="Arial" pitchFamily="34" charset="0"/>
              <a:cs typeface="Arial" pitchFamily="34" charset="0"/>
            </a:rPr>
            <a:pPr algn="r" rtl="0">
              <a:defRPr sz="1000"/>
            </a:pPr>
            <a:t>1.5kΩ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6</xdr:col>
      <xdr:colOff>288034</xdr:colOff>
      <xdr:row>15</xdr:row>
      <xdr:rowOff>42522</xdr:rowOff>
    </xdr:from>
    <xdr:to>
      <xdr:col>7</xdr:col>
      <xdr:colOff>79277</xdr:colOff>
      <xdr:row>16</xdr:row>
      <xdr:rowOff>131702</xdr:rowOff>
    </xdr:to>
    <xdr:sp macro="" textlink="'Variable Management'!B256">
      <xdr:nvSpPr>
        <xdr:cNvPr id="2313" name="Text Box 265">
          <a:extLst>
            <a:ext uri="{FF2B5EF4-FFF2-40B4-BE49-F238E27FC236}">
              <a16:creationId xmlns:a16="http://schemas.microsoft.com/office/drawing/2014/main" id="{00000000-0008-0000-0000-000009090000}"/>
            </a:ext>
          </a:extLst>
        </xdr:cNvPr>
        <xdr:cNvSpPr txBox="1">
          <a:spLocks noChangeArrowheads="1" noTextEdit="1"/>
        </xdr:cNvSpPr>
      </xdr:nvSpPr>
      <xdr:spPr bwMode="auto">
        <a:xfrm>
          <a:off x="3815568" y="3241608"/>
          <a:ext cx="402157" cy="259973"/>
        </a:xfrm>
        <a:prstGeom prst="rect">
          <a:avLst/>
        </a:prstGeom>
        <a:noFill/>
        <a:ln w="9525">
          <a:noFill/>
          <a:miter lim="800000"/>
          <a:headEnd/>
          <a:tailEnd/>
        </a:ln>
      </xdr:spPr>
      <xdr:txBody>
        <a:bodyPr vertOverflow="clip" wrap="square" lIns="27432" tIns="22860" rIns="0" bIns="0" anchor="t" upright="1"/>
        <a:lstStyle/>
        <a:p>
          <a:pPr algn="r" rtl="0">
            <a:defRPr sz="1000"/>
          </a:pPr>
          <a:fld id="{8A5847E3-10F5-4FFF-8A55-57AE8AD8F48A}" type="TxLink">
            <a:rPr lang="el-GR" sz="1000" b="0" i="0" u="none" strike="noStrike" baseline="0">
              <a:solidFill>
                <a:srgbClr val="000000"/>
              </a:solidFill>
              <a:latin typeface="Arial" pitchFamily="34" charset="0"/>
              <a:cs typeface="Arial" pitchFamily="34" charset="0"/>
            </a:rPr>
            <a:pPr algn="r" rtl="0">
              <a:defRPr sz="1000"/>
            </a:pPr>
            <a:t>51.1Ω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6</xdr:col>
      <xdr:colOff>247947</xdr:colOff>
      <xdr:row>18</xdr:row>
      <xdr:rowOff>25968</xdr:rowOff>
    </xdr:from>
    <xdr:to>
      <xdr:col>7</xdr:col>
      <xdr:colOff>123604</xdr:colOff>
      <xdr:row>19</xdr:row>
      <xdr:rowOff>19941</xdr:rowOff>
    </xdr:to>
    <xdr:sp macro="" textlink="'Variable Management'!B257">
      <xdr:nvSpPr>
        <xdr:cNvPr id="2314" name="Text Box 266">
          <a:extLst>
            <a:ext uri="{FF2B5EF4-FFF2-40B4-BE49-F238E27FC236}">
              <a16:creationId xmlns:a16="http://schemas.microsoft.com/office/drawing/2014/main" id="{00000000-0008-0000-0000-00000A090000}"/>
            </a:ext>
          </a:extLst>
        </xdr:cNvPr>
        <xdr:cNvSpPr txBox="1">
          <a:spLocks noChangeArrowheads="1" noTextEdit="1"/>
        </xdr:cNvSpPr>
      </xdr:nvSpPr>
      <xdr:spPr bwMode="auto">
        <a:xfrm>
          <a:off x="3775481" y="3737434"/>
          <a:ext cx="486571" cy="184473"/>
        </a:xfrm>
        <a:prstGeom prst="rect">
          <a:avLst/>
        </a:prstGeom>
        <a:noFill/>
        <a:ln w="9525">
          <a:noFill/>
          <a:miter lim="800000"/>
          <a:headEnd/>
          <a:tailEnd/>
        </a:ln>
      </xdr:spPr>
      <xdr:txBody>
        <a:bodyPr vertOverflow="clip" wrap="square" lIns="27432" tIns="22860" rIns="0" bIns="0" anchor="t" upright="1"/>
        <a:lstStyle/>
        <a:p>
          <a:pPr algn="r" rtl="0">
            <a:defRPr sz="1000"/>
          </a:pPr>
          <a:fld id="{6C3BF70F-B67A-49A8-941F-821453611716}" type="TxLink">
            <a:rPr lang="en-US" sz="1000" b="0" i="0" u="none" strike="noStrike" baseline="0">
              <a:solidFill>
                <a:srgbClr val="000000"/>
              </a:solidFill>
              <a:latin typeface="Arial" pitchFamily="34" charset="0"/>
              <a:cs typeface="Arial" pitchFamily="34" charset="0"/>
            </a:rPr>
            <a:pPr algn="r" rtl="0">
              <a:defRPr sz="1000"/>
            </a:pPr>
            <a:t>1000pF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16</xdr:col>
      <xdr:colOff>1627263</xdr:colOff>
      <xdr:row>24</xdr:row>
      <xdr:rowOff>61886</xdr:rowOff>
    </xdr:from>
    <xdr:to>
      <xdr:col>16</xdr:col>
      <xdr:colOff>2314575</xdr:colOff>
      <xdr:row>25</xdr:row>
      <xdr:rowOff>114299</xdr:rowOff>
    </xdr:to>
    <xdr:sp macro="" textlink="'Variable Management'!E243">
      <xdr:nvSpPr>
        <xdr:cNvPr id="2315" name="Text Box 267">
          <a:extLst>
            <a:ext uri="{FF2B5EF4-FFF2-40B4-BE49-F238E27FC236}">
              <a16:creationId xmlns:a16="http://schemas.microsoft.com/office/drawing/2014/main" id="{00000000-0008-0000-0000-00000B090000}"/>
            </a:ext>
          </a:extLst>
        </xdr:cNvPr>
        <xdr:cNvSpPr txBox="1">
          <a:spLocks noChangeArrowheads="1" noTextEdit="1"/>
        </xdr:cNvSpPr>
      </xdr:nvSpPr>
      <xdr:spPr bwMode="auto">
        <a:xfrm>
          <a:off x="11942838" y="4967261"/>
          <a:ext cx="687312" cy="242913"/>
        </a:xfrm>
        <a:prstGeom prst="rect">
          <a:avLst/>
        </a:prstGeom>
        <a:noFill/>
        <a:ln w="9525">
          <a:noFill/>
          <a:miter lim="800000"/>
          <a:headEnd/>
          <a:tailEnd/>
        </a:ln>
      </xdr:spPr>
      <xdr:txBody>
        <a:bodyPr vertOverflow="clip" wrap="square" lIns="27432" tIns="22860" rIns="0" bIns="0" anchor="ctr" upright="1"/>
        <a:lstStyle/>
        <a:p>
          <a:pPr algn="l" rtl="0">
            <a:defRPr sz="1000"/>
          </a:pPr>
          <a:fld id="{B1C96643-9062-44BD-9D18-137667D0E8FF}" type="TxLink">
            <a:rPr lang="en-US" sz="1000" b="0" i="0" u="none" strike="noStrike" baseline="0">
              <a:solidFill>
                <a:srgbClr val="000000"/>
              </a:solidFill>
              <a:latin typeface="Arial"/>
              <a:cs typeface="Arial"/>
            </a:rPr>
            <a:pPr algn="l" rtl="0">
              <a:defRPr sz="1000"/>
            </a:pPr>
            <a:t>3 x 22µF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7</xdr:col>
      <xdr:colOff>577438</xdr:colOff>
      <xdr:row>15</xdr:row>
      <xdr:rowOff>29427</xdr:rowOff>
    </xdr:from>
    <xdr:to>
      <xdr:col>8</xdr:col>
      <xdr:colOff>311657</xdr:colOff>
      <xdr:row>16</xdr:row>
      <xdr:rowOff>155643</xdr:rowOff>
    </xdr:to>
    <xdr:sp macro="" textlink="'Variable Management'!B258">
      <xdr:nvSpPr>
        <xdr:cNvPr id="2316" name="Text Box 268">
          <a:extLst>
            <a:ext uri="{FF2B5EF4-FFF2-40B4-BE49-F238E27FC236}">
              <a16:creationId xmlns:a16="http://schemas.microsoft.com/office/drawing/2014/main" id="{00000000-0008-0000-0000-00000C090000}"/>
            </a:ext>
          </a:extLst>
        </xdr:cNvPr>
        <xdr:cNvSpPr txBox="1">
          <a:spLocks noChangeArrowheads="1" noTextEdit="1"/>
        </xdr:cNvSpPr>
      </xdr:nvSpPr>
      <xdr:spPr bwMode="auto">
        <a:xfrm>
          <a:off x="4715886" y="3228513"/>
          <a:ext cx="522495" cy="297009"/>
        </a:xfrm>
        <a:prstGeom prst="rect">
          <a:avLst/>
        </a:prstGeom>
        <a:noFill/>
        <a:ln w="9525">
          <a:noFill/>
          <a:miter lim="800000"/>
          <a:headEnd/>
          <a:tailEnd/>
        </a:ln>
      </xdr:spPr>
      <xdr:txBody>
        <a:bodyPr vertOverflow="clip" wrap="square" lIns="27432" tIns="22860" rIns="0" bIns="0" anchor="ctr" upright="1"/>
        <a:lstStyle/>
        <a:p>
          <a:pPr algn="l" rtl="0">
            <a:defRPr sz="1000"/>
          </a:pPr>
          <a:fld id="{DE4FB3C5-779F-4472-8885-3DB2A25A3AD8}" type="TxLink">
            <a:rPr lang="en-US" sz="1000" b="0" i="0" u="none" strike="noStrike">
              <a:solidFill>
                <a:srgbClr val="000000"/>
              </a:solidFill>
              <a:latin typeface="Arial" pitchFamily="34" charset="0"/>
              <a:cs typeface="Arial" pitchFamily="34" charset="0"/>
            </a:rPr>
            <a:pPr algn="l" rtl="0">
              <a:defRPr sz="1000"/>
            </a:pPr>
            <a:t>21kΩ</a:t>
          </a:fld>
          <a:endParaRPr lang="el-GR" sz="1000" b="0" i="0" strike="noStrike">
            <a:solidFill>
              <a:srgbClr val="000000"/>
            </a:solidFill>
            <a:latin typeface="Arial" pitchFamily="34" charset="0"/>
            <a:cs typeface="Arial" pitchFamily="34" charset="0"/>
          </a:endParaRPr>
        </a:p>
      </xdr:txBody>
    </xdr:sp>
    <xdr:clientData/>
  </xdr:twoCellAnchor>
  <xdr:twoCellAnchor>
    <xdr:from>
      <xdr:col>13</xdr:col>
      <xdr:colOff>214228</xdr:colOff>
      <xdr:row>33</xdr:row>
      <xdr:rowOff>83622</xdr:rowOff>
    </xdr:from>
    <xdr:to>
      <xdr:col>14</xdr:col>
      <xdr:colOff>175297</xdr:colOff>
      <xdr:row>34</xdr:row>
      <xdr:rowOff>129793</xdr:rowOff>
    </xdr:to>
    <xdr:sp macro="" textlink="'Variable Management'!B268">
      <xdr:nvSpPr>
        <xdr:cNvPr id="2318" name="Text Box 270">
          <a:extLst>
            <a:ext uri="{FF2B5EF4-FFF2-40B4-BE49-F238E27FC236}">
              <a16:creationId xmlns:a16="http://schemas.microsoft.com/office/drawing/2014/main" id="{00000000-0008-0000-0000-00000E090000}"/>
            </a:ext>
          </a:extLst>
        </xdr:cNvPr>
        <xdr:cNvSpPr txBox="1">
          <a:spLocks noChangeArrowheads="1" noTextEdit="1"/>
        </xdr:cNvSpPr>
      </xdr:nvSpPr>
      <xdr:spPr bwMode="auto">
        <a:xfrm>
          <a:off x="8625994" y="6667778"/>
          <a:ext cx="568287" cy="218812"/>
        </a:xfrm>
        <a:prstGeom prst="rect">
          <a:avLst/>
        </a:prstGeom>
        <a:noFill/>
        <a:ln w="9525">
          <a:noFill/>
          <a:miter lim="800000"/>
          <a:headEnd/>
          <a:tailEnd/>
        </a:ln>
      </xdr:spPr>
      <xdr:txBody>
        <a:bodyPr vertOverflow="clip" wrap="square" lIns="27432" tIns="22860" rIns="0" bIns="0" anchor="t" upright="1"/>
        <a:lstStyle/>
        <a:p>
          <a:pPr algn="l" rtl="0">
            <a:defRPr sz="1000"/>
          </a:pPr>
          <a:fld id="{07E99D9F-90DD-4315-B69B-BBFCCDB8D767}" type="TxLink">
            <a:rPr lang="en-US" sz="1000" b="0" i="0" u="none" strike="noStrike" baseline="0">
              <a:solidFill>
                <a:srgbClr val="000000"/>
              </a:solidFill>
              <a:latin typeface="Arial"/>
              <a:cs typeface="Arial"/>
            </a:rPr>
            <a:pPr algn="l" rtl="0">
              <a:defRPr sz="1000"/>
            </a:pPr>
            <a:t>590Ω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16</xdr:col>
      <xdr:colOff>729980</xdr:colOff>
      <xdr:row>21</xdr:row>
      <xdr:rowOff>3086</xdr:rowOff>
    </xdr:from>
    <xdr:to>
      <xdr:col>16</xdr:col>
      <xdr:colOff>1181450</xdr:colOff>
      <xdr:row>22</xdr:row>
      <xdr:rowOff>25469</xdr:rowOff>
    </xdr:to>
    <xdr:sp macro="" textlink="'Variable Management'!B238">
      <xdr:nvSpPr>
        <xdr:cNvPr id="2323" name="Text Box 275">
          <a:extLst>
            <a:ext uri="{FF2B5EF4-FFF2-40B4-BE49-F238E27FC236}">
              <a16:creationId xmlns:a16="http://schemas.microsoft.com/office/drawing/2014/main" id="{00000000-0008-0000-0000-000013090000}"/>
            </a:ext>
          </a:extLst>
        </xdr:cNvPr>
        <xdr:cNvSpPr txBox="1">
          <a:spLocks noChangeArrowheads="1" noTextEdit="1"/>
        </xdr:cNvSpPr>
      </xdr:nvSpPr>
      <xdr:spPr bwMode="auto">
        <a:xfrm>
          <a:off x="11140805" y="4317911"/>
          <a:ext cx="451470" cy="270033"/>
        </a:xfrm>
        <a:prstGeom prst="rect">
          <a:avLst/>
        </a:prstGeom>
        <a:noFill/>
        <a:ln w="9525">
          <a:noFill/>
          <a:miter lim="800000"/>
          <a:headEnd/>
          <a:tailEnd/>
        </a:ln>
      </xdr:spPr>
      <xdr:txBody>
        <a:bodyPr vertOverflow="clip" wrap="square" lIns="27432" tIns="22860" rIns="0" bIns="0" anchor="ctr" upright="1"/>
        <a:lstStyle/>
        <a:p>
          <a:pPr algn="ctr" rtl="0">
            <a:defRPr sz="1000"/>
          </a:pPr>
          <a:fld id="{08583DE7-3129-476B-98BE-2887A134E956}" type="TxLink">
            <a:rPr lang="en-US" sz="1000" b="0" i="0" u="none" strike="noStrike" baseline="0">
              <a:solidFill>
                <a:srgbClr val="000000"/>
              </a:solidFill>
              <a:latin typeface="Arial" pitchFamily="34" charset="0"/>
              <a:cs typeface="Arial" pitchFamily="34" charset="0"/>
            </a:rPr>
            <a:pPr algn="ctr" rtl="0">
              <a:defRPr sz="1000"/>
            </a:pPr>
            <a:t>6.8µH</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16</xdr:col>
      <xdr:colOff>602914</xdr:colOff>
      <xdr:row>24</xdr:row>
      <xdr:rowOff>42066</xdr:rowOff>
    </xdr:from>
    <xdr:to>
      <xdr:col>16</xdr:col>
      <xdr:colOff>1238250</xdr:colOff>
      <xdr:row>25</xdr:row>
      <xdr:rowOff>85725</xdr:rowOff>
    </xdr:to>
    <xdr:sp macro="" textlink="'Variable Management'!E250">
      <xdr:nvSpPr>
        <xdr:cNvPr id="2324" name="Text Box 276">
          <a:extLst>
            <a:ext uri="{FF2B5EF4-FFF2-40B4-BE49-F238E27FC236}">
              <a16:creationId xmlns:a16="http://schemas.microsoft.com/office/drawing/2014/main" id="{00000000-0008-0000-0000-000014090000}"/>
            </a:ext>
          </a:extLst>
        </xdr:cNvPr>
        <xdr:cNvSpPr txBox="1">
          <a:spLocks noChangeArrowheads="1" noTextEdit="1"/>
        </xdr:cNvSpPr>
      </xdr:nvSpPr>
      <xdr:spPr bwMode="auto">
        <a:xfrm>
          <a:off x="10918489" y="4947441"/>
          <a:ext cx="635336" cy="234159"/>
        </a:xfrm>
        <a:prstGeom prst="rect">
          <a:avLst/>
        </a:prstGeom>
        <a:noFill/>
        <a:ln w="9525">
          <a:noFill/>
          <a:miter lim="800000"/>
          <a:headEnd/>
          <a:tailEnd/>
        </a:ln>
      </xdr:spPr>
      <xdr:txBody>
        <a:bodyPr vertOverflow="clip" wrap="square" lIns="27432" tIns="22860" rIns="0" bIns="0" anchor="ctr" upright="1"/>
        <a:lstStyle/>
        <a:p>
          <a:pPr algn="l" rtl="0">
            <a:defRPr sz="1000"/>
          </a:pPr>
          <a:fld id="{1B4FF237-4FCE-4391-A30E-D8A66113D8BC}" type="TxLink">
            <a:rPr lang="en-US" sz="1000" b="0" i="0" u="none" strike="noStrike" baseline="0">
              <a:solidFill>
                <a:srgbClr val="000000"/>
              </a:solidFill>
              <a:latin typeface="Arial"/>
              <a:cs typeface="Arial"/>
            </a:rPr>
            <a:pPr algn="l" rtl="0">
              <a:defRPr sz="1000"/>
            </a:pPr>
            <a:t>4 x 4.7µF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14</xdr:col>
      <xdr:colOff>500452</xdr:colOff>
      <xdr:row>14</xdr:row>
      <xdr:rowOff>12438</xdr:rowOff>
    </xdr:from>
    <xdr:to>
      <xdr:col>15</xdr:col>
      <xdr:colOff>259017</xdr:colOff>
      <xdr:row>14</xdr:row>
      <xdr:rowOff>247449</xdr:rowOff>
    </xdr:to>
    <xdr:sp macro="" textlink="">
      <xdr:nvSpPr>
        <xdr:cNvPr id="2327" name="Text Box 279">
          <a:extLst>
            <a:ext uri="{FF2B5EF4-FFF2-40B4-BE49-F238E27FC236}">
              <a16:creationId xmlns:a16="http://schemas.microsoft.com/office/drawing/2014/main" id="{00000000-0008-0000-0000-000017090000}"/>
            </a:ext>
          </a:extLst>
        </xdr:cNvPr>
        <xdr:cNvSpPr txBox="1">
          <a:spLocks noChangeArrowheads="1"/>
        </xdr:cNvSpPr>
      </xdr:nvSpPr>
      <xdr:spPr bwMode="auto">
        <a:xfrm>
          <a:off x="9526211" y="2961904"/>
          <a:ext cx="369478" cy="235011"/>
        </a:xfrm>
        <a:prstGeom prst="rect">
          <a:avLst/>
        </a:prstGeom>
        <a:noFill/>
        <a:ln w="9525">
          <a:noFill/>
          <a:miter lim="800000"/>
          <a:headEnd/>
          <a:tailEnd/>
        </a:ln>
      </xdr:spPr>
      <xdr:txBody>
        <a:bodyPr vertOverflow="clip" wrap="square" lIns="27432" tIns="27432" rIns="0" bIns="0" anchor="ctr" upright="1"/>
        <a:lstStyle/>
        <a:p>
          <a:pPr marL="0" marR="0" indent="0" algn="ctr" defTabSz="914400" rtl="0" eaLnBrk="1" fontAlgn="auto" latinLnBrk="0" hangingPunct="1">
            <a:lnSpc>
              <a:spcPct val="100000"/>
            </a:lnSpc>
            <a:spcBef>
              <a:spcPts val="0"/>
            </a:spcBef>
            <a:spcAft>
              <a:spcPts val="0"/>
            </a:spcAft>
            <a:buClrTx/>
            <a:buSzTx/>
            <a:buFontTx/>
            <a:buNone/>
            <a:tabLst/>
            <a:defRPr sz="1000"/>
          </a:pPr>
          <a:r>
            <a:rPr lang="en-US" sz="1000" b="0" i="0">
              <a:latin typeface="Arial" pitchFamily="34" charset="0"/>
              <a:ea typeface="+mn-ea"/>
              <a:cs typeface="Arial" pitchFamily="34" charset="0"/>
            </a:rPr>
            <a:t>0.1</a:t>
          </a:r>
          <a:r>
            <a:rPr lang="el-GR" sz="1000" b="0" i="0">
              <a:latin typeface="Arial" pitchFamily="34" charset="0"/>
              <a:ea typeface="+mn-ea"/>
              <a:cs typeface="Arial" pitchFamily="34" charset="0"/>
            </a:rPr>
            <a:t>μ</a:t>
          </a:r>
          <a:r>
            <a:rPr lang="en-US" sz="1000" b="0" i="0">
              <a:latin typeface="Arial" pitchFamily="34" charset="0"/>
              <a:ea typeface="+mn-ea"/>
              <a:cs typeface="Arial" pitchFamily="34" charset="0"/>
            </a:rPr>
            <a:t>F</a:t>
          </a:r>
          <a:endParaRPr lang="en-US" sz="1000">
            <a:latin typeface="Arial" pitchFamily="34" charset="0"/>
            <a:cs typeface="Arial" pitchFamily="34" charset="0"/>
          </a:endParaRPr>
        </a:p>
      </xdr:txBody>
    </xdr:sp>
    <xdr:clientData/>
  </xdr:twoCellAnchor>
  <xdr:twoCellAnchor>
    <xdr:from>
      <xdr:col>9</xdr:col>
      <xdr:colOff>201234</xdr:colOff>
      <xdr:row>18</xdr:row>
      <xdr:rowOff>27383</xdr:rowOff>
    </xdr:from>
    <xdr:to>
      <xdr:col>9</xdr:col>
      <xdr:colOff>554858</xdr:colOff>
      <xdr:row>19</xdr:row>
      <xdr:rowOff>71705</xdr:rowOff>
    </xdr:to>
    <xdr:sp macro="" textlink="'Variable Management'!B276">
      <xdr:nvSpPr>
        <xdr:cNvPr id="2329" name="Text Box 281">
          <a:extLst>
            <a:ext uri="{FF2B5EF4-FFF2-40B4-BE49-F238E27FC236}">
              <a16:creationId xmlns:a16="http://schemas.microsoft.com/office/drawing/2014/main" id="{00000000-0008-0000-0000-000019090000}"/>
            </a:ext>
          </a:extLst>
        </xdr:cNvPr>
        <xdr:cNvSpPr txBox="1">
          <a:spLocks noChangeArrowheads="1" noTextEdit="1"/>
        </xdr:cNvSpPr>
      </xdr:nvSpPr>
      <xdr:spPr bwMode="auto">
        <a:xfrm>
          <a:off x="5738872" y="3738849"/>
          <a:ext cx="353624" cy="234822"/>
        </a:xfrm>
        <a:prstGeom prst="rect">
          <a:avLst/>
        </a:prstGeom>
        <a:noFill/>
        <a:ln w="9525">
          <a:noFill/>
          <a:miter lim="800000"/>
          <a:headEnd/>
          <a:tailEnd/>
        </a:ln>
      </xdr:spPr>
      <xdr:txBody>
        <a:bodyPr vertOverflow="clip" wrap="square" lIns="27432" tIns="22860" rIns="0" bIns="0" anchor="t" upright="1"/>
        <a:lstStyle/>
        <a:p>
          <a:pPr algn="l" rtl="0">
            <a:defRPr sz="1000"/>
          </a:pPr>
          <a:fld id="{77460045-3ADA-4E36-A50B-8C5C548E137C}" type="TxLink">
            <a:rPr lang="en-US" sz="1000" b="0" i="0" u="none" strike="noStrike">
              <a:solidFill>
                <a:srgbClr val="000000"/>
              </a:solidFill>
              <a:latin typeface="Arial" pitchFamily="34" charset="0"/>
              <a:cs typeface="Arial" pitchFamily="34" charset="0"/>
            </a:rPr>
            <a:pPr algn="l" rtl="0">
              <a:defRPr sz="1000"/>
            </a:pPr>
            <a:t>47nF</a:t>
          </a:fld>
          <a:endParaRPr lang="en-US" sz="1000" b="0" i="0" strike="noStrike">
            <a:solidFill>
              <a:srgbClr val="000000"/>
            </a:solidFill>
            <a:latin typeface="Arial" pitchFamily="34" charset="0"/>
            <a:cs typeface="Arial" pitchFamily="34" charset="0"/>
          </a:endParaRPr>
        </a:p>
      </xdr:txBody>
    </xdr:sp>
    <xdr:clientData/>
  </xdr:twoCellAnchor>
  <xdr:twoCellAnchor>
    <xdr:from>
      <xdr:col>16</xdr:col>
      <xdr:colOff>577372</xdr:colOff>
      <xdr:row>12</xdr:row>
      <xdr:rowOff>165360</xdr:rowOff>
    </xdr:from>
    <xdr:to>
      <xdr:col>16</xdr:col>
      <xdr:colOff>945712</xdr:colOff>
      <xdr:row>14</xdr:row>
      <xdr:rowOff>41476</xdr:rowOff>
    </xdr:to>
    <xdr:sp macro="" textlink="'Variable Management'!B280">
      <xdr:nvSpPr>
        <xdr:cNvPr id="2331" name="Text Box 283">
          <a:extLst>
            <a:ext uri="{FF2B5EF4-FFF2-40B4-BE49-F238E27FC236}">
              <a16:creationId xmlns:a16="http://schemas.microsoft.com/office/drawing/2014/main" id="{00000000-0008-0000-0000-00001B090000}"/>
            </a:ext>
          </a:extLst>
        </xdr:cNvPr>
        <xdr:cNvSpPr txBox="1">
          <a:spLocks noChangeArrowheads="1" noTextEdit="1"/>
        </xdr:cNvSpPr>
      </xdr:nvSpPr>
      <xdr:spPr bwMode="auto">
        <a:xfrm>
          <a:off x="10890648" y="2746963"/>
          <a:ext cx="368340" cy="243979"/>
        </a:xfrm>
        <a:prstGeom prst="rect">
          <a:avLst/>
        </a:prstGeom>
        <a:noFill/>
        <a:ln w="9525">
          <a:noFill/>
          <a:miter lim="800000"/>
          <a:headEnd/>
          <a:tailEnd/>
        </a:ln>
      </xdr:spPr>
      <xdr:txBody>
        <a:bodyPr vertOverflow="clip" wrap="square" lIns="27432" tIns="22860" rIns="0" bIns="0" anchor="t" upright="1"/>
        <a:lstStyle/>
        <a:p>
          <a:pPr algn="l" rtl="0">
            <a:defRPr sz="1000"/>
          </a:pPr>
          <a:fld id="{211B0151-B00E-493E-8C8F-6E492416D93B}" type="TxLink">
            <a:rPr lang="en-US" sz="1200" b="1" i="0" u="none" strike="noStrike">
              <a:solidFill>
                <a:srgbClr val="FF0000"/>
              </a:solidFill>
              <a:latin typeface="Arial" pitchFamily="34" charset="0"/>
              <a:cs typeface="Arial" pitchFamily="34" charset="0"/>
            </a:rPr>
            <a:pPr algn="l" rtl="0">
              <a:defRPr sz="1000"/>
            </a:pPr>
            <a:t>24V</a:t>
          </a:fld>
          <a:endParaRPr lang="en-US" sz="1200" b="1" i="0" strike="noStrike">
            <a:solidFill>
              <a:srgbClr val="FF0000"/>
            </a:solidFill>
            <a:latin typeface="Arial" pitchFamily="34" charset="0"/>
            <a:cs typeface="Arial" pitchFamily="34" charset="0"/>
          </a:endParaRPr>
        </a:p>
      </xdr:txBody>
    </xdr:sp>
    <xdr:clientData/>
  </xdr:twoCellAnchor>
  <xdr:twoCellAnchor>
    <xdr:from>
      <xdr:col>16</xdr:col>
      <xdr:colOff>1890482</xdr:colOff>
      <xdr:row>21</xdr:row>
      <xdr:rowOff>133618</xdr:rowOff>
    </xdr:from>
    <xdr:to>
      <xdr:col>17</xdr:col>
      <xdr:colOff>43731</xdr:colOff>
      <xdr:row>22</xdr:row>
      <xdr:rowOff>114410</xdr:rowOff>
    </xdr:to>
    <xdr:sp macro="" textlink="'Variable Management'!B241">
      <xdr:nvSpPr>
        <xdr:cNvPr id="2333" name="Text Box 285">
          <a:extLst>
            <a:ext uri="{FF2B5EF4-FFF2-40B4-BE49-F238E27FC236}">
              <a16:creationId xmlns:a16="http://schemas.microsoft.com/office/drawing/2014/main" id="{00000000-0008-0000-0000-00001D090000}"/>
            </a:ext>
          </a:extLst>
        </xdr:cNvPr>
        <xdr:cNvSpPr txBox="1">
          <a:spLocks noChangeArrowheads="1" noTextEdit="1"/>
        </xdr:cNvSpPr>
      </xdr:nvSpPr>
      <xdr:spPr bwMode="auto">
        <a:xfrm>
          <a:off x="12203758" y="4396877"/>
          <a:ext cx="478663" cy="230412"/>
        </a:xfrm>
        <a:prstGeom prst="rect">
          <a:avLst/>
        </a:prstGeom>
        <a:noFill/>
        <a:ln w="9525">
          <a:noFill/>
          <a:miter lim="800000"/>
          <a:headEnd/>
          <a:tailEnd/>
        </a:ln>
      </xdr:spPr>
      <xdr:txBody>
        <a:bodyPr vertOverflow="clip" wrap="square" lIns="27432" tIns="22860" rIns="0" bIns="0" anchor="t" upright="1"/>
        <a:lstStyle/>
        <a:p>
          <a:pPr algn="l" rtl="0">
            <a:defRPr sz="1000"/>
          </a:pPr>
          <a:fld id="{702C2B8A-7C4B-4FDB-B229-3170089D9686}" type="TxLink">
            <a:rPr lang="en-US" sz="1200" b="1" i="0" u="none" strike="noStrike" baseline="0">
              <a:solidFill>
                <a:srgbClr val="FF0000"/>
              </a:solidFill>
              <a:latin typeface="Arial" pitchFamily="34" charset="0"/>
              <a:cs typeface="Arial" pitchFamily="34" charset="0"/>
            </a:rPr>
            <a:pPr algn="l" rtl="0">
              <a:defRPr sz="1000"/>
            </a:pPr>
            <a:t>12V</a:t>
          </a:fld>
          <a:endParaRPr lang="en-US" sz="1200" b="1" i="0" u="none" strike="noStrike" baseline="0">
            <a:solidFill>
              <a:srgbClr val="FF0000"/>
            </a:solidFill>
            <a:latin typeface="Arial" pitchFamily="34" charset="0"/>
            <a:cs typeface="Arial" pitchFamily="34" charset="0"/>
          </a:endParaRPr>
        </a:p>
      </xdr:txBody>
    </xdr:sp>
    <xdr:clientData/>
  </xdr:twoCellAnchor>
  <xdr:twoCellAnchor>
    <xdr:from>
      <xdr:col>16</xdr:col>
      <xdr:colOff>1890482</xdr:colOff>
      <xdr:row>22</xdr:row>
      <xdr:rowOff>89494</xdr:rowOff>
    </xdr:from>
    <xdr:to>
      <xdr:col>17</xdr:col>
      <xdr:colOff>55395</xdr:colOff>
      <xdr:row>23</xdr:row>
      <xdr:rowOff>139234</xdr:rowOff>
    </xdr:to>
    <xdr:sp macro="" textlink="'Variable Management'!B279">
      <xdr:nvSpPr>
        <xdr:cNvPr id="2334" name="Text Box 286">
          <a:extLst>
            <a:ext uri="{FF2B5EF4-FFF2-40B4-BE49-F238E27FC236}">
              <a16:creationId xmlns:a16="http://schemas.microsoft.com/office/drawing/2014/main" id="{00000000-0008-0000-0000-00001E090000}"/>
            </a:ext>
          </a:extLst>
        </xdr:cNvPr>
        <xdr:cNvSpPr txBox="1">
          <a:spLocks noChangeArrowheads="1" noTextEdit="1"/>
        </xdr:cNvSpPr>
      </xdr:nvSpPr>
      <xdr:spPr bwMode="auto">
        <a:xfrm>
          <a:off x="12203758" y="4602373"/>
          <a:ext cx="490327" cy="240240"/>
        </a:xfrm>
        <a:prstGeom prst="rect">
          <a:avLst/>
        </a:prstGeom>
        <a:noFill/>
        <a:ln w="9525">
          <a:noFill/>
          <a:miter lim="800000"/>
          <a:headEnd/>
          <a:tailEnd/>
        </a:ln>
      </xdr:spPr>
      <xdr:txBody>
        <a:bodyPr vertOverflow="clip" wrap="square" lIns="27432" tIns="22860" rIns="0" bIns="0" anchor="t" upright="1"/>
        <a:lstStyle/>
        <a:p>
          <a:pPr algn="l" rtl="0">
            <a:defRPr sz="1000"/>
          </a:pPr>
          <a:fld id="{E0FB88FA-F39E-4ACF-AB5E-DCB628763AAE}" type="TxLink">
            <a:rPr lang="en-US" sz="1200" b="1" i="0" u="none" strike="noStrike">
              <a:solidFill>
                <a:srgbClr val="FF0000"/>
              </a:solidFill>
              <a:latin typeface="Arial" pitchFamily="34" charset="0"/>
              <a:cs typeface="Arial" pitchFamily="34" charset="0"/>
            </a:rPr>
            <a:pPr algn="l" rtl="0">
              <a:defRPr sz="1000"/>
            </a:pPr>
            <a:t>9A</a:t>
          </a:fld>
          <a:endParaRPr lang="en-US" sz="1200" b="1" i="0" strike="noStrike">
            <a:solidFill>
              <a:srgbClr val="FF0000"/>
            </a:solidFill>
            <a:latin typeface="Arial" pitchFamily="34" charset="0"/>
            <a:cs typeface="Arial" pitchFamily="34" charset="0"/>
          </a:endParaRPr>
        </a:p>
      </xdr:txBody>
    </xdr:sp>
    <xdr:clientData/>
  </xdr:twoCellAnchor>
  <xdr:twoCellAnchor>
    <xdr:from>
      <xdr:col>10</xdr:col>
      <xdr:colOff>0</xdr:colOff>
      <xdr:row>29</xdr:row>
      <xdr:rowOff>29720</xdr:rowOff>
    </xdr:from>
    <xdr:to>
      <xdr:col>10</xdr:col>
      <xdr:colOff>219075</xdr:colOff>
      <xdr:row>29</xdr:row>
      <xdr:rowOff>29720</xdr:rowOff>
    </xdr:to>
    <xdr:sp macro="" textlink="'Variable Management'!B292">
      <xdr:nvSpPr>
        <xdr:cNvPr id="2347" name="Text Box 299">
          <a:extLst>
            <a:ext uri="{FF2B5EF4-FFF2-40B4-BE49-F238E27FC236}">
              <a16:creationId xmlns:a16="http://schemas.microsoft.com/office/drawing/2014/main" id="{00000000-0008-0000-0000-00002B090000}"/>
            </a:ext>
          </a:extLst>
        </xdr:cNvPr>
        <xdr:cNvSpPr txBox="1">
          <a:spLocks noChangeArrowheads="1" noTextEdit="1"/>
        </xdr:cNvSpPr>
      </xdr:nvSpPr>
      <xdr:spPr bwMode="auto">
        <a:xfrm>
          <a:off x="6286500" y="5506595"/>
          <a:ext cx="219075" cy="0"/>
        </a:xfrm>
        <a:prstGeom prst="rect">
          <a:avLst/>
        </a:prstGeom>
        <a:noFill/>
        <a:ln w="9525">
          <a:noFill/>
          <a:miter lim="800000"/>
          <a:headEnd/>
          <a:tailEnd/>
        </a:ln>
      </xdr:spPr>
      <xdr:txBody>
        <a:bodyPr vertOverflow="clip" wrap="square" lIns="27432" tIns="22860" rIns="0" bIns="0" anchor="t" upright="1"/>
        <a:lstStyle/>
        <a:p>
          <a:pPr algn="l" rtl="0">
            <a:defRPr sz="1000"/>
          </a:pPr>
          <a:fld id="{497BFBE6-0671-4D0F-A59C-D9187795E36B}" type="TxLink">
            <a:rPr lang="en-US" sz="1000" b="0" i="0" u="none" strike="noStrike">
              <a:solidFill>
                <a:srgbClr val="000000"/>
              </a:solidFill>
              <a:latin typeface="Calibri"/>
              <a:cs typeface="Arial"/>
            </a:rPr>
            <a:pPr algn="l" rtl="0">
              <a:defRPr sz="1000"/>
            </a:pPr>
            <a:t>13</a:t>
          </a:fld>
          <a:endParaRPr lang="en-US" sz="1000" b="0" i="0" strike="noStrike">
            <a:solidFill>
              <a:srgbClr val="000000"/>
            </a:solidFill>
            <a:latin typeface="Calibri"/>
          </a:endParaRPr>
        </a:p>
      </xdr:txBody>
    </xdr:sp>
    <xdr:clientData/>
  </xdr:twoCellAnchor>
  <xdr:twoCellAnchor>
    <xdr:from>
      <xdr:col>9</xdr:col>
      <xdr:colOff>407866</xdr:colOff>
      <xdr:row>13</xdr:row>
      <xdr:rowOff>120224</xdr:rowOff>
    </xdr:from>
    <xdr:to>
      <xdr:col>9</xdr:col>
      <xdr:colOff>789193</xdr:colOff>
      <xdr:row>14</xdr:row>
      <xdr:rowOff>201462</xdr:rowOff>
    </xdr:to>
    <xdr:sp macro="" textlink="">
      <xdr:nvSpPr>
        <xdr:cNvPr id="90" name="Text Box 251">
          <a:extLst>
            <a:ext uri="{FF2B5EF4-FFF2-40B4-BE49-F238E27FC236}">
              <a16:creationId xmlns:a16="http://schemas.microsoft.com/office/drawing/2014/main" id="{00000000-0008-0000-0000-00005A000000}"/>
            </a:ext>
          </a:extLst>
        </xdr:cNvPr>
        <xdr:cNvSpPr txBox="1">
          <a:spLocks noChangeArrowheads="1"/>
        </xdr:cNvSpPr>
      </xdr:nvSpPr>
      <xdr:spPr bwMode="auto">
        <a:xfrm>
          <a:off x="5945504" y="2898896"/>
          <a:ext cx="381327" cy="252032"/>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RT</a:t>
          </a:r>
        </a:p>
      </xdr:txBody>
    </xdr:sp>
    <xdr:clientData/>
  </xdr:twoCellAnchor>
  <xdr:twoCellAnchor>
    <xdr:from>
      <xdr:col>9</xdr:col>
      <xdr:colOff>273147</xdr:colOff>
      <xdr:row>14</xdr:row>
      <xdr:rowOff>165329</xdr:rowOff>
    </xdr:from>
    <xdr:to>
      <xdr:col>9</xdr:col>
      <xdr:colOff>803820</xdr:colOff>
      <xdr:row>15</xdr:row>
      <xdr:rowOff>152554</xdr:rowOff>
    </xdr:to>
    <xdr:sp macro="" textlink="'Variable Management'!B275">
      <xdr:nvSpPr>
        <xdr:cNvPr id="91" name="Text Box 281">
          <a:extLst>
            <a:ext uri="{FF2B5EF4-FFF2-40B4-BE49-F238E27FC236}">
              <a16:creationId xmlns:a16="http://schemas.microsoft.com/office/drawing/2014/main" id="{00000000-0008-0000-0000-00005B000000}"/>
            </a:ext>
          </a:extLst>
        </xdr:cNvPr>
        <xdr:cNvSpPr txBox="1">
          <a:spLocks noChangeArrowheads="1" noTextEdit="1"/>
        </xdr:cNvSpPr>
      </xdr:nvSpPr>
      <xdr:spPr bwMode="auto">
        <a:xfrm>
          <a:off x="5816697" y="3127604"/>
          <a:ext cx="530673" cy="234875"/>
        </a:xfrm>
        <a:prstGeom prst="rect">
          <a:avLst/>
        </a:prstGeom>
        <a:noFill/>
        <a:ln w="9525">
          <a:noFill/>
          <a:miter lim="800000"/>
          <a:headEnd/>
          <a:tailEnd/>
        </a:ln>
      </xdr:spPr>
      <xdr:txBody>
        <a:bodyPr vertOverflow="clip" wrap="square" lIns="27432" tIns="22860" rIns="0" bIns="0" anchor="t" upright="1"/>
        <a:lstStyle/>
        <a:p>
          <a:pPr algn="ctr" rtl="0">
            <a:defRPr sz="1000"/>
          </a:pPr>
          <a:fld id="{84EB9262-B954-486D-9975-AAB24967BDAC}" type="TxLink">
            <a:rPr lang="en-US" sz="1000" b="0" i="0" u="none" strike="noStrike">
              <a:solidFill>
                <a:srgbClr val="000000"/>
              </a:solidFill>
              <a:latin typeface="Arial" pitchFamily="34" charset="0"/>
              <a:cs typeface="Arial" pitchFamily="34" charset="0"/>
            </a:rPr>
            <a:pPr algn="ctr" rtl="0">
              <a:defRPr sz="1000"/>
            </a:pPr>
            <a:t>24.9kΩ</a:t>
          </a:fld>
          <a:endParaRPr lang="en-US" sz="1000" b="0" i="0" strike="noStrike">
            <a:solidFill>
              <a:srgbClr val="000000"/>
            </a:solidFill>
            <a:latin typeface="Arial" pitchFamily="34" charset="0"/>
            <a:cs typeface="Arial" pitchFamily="34" charset="0"/>
          </a:endParaRPr>
        </a:p>
      </xdr:txBody>
    </xdr:sp>
    <xdr:clientData/>
  </xdr:twoCellAnchor>
  <xdr:twoCellAnchor>
    <xdr:from>
      <xdr:col>14</xdr:col>
      <xdr:colOff>475253</xdr:colOff>
      <xdr:row>13</xdr:row>
      <xdr:rowOff>2286</xdr:rowOff>
    </xdr:from>
    <xdr:to>
      <xdr:col>15</xdr:col>
      <xdr:colOff>254356</xdr:colOff>
      <xdr:row>14</xdr:row>
      <xdr:rowOff>51914</xdr:rowOff>
    </xdr:to>
    <xdr:sp macro="" textlink="">
      <xdr:nvSpPr>
        <xdr:cNvPr id="2295" name="Text Box 247">
          <a:extLst>
            <a:ext uri="{FF2B5EF4-FFF2-40B4-BE49-F238E27FC236}">
              <a16:creationId xmlns:a16="http://schemas.microsoft.com/office/drawing/2014/main" id="{00000000-0008-0000-0000-0000F7080000}"/>
            </a:ext>
          </a:extLst>
        </xdr:cNvPr>
        <xdr:cNvSpPr txBox="1">
          <a:spLocks noChangeArrowheads="1"/>
        </xdr:cNvSpPr>
      </xdr:nvSpPr>
      <xdr:spPr bwMode="auto">
        <a:xfrm>
          <a:off x="9501012" y="2780958"/>
          <a:ext cx="390016" cy="220422"/>
        </a:xfrm>
        <a:prstGeom prst="rect">
          <a:avLst/>
        </a:prstGeom>
        <a:noFill/>
        <a:ln w="9525">
          <a:noFill/>
          <a:miter lim="800000"/>
          <a:headEnd/>
          <a:tailEnd/>
        </a:ln>
      </xdr:spPr>
      <xdr:txBody>
        <a:bodyPr vertOverflow="clip" wrap="square" lIns="27432" tIns="27432" rIns="0" bIns="0" anchor="ctr" upright="1"/>
        <a:lstStyle/>
        <a:p>
          <a:pPr algn="ctr"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BOOT</a:t>
          </a:r>
        </a:p>
      </xdr:txBody>
    </xdr:sp>
    <xdr:clientData/>
  </xdr:twoCellAnchor>
  <xdr:twoCellAnchor>
    <xdr:from>
      <xdr:col>16</xdr:col>
      <xdr:colOff>38393</xdr:colOff>
      <xdr:row>21</xdr:row>
      <xdr:rowOff>74537</xdr:rowOff>
    </xdr:from>
    <xdr:to>
      <xdr:col>16</xdr:col>
      <xdr:colOff>363557</xdr:colOff>
      <xdr:row>22</xdr:row>
      <xdr:rowOff>114604</xdr:rowOff>
    </xdr:to>
    <xdr:sp macro="" textlink="">
      <xdr:nvSpPr>
        <xdr:cNvPr id="97" name="Text Box 244">
          <a:extLst>
            <a:ext uri="{FF2B5EF4-FFF2-40B4-BE49-F238E27FC236}">
              <a16:creationId xmlns:a16="http://schemas.microsoft.com/office/drawing/2014/main" id="{00000000-0008-0000-0000-000061000000}"/>
            </a:ext>
          </a:extLst>
        </xdr:cNvPr>
        <xdr:cNvSpPr txBox="1">
          <a:spLocks noChangeArrowheads="1"/>
        </xdr:cNvSpPr>
      </xdr:nvSpPr>
      <xdr:spPr bwMode="auto">
        <a:xfrm>
          <a:off x="10351669" y="4337796"/>
          <a:ext cx="325164" cy="289687"/>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Q</a:t>
          </a:r>
          <a:r>
            <a:rPr lang="en-US" sz="1000" b="0" i="0" strike="noStrike" baseline="-25000">
              <a:solidFill>
                <a:srgbClr val="000000"/>
              </a:solidFill>
              <a:latin typeface="Arial" pitchFamily="34" charset="0"/>
              <a:cs typeface="Arial" pitchFamily="34" charset="0"/>
            </a:rPr>
            <a:t>2</a:t>
          </a:r>
        </a:p>
      </xdr:txBody>
    </xdr:sp>
    <xdr:clientData/>
  </xdr:twoCellAnchor>
  <xdr:twoCellAnchor>
    <xdr:from>
      <xdr:col>16</xdr:col>
      <xdr:colOff>41770</xdr:colOff>
      <xdr:row>16</xdr:row>
      <xdr:rowOff>73510</xdr:rowOff>
    </xdr:from>
    <xdr:to>
      <xdr:col>16</xdr:col>
      <xdr:colOff>366934</xdr:colOff>
      <xdr:row>17</xdr:row>
      <xdr:rowOff>165321</xdr:rowOff>
    </xdr:to>
    <xdr:sp macro="" textlink="">
      <xdr:nvSpPr>
        <xdr:cNvPr id="102" name="Text Box 244">
          <a:extLst>
            <a:ext uri="{FF2B5EF4-FFF2-40B4-BE49-F238E27FC236}">
              <a16:creationId xmlns:a16="http://schemas.microsoft.com/office/drawing/2014/main" id="{00000000-0008-0000-0000-000066000000}"/>
            </a:ext>
          </a:extLst>
        </xdr:cNvPr>
        <xdr:cNvSpPr txBox="1">
          <a:spLocks noChangeArrowheads="1"/>
        </xdr:cNvSpPr>
      </xdr:nvSpPr>
      <xdr:spPr bwMode="auto">
        <a:xfrm>
          <a:off x="10355046" y="3443389"/>
          <a:ext cx="325164" cy="262604"/>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Q</a:t>
          </a:r>
          <a:r>
            <a:rPr lang="en-US" sz="1000" b="0" i="0" strike="noStrike" baseline="-25000">
              <a:solidFill>
                <a:srgbClr val="000000"/>
              </a:solidFill>
              <a:latin typeface="Arial" pitchFamily="34" charset="0"/>
              <a:cs typeface="Arial" pitchFamily="34" charset="0"/>
            </a:rPr>
            <a:t>1</a:t>
          </a:r>
        </a:p>
      </xdr:txBody>
    </xdr:sp>
    <xdr:clientData/>
  </xdr:twoCellAnchor>
  <xdr:twoCellAnchor>
    <xdr:from>
      <xdr:col>10</xdr:col>
      <xdr:colOff>423154</xdr:colOff>
      <xdr:row>9</xdr:row>
      <xdr:rowOff>130957</xdr:rowOff>
    </xdr:from>
    <xdr:to>
      <xdr:col>11</xdr:col>
      <xdr:colOff>369164</xdr:colOff>
      <xdr:row>11</xdr:row>
      <xdr:rowOff>3087</xdr:rowOff>
    </xdr:to>
    <xdr:sp macro="" textlink="'Variable Management'!G98">
      <xdr:nvSpPr>
        <xdr:cNvPr id="66" name="Text Box 264">
          <a:extLst>
            <a:ext uri="{FF2B5EF4-FFF2-40B4-BE49-F238E27FC236}">
              <a16:creationId xmlns:a16="http://schemas.microsoft.com/office/drawing/2014/main" id="{00000000-0008-0000-0000-000042000000}"/>
            </a:ext>
          </a:extLst>
        </xdr:cNvPr>
        <xdr:cNvSpPr txBox="1">
          <a:spLocks noChangeArrowheads="1" noTextEdit="1"/>
        </xdr:cNvSpPr>
      </xdr:nvSpPr>
      <xdr:spPr bwMode="auto">
        <a:xfrm>
          <a:off x="6788482" y="2200181"/>
          <a:ext cx="556923" cy="213716"/>
        </a:xfrm>
        <a:prstGeom prst="rect">
          <a:avLst/>
        </a:prstGeom>
        <a:noFill/>
        <a:ln w="9525">
          <a:noFill/>
          <a:miter lim="800000"/>
          <a:headEnd/>
          <a:tailEnd/>
        </a:ln>
      </xdr:spPr>
      <xdr:txBody>
        <a:bodyPr vertOverflow="clip" wrap="square" lIns="27432" tIns="22860" rIns="0" bIns="0" anchor="t" upright="1"/>
        <a:lstStyle/>
        <a:p>
          <a:pPr algn="r" rtl="0">
            <a:defRPr sz="1000"/>
          </a:pPr>
          <a:fld id="{123D91BC-1DE9-4CAD-9801-8A70C08E2402}" type="TxLink">
            <a:rPr lang="en-US" sz="1000" b="0" i="0" u="none" strike="noStrike" baseline="0">
              <a:solidFill>
                <a:srgbClr val="000000"/>
              </a:solidFill>
              <a:latin typeface="Arialri"/>
              <a:cs typeface="Arial" pitchFamily="34" charset="0"/>
            </a:rPr>
            <a:pPr algn="r" rtl="0">
              <a:defRPr sz="1000"/>
            </a:pPr>
            <a:t>9.31kΩ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10</xdr:col>
      <xdr:colOff>600213</xdr:colOff>
      <xdr:row>8</xdr:row>
      <xdr:rowOff>99942</xdr:rowOff>
    </xdr:from>
    <xdr:to>
      <xdr:col>11</xdr:col>
      <xdr:colOff>393752</xdr:colOff>
      <xdr:row>9</xdr:row>
      <xdr:rowOff>130340</xdr:rowOff>
    </xdr:to>
    <xdr:sp macro="" textlink="">
      <xdr:nvSpPr>
        <xdr:cNvPr id="68" name="Text Box 255">
          <a:extLst>
            <a:ext uri="{FF2B5EF4-FFF2-40B4-BE49-F238E27FC236}">
              <a16:creationId xmlns:a16="http://schemas.microsoft.com/office/drawing/2014/main" id="{00000000-0008-0000-0000-000044000000}"/>
            </a:ext>
          </a:extLst>
        </xdr:cNvPr>
        <xdr:cNvSpPr txBox="1">
          <a:spLocks noChangeArrowheads="1"/>
        </xdr:cNvSpPr>
      </xdr:nvSpPr>
      <xdr:spPr bwMode="auto">
        <a:xfrm>
          <a:off x="6965541" y="1998373"/>
          <a:ext cx="404452" cy="201191"/>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UV2</a:t>
          </a:r>
        </a:p>
      </xdr:txBody>
    </xdr:sp>
    <xdr:clientData/>
  </xdr:twoCellAnchor>
  <xdr:twoCellAnchor>
    <xdr:from>
      <xdr:col>11</xdr:col>
      <xdr:colOff>549732</xdr:colOff>
      <xdr:row>9</xdr:row>
      <xdr:rowOff>120704</xdr:rowOff>
    </xdr:from>
    <xdr:to>
      <xdr:col>12</xdr:col>
      <xdr:colOff>278965</xdr:colOff>
      <xdr:row>10</xdr:row>
      <xdr:rowOff>157401</xdr:rowOff>
    </xdr:to>
    <xdr:sp macro="" textlink="'Variable Management'!G97">
      <xdr:nvSpPr>
        <xdr:cNvPr id="69" name="Text Box 264">
          <a:extLst>
            <a:ext uri="{FF2B5EF4-FFF2-40B4-BE49-F238E27FC236}">
              <a16:creationId xmlns:a16="http://schemas.microsoft.com/office/drawing/2014/main" id="{00000000-0008-0000-0000-000045000000}"/>
            </a:ext>
          </a:extLst>
        </xdr:cNvPr>
        <xdr:cNvSpPr txBox="1">
          <a:spLocks noChangeArrowheads="1" noTextEdit="1"/>
        </xdr:cNvSpPr>
      </xdr:nvSpPr>
      <xdr:spPr bwMode="auto">
        <a:xfrm>
          <a:off x="7525973" y="2189928"/>
          <a:ext cx="556923" cy="207490"/>
        </a:xfrm>
        <a:prstGeom prst="rect">
          <a:avLst/>
        </a:prstGeom>
        <a:noFill/>
        <a:ln w="9525">
          <a:noFill/>
          <a:miter lim="800000"/>
          <a:headEnd/>
          <a:tailEnd/>
        </a:ln>
      </xdr:spPr>
      <xdr:txBody>
        <a:bodyPr vertOverflow="clip" wrap="square" lIns="27432" tIns="22860" rIns="0" bIns="0" anchor="t" upright="1"/>
        <a:lstStyle/>
        <a:p>
          <a:pPr algn="r" rtl="0">
            <a:defRPr sz="1000"/>
          </a:pPr>
          <a:fld id="{302BC79D-87FA-43D3-B7A3-AC5513B978CE}" type="TxLink">
            <a:rPr lang="en-US" sz="1000" b="0" i="0" u="none" strike="noStrike" baseline="0">
              <a:solidFill>
                <a:srgbClr val="000000"/>
              </a:solidFill>
              <a:latin typeface="Arialri"/>
              <a:cs typeface="Arial" pitchFamily="34" charset="0"/>
            </a:rPr>
            <a:pPr algn="r" rtl="0">
              <a:defRPr sz="1000"/>
            </a:pPr>
            <a:t>100kΩ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11</xdr:col>
      <xdr:colOff>680884</xdr:colOff>
      <xdr:row>8</xdr:row>
      <xdr:rowOff>82786</xdr:rowOff>
    </xdr:from>
    <xdr:to>
      <xdr:col>12</xdr:col>
      <xdr:colOff>258631</xdr:colOff>
      <xdr:row>9</xdr:row>
      <xdr:rowOff>120574</xdr:rowOff>
    </xdr:to>
    <xdr:sp macro="" textlink="">
      <xdr:nvSpPr>
        <xdr:cNvPr id="70" name="Text Box 255">
          <a:extLst>
            <a:ext uri="{FF2B5EF4-FFF2-40B4-BE49-F238E27FC236}">
              <a16:creationId xmlns:a16="http://schemas.microsoft.com/office/drawing/2014/main" id="{00000000-0008-0000-0000-000046000000}"/>
            </a:ext>
          </a:extLst>
        </xdr:cNvPr>
        <xdr:cNvSpPr txBox="1">
          <a:spLocks noChangeArrowheads="1"/>
        </xdr:cNvSpPr>
      </xdr:nvSpPr>
      <xdr:spPr bwMode="auto">
        <a:xfrm>
          <a:off x="7657125" y="1981217"/>
          <a:ext cx="405437" cy="208581"/>
        </a:xfrm>
        <a:prstGeom prst="rect">
          <a:avLst/>
        </a:prstGeom>
        <a:noFill/>
        <a:ln w="9525">
          <a:noFill/>
          <a:miter lim="800000"/>
          <a:headEnd/>
          <a:tailEnd/>
        </a:ln>
      </xdr:spPr>
      <xdr:txBody>
        <a:bodyPr vertOverflow="clip" wrap="square" lIns="27432" tIns="27432" rIns="0" bIns="0" anchor="t" upright="1"/>
        <a:lstStyle/>
        <a:p>
          <a:pPr algn="r"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UV1</a:t>
          </a:r>
        </a:p>
      </xdr:txBody>
    </xdr:sp>
    <xdr:clientData/>
  </xdr:twoCellAnchor>
  <xdr:twoCellAnchor>
    <xdr:from>
      <xdr:col>16</xdr:col>
      <xdr:colOff>708841</xdr:colOff>
      <xdr:row>21</xdr:row>
      <xdr:rowOff>196334</xdr:rowOff>
    </xdr:from>
    <xdr:to>
      <xdr:col>16</xdr:col>
      <xdr:colOff>1222264</xdr:colOff>
      <xdr:row>23</xdr:row>
      <xdr:rowOff>20050</xdr:rowOff>
    </xdr:to>
    <xdr:sp macro="" textlink="'Variable Management'!B239">
      <xdr:nvSpPr>
        <xdr:cNvPr id="142" name="Text Box 275">
          <a:extLst>
            <a:ext uri="{FF2B5EF4-FFF2-40B4-BE49-F238E27FC236}">
              <a16:creationId xmlns:a16="http://schemas.microsoft.com/office/drawing/2014/main" id="{00000000-0008-0000-0000-00008E000000}"/>
            </a:ext>
          </a:extLst>
        </xdr:cNvPr>
        <xdr:cNvSpPr txBox="1">
          <a:spLocks noChangeArrowheads="1" noTextEdit="1"/>
        </xdr:cNvSpPr>
      </xdr:nvSpPr>
      <xdr:spPr bwMode="auto">
        <a:xfrm>
          <a:off x="11119666" y="4511159"/>
          <a:ext cx="513423" cy="261866"/>
        </a:xfrm>
        <a:prstGeom prst="rect">
          <a:avLst/>
        </a:prstGeom>
        <a:noFill/>
        <a:ln w="9525">
          <a:noFill/>
          <a:miter lim="800000"/>
          <a:headEnd/>
          <a:tailEnd/>
        </a:ln>
      </xdr:spPr>
      <xdr:txBody>
        <a:bodyPr vertOverflow="clip" wrap="square" lIns="27432" tIns="22860" rIns="0" bIns="0" anchor="ctr" upright="1"/>
        <a:lstStyle/>
        <a:p>
          <a:pPr algn="ctr" rtl="0">
            <a:defRPr sz="1000"/>
          </a:pPr>
          <a:fld id="{952677B8-8C18-463F-B0C9-D2099A1EBA1B}" type="TxLink">
            <a:rPr lang="en-US" sz="1000" b="0" i="0" u="none" strike="noStrike" baseline="0">
              <a:solidFill>
                <a:srgbClr val="000000"/>
              </a:solidFill>
              <a:latin typeface="Arialri"/>
              <a:cs typeface="Arial" pitchFamily="34" charset="0"/>
            </a:rPr>
            <a:pPr algn="ctr" rtl="0">
              <a:defRPr sz="1000"/>
            </a:pPr>
            <a:t>12mΩ</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11</xdr:col>
      <xdr:colOff>551713</xdr:colOff>
      <xdr:row>31</xdr:row>
      <xdr:rowOff>37033</xdr:rowOff>
    </xdr:from>
    <xdr:to>
      <xdr:col>12</xdr:col>
      <xdr:colOff>206105</xdr:colOff>
      <xdr:row>32</xdr:row>
      <xdr:rowOff>94210</xdr:rowOff>
    </xdr:to>
    <xdr:sp macro="" textlink="">
      <xdr:nvSpPr>
        <xdr:cNvPr id="145" name="Text Box 245">
          <a:extLst>
            <a:ext uri="{FF2B5EF4-FFF2-40B4-BE49-F238E27FC236}">
              <a16:creationId xmlns:a16="http://schemas.microsoft.com/office/drawing/2014/main" id="{00000000-0008-0000-0000-000091000000}"/>
            </a:ext>
          </a:extLst>
        </xdr:cNvPr>
        <xdr:cNvSpPr txBox="1">
          <a:spLocks noChangeArrowheads="1"/>
        </xdr:cNvSpPr>
      </xdr:nvSpPr>
      <xdr:spPr bwMode="auto">
        <a:xfrm>
          <a:off x="7528776" y="6275908"/>
          <a:ext cx="481876" cy="229818"/>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PGOOD</a:t>
          </a:r>
        </a:p>
      </xdr:txBody>
    </xdr:sp>
    <xdr:clientData/>
  </xdr:twoCellAnchor>
  <xdr:twoCellAnchor>
    <xdr:from>
      <xdr:col>11</xdr:col>
      <xdr:colOff>569061</xdr:colOff>
      <xdr:row>32</xdr:row>
      <xdr:rowOff>45596</xdr:rowOff>
    </xdr:from>
    <xdr:to>
      <xdr:col>12</xdr:col>
      <xdr:colOff>344206</xdr:colOff>
      <xdr:row>33</xdr:row>
      <xdr:rowOff>115697</xdr:rowOff>
    </xdr:to>
    <xdr:sp macro="" textlink="'Variable Management'!B274">
      <xdr:nvSpPr>
        <xdr:cNvPr id="146" name="Text Box 281">
          <a:extLst>
            <a:ext uri="{FF2B5EF4-FFF2-40B4-BE49-F238E27FC236}">
              <a16:creationId xmlns:a16="http://schemas.microsoft.com/office/drawing/2014/main" id="{00000000-0008-0000-0000-000092000000}"/>
            </a:ext>
          </a:extLst>
        </xdr:cNvPr>
        <xdr:cNvSpPr txBox="1">
          <a:spLocks noChangeArrowheads="1" noTextEdit="1"/>
        </xdr:cNvSpPr>
      </xdr:nvSpPr>
      <xdr:spPr bwMode="auto">
        <a:xfrm>
          <a:off x="7546124" y="6457112"/>
          <a:ext cx="602629" cy="242741"/>
        </a:xfrm>
        <a:prstGeom prst="rect">
          <a:avLst/>
        </a:prstGeom>
        <a:noFill/>
        <a:ln w="9525">
          <a:noFill/>
          <a:miter lim="800000"/>
          <a:headEnd/>
          <a:tailEnd/>
        </a:ln>
      </xdr:spPr>
      <xdr:txBody>
        <a:bodyPr vertOverflow="clip" wrap="square" lIns="27432" tIns="22860" rIns="0" bIns="0" anchor="ctr" upright="1"/>
        <a:lstStyle/>
        <a:p>
          <a:pPr algn="l" rtl="0">
            <a:defRPr sz="1000"/>
          </a:pPr>
          <a:fld id="{89760BEF-9E88-4172-89E5-A2E0AD0D10FF}" type="TxLink">
            <a:rPr lang="en-US" sz="1000" b="0" i="0" u="none" strike="noStrike">
              <a:solidFill>
                <a:srgbClr val="000000"/>
              </a:solidFill>
              <a:latin typeface="Arialri"/>
              <a:cs typeface="Arial" pitchFamily="34" charset="0"/>
            </a:rPr>
            <a:pPr algn="l" rtl="0">
              <a:defRPr sz="1000"/>
            </a:pPr>
            <a:t>20kΩ</a:t>
          </a:fld>
          <a:endParaRPr lang="en-US" sz="1000" b="0" i="0" strike="noStrike">
            <a:solidFill>
              <a:srgbClr val="000000"/>
            </a:solidFill>
            <a:latin typeface="Arial" pitchFamily="34" charset="0"/>
            <a:cs typeface="Arial" pitchFamily="34" charset="0"/>
          </a:endParaRPr>
        </a:p>
      </xdr:txBody>
    </xdr:sp>
    <xdr:clientData/>
  </xdr:twoCellAnchor>
  <mc:AlternateContent xmlns:mc="http://schemas.openxmlformats.org/markup-compatibility/2006">
    <mc:Choice xmlns:a14="http://schemas.microsoft.com/office/drawing/2010/main" Requires="a14">
      <xdr:twoCellAnchor>
        <xdr:from>
          <xdr:col>5</xdr:col>
          <xdr:colOff>0</xdr:colOff>
          <xdr:row>58</xdr:row>
          <xdr:rowOff>165100</xdr:rowOff>
        </xdr:from>
        <xdr:to>
          <xdr:col>5</xdr:col>
          <xdr:colOff>184150</xdr:colOff>
          <xdr:row>60</xdr:row>
          <xdr:rowOff>12700</xdr:rowOff>
        </xdr:to>
        <xdr:sp macro="" textlink="">
          <xdr:nvSpPr>
            <xdr:cNvPr id="672829" name="Spinner 61" hidden="1">
              <a:extLst>
                <a:ext uri="{63B3BB69-23CF-44E3-9099-C40C66FF867C}">
                  <a14:compatExt spid="_x0000_s672829"/>
                </a:ext>
                <a:ext uri="{FF2B5EF4-FFF2-40B4-BE49-F238E27FC236}">
                  <a16:creationId xmlns:a16="http://schemas.microsoft.com/office/drawing/2014/main" id="{00000000-0008-0000-0000-00003D440A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65</xdr:row>
          <xdr:rowOff>0</xdr:rowOff>
        </xdr:from>
        <xdr:to>
          <xdr:col>5</xdr:col>
          <xdr:colOff>184150</xdr:colOff>
          <xdr:row>66</xdr:row>
          <xdr:rowOff>0</xdr:rowOff>
        </xdr:to>
        <xdr:sp macro="" textlink="">
          <xdr:nvSpPr>
            <xdr:cNvPr id="672830" name="Spinner 62" hidden="1">
              <a:extLst>
                <a:ext uri="{63B3BB69-23CF-44E3-9099-C40C66FF867C}">
                  <a14:compatExt spid="_x0000_s672830"/>
                </a:ext>
                <a:ext uri="{FF2B5EF4-FFF2-40B4-BE49-F238E27FC236}">
                  <a16:creationId xmlns:a16="http://schemas.microsoft.com/office/drawing/2014/main" id="{00000000-0008-0000-0000-00003E440A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66</xdr:row>
          <xdr:rowOff>0</xdr:rowOff>
        </xdr:from>
        <xdr:to>
          <xdr:col>5</xdr:col>
          <xdr:colOff>184150</xdr:colOff>
          <xdr:row>66</xdr:row>
          <xdr:rowOff>190500</xdr:rowOff>
        </xdr:to>
        <xdr:sp macro="" textlink="">
          <xdr:nvSpPr>
            <xdr:cNvPr id="672831" name="Spinner 63" hidden="1">
              <a:extLst>
                <a:ext uri="{63B3BB69-23CF-44E3-9099-C40C66FF867C}">
                  <a14:compatExt spid="_x0000_s672831"/>
                </a:ext>
                <a:ext uri="{FF2B5EF4-FFF2-40B4-BE49-F238E27FC236}">
                  <a16:creationId xmlns:a16="http://schemas.microsoft.com/office/drawing/2014/main" id="{00000000-0008-0000-0000-00003F440A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67</xdr:row>
          <xdr:rowOff>0</xdr:rowOff>
        </xdr:from>
        <xdr:to>
          <xdr:col>5</xdr:col>
          <xdr:colOff>184150</xdr:colOff>
          <xdr:row>67</xdr:row>
          <xdr:rowOff>190500</xdr:rowOff>
        </xdr:to>
        <xdr:sp macro="" textlink="">
          <xdr:nvSpPr>
            <xdr:cNvPr id="672832" name="Spinner 64" hidden="1">
              <a:extLst>
                <a:ext uri="{63B3BB69-23CF-44E3-9099-C40C66FF867C}">
                  <a14:compatExt spid="_x0000_s672832"/>
                </a:ext>
                <a:ext uri="{FF2B5EF4-FFF2-40B4-BE49-F238E27FC236}">
                  <a16:creationId xmlns:a16="http://schemas.microsoft.com/office/drawing/2014/main" id="{00000000-0008-0000-0000-000040440A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68</xdr:row>
          <xdr:rowOff>0</xdr:rowOff>
        </xdr:from>
        <xdr:to>
          <xdr:col>5</xdr:col>
          <xdr:colOff>184150</xdr:colOff>
          <xdr:row>68</xdr:row>
          <xdr:rowOff>190500</xdr:rowOff>
        </xdr:to>
        <xdr:sp macro="" textlink="">
          <xdr:nvSpPr>
            <xdr:cNvPr id="672833" name="Spinner 65" hidden="1">
              <a:extLst>
                <a:ext uri="{63B3BB69-23CF-44E3-9099-C40C66FF867C}">
                  <a14:compatExt spid="_x0000_s672833"/>
                </a:ext>
                <a:ext uri="{FF2B5EF4-FFF2-40B4-BE49-F238E27FC236}">
                  <a16:creationId xmlns:a16="http://schemas.microsoft.com/office/drawing/2014/main" id="{00000000-0008-0000-0000-000041440A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0</xdr:col>
      <xdr:colOff>85725</xdr:colOff>
      <xdr:row>0</xdr:row>
      <xdr:rowOff>47625</xdr:rowOff>
    </xdr:from>
    <xdr:to>
      <xdr:col>3</xdr:col>
      <xdr:colOff>292346</xdr:colOff>
      <xdr:row>0</xdr:row>
      <xdr:rowOff>586281</xdr:rowOff>
    </xdr:to>
    <xdr:pic macro="[0]!OpenLM27403ProductFolder">
      <xdr:nvPicPr>
        <xdr:cNvPr id="80" name="Picture 79">
          <a:hlinkClick xmlns:r="http://schemas.openxmlformats.org/officeDocument/2006/relationships" r:id="rId4"/>
          <a:extLst>
            <a:ext uri="{FF2B5EF4-FFF2-40B4-BE49-F238E27FC236}">
              <a16:creationId xmlns:a16="http://schemas.microsoft.com/office/drawing/2014/main" id="{00000000-0008-0000-0000-000050000000}"/>
            </a:ext>
          </a:extLst>
        </xdr:cNvPr>
        <xdr:cNvPicPr>
          <a:picLocks noChangeAspect="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t="4896" b="8304"/>
        <a:stretch/>
      </xdr:blipFill>
      <xdr:spPr>
        <a:xfrm>
          <a:off x="85725" y="47625"/>
          <a:ext cx="2283071" cy="53865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12700</xdr:colOff>
          <xdr:row>22</xdr:row>
          <xdr:rowOff>0</xdr:rowOff>
        </xdr:from>
        <xdr:to>
          <xdr:col>1</xdr:col>
          <xdr:colOff>527050</xdr:colOff>
          <xdr:row>23</xdr:row>
          <xdr:rowOff>0</xdr:rowOff>
        </xdr:to>
        <xdr:sp macro="" textlink="">
          <xdr:nvSpPr>
            <xdr:cNvPr id="672871" name="Drop Down 103" hidden="1">
              <a:extLst>
                <a:ext uri="{63B3BB69-23CF-44E3-9099-C40C66FF867C}">
                  <a14:compatExt spid="_x0000_s672871"/>
                </a:ext>
                <a:ext uri="{FF2B5EF4-FFF2-40B4-BE49-F238E27FC236}">
                  <a16:creationId xmlns:a16="http://schemas.microsoft.com/office/drawing/2014/main" id="{00000000-0008-0000-0000-00006744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16</xdr:col>
      <xdr:colOff>50235</xdr:colOff>
      <xdr:row>26</xdr:row>
      <xdr:rowOff>49559</xdr:rowOff>
    </xdr:from>
    <xdr:to>
      <xdr:col>16</xdr:col>
      <xdr:colOff>621233</xdr:colOff>
      <xdr:row>28</xdr:row>
      <xdr:rowOff>0</xdr:rowOff>
    </xdr:to>
    <xdr:sp macro="" textlink="'Variable Management'!B269">
      <xdr:nvSpPr>
        <xdr:cNvPr id="88" name="Text Box 270">
          <a:extLst>
            <a:ext uri="{FF2B5EF4-FFF2-40B4-BE49-F238E27FC236}">
              <a16:creationId xmlns:a16="http://schemas.microsoft.com/office/drawing/2014/main" id="{00000000-0008-0000-0000-000058000000}"/>
            </a:ext>
          </a:extLst>
        </xdr:cNvPr>
        <xdr:cNvSpPr txBox="1">
          <a:spLocks noChangeArrowheads="1" noTextEdit="1"/>
        </xdr:cNvSpPr>
      </xdr:nvSpPr>
      <xdr:spPr bwMode="auto">
        <a:xfrm>
          <a:off x="10365810" y="5316884"/>
          <a:ext cx="570998" cy="293341"/>
        </a:xfrm>
        <a:prstGeom prst="rect">
          <a:avLst/>
        </a:prstGeom>
        <a:noFill/>
        <a:ln w="9525">
          <a:noFill/>
          <a:miter lim="800000"/>
          <a:headEnd/>
          <a:tailEnd/>
        </a:ln>
      </xdr:spPr>
      <xdr:txBody>
        <a:bodyPr vertOverflow="clip" wrap="square" lIns="27432" tIns="22860" rIns="0" bIns="0" anchor="t" upright="1"/>
        <a:lstStyle/>
        <a:p>
          <a:pPr algn="l" rtl="0">
            <a:defRPr sz="1000"/>
          </a:pPr>
          <a:fld id="{B99E8AFA-CC9D-495E-8F5C-E82A30AF7894}" type="TxLink">
            <a:rPr lang="en-US" sz="1000" b="0" i="0" u="none" strike="noStrike" baseline="0">
              <a:solidFill>
                <a:srgbClr val="000000"/>
              </a:solidFill>
              <a:latin typeface="Arial"/>
              <a:cs typeface="Arial"/>
            </a:rPr>
            <a:pPr algn="l" rtl="0">
              <a:defRPr sz="1000"/>
            </a:pPr>
            <a:t> </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16</xdr:col>
      <xdr:colOff>116910</xdr:colOff>
      <xdr:row>25</xdr:row>
      <xdr:rowOff>11459</xdr:rowOff>
    </xdr:from>
    <xdr:to>
      <xdr:col>16</xdr:col>
      <xdr:colOff>687908</xdr:colOff>
      <xdr:row>26</xdr:row>
      <xdr:rowOff>56439</xdr:rowOff>
    </xdr:to>
    <xdr:sp macro="" textlink="'Variable Management'!A269">
      <xdr:nvSpPr>
        <xdr:cNvPr id="92" name="Text Box 270">
          <a:extLst>
            <a:ext uri="{FF2B5EF4-FFF2-40B4-BE49-F238E27FC236}">
              <a16:creationId xmlns:a16="http://schemas.microsoft.com/office/drawing/2014/main" id="{00000000-0008-0000-0000-00005C000000}"/>
            </a:ext>
          </a:extLst>
        </xdr:cNvPr>
        <xdr:cNvSpPr txBox="1">
          <a:spLocks noChangeArrowheads="1" noTextEdit="1"/>
        </xdr:cNvSpPr>
      </xdr:nvSpPr>
      <xdr:spPr bwMode="auto">
        <a:xfrm>
          <a:off x="10432485" y="5107334"/>
          <a:ext cx="570998" cy="216430"/>
        </a:xfrm>
        <a:prstGeom prst="rect">
          <a:avLst/>
        </a:prstGeom>
        <a:noFill/>
        <a:ln w="9525">
          <a:noFill/>
          <a:miter lim="800000"/>
          <a:headEnd/>
          <a:tailEnd/>
        </a:ln>
      </xdr:spPr>
      <xdr:txBody>
        <a:bodyPr vertOverflow="clip" wrap="square" lIns="27432" tIns="22860" rIns="0" bIns="0" anchor="t" upright="1"/>
        <a:lstStyle/>
        <a:p>
          <a:pPr algn="l" rtl="0">
            <a:defRPr sz="1000"/>
          </a:pPr>
          <a:fld id="{70DB96BF-E1DF-48E4-A6D6-40F1646A7E3C}" type="TxLink">
            <a:rPr lang="en-US" sz="1000" b="0" i="0" u="none" strike="noStrike" baseline="0">
              <a:solidFill>
                <a:srgbClr val="000000"/>
              </a:solidFill>
              <a:latin typeface="Arial"/>
              <a:cs typeface="Arial"/>
            </a:rPr>
            <a:pPr algn="l" rtl="0">
              <a:defRPr sz="1000"/>
            </a:pPr>
            <a:t> </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16</xdr:col>
      <xdr:colOff>790575</xdr:colOff>
      <xdr:row>83</xdr:row>
      <xdr:rowOff>0</xdr:rowOff>
    </xdr:from>
    <xdr:to>
      <xdr:col>16</xdr:col>
      <xdr:colOff>1212518</xdr:colOff>
      <xdr:row>84</xdr:row>
      <xdr:rowOff>47625</xdr:rowOff>
    </xdr:to>
    <xdr:sp macro="" textlink="'Variable Management'!B308">
      <xdr:nvSpPr>
        <xdr:cNvPr id="62" name="Text Box 24">
          <a:extLst>
            <a:ext uri="{FF2B5EF4-FFF2-40B4-BE49-F238E27FC236}">
              <a16:creationId xmlns:a16="http://schemas.microsoft.com/office/drawing/2014/main" id="{00000000-0008-0000-0000-00003E000000}"/>
            </a:ext>
          </a:extLst>
        </xdr:cNvPr>
        <xdr:cNvSpPr txBox="1">
          <a:spLocks noChangeArrowheads="1" noTextEdit="1"/>
        </xdr:cNvSpPr>
      </xdr:nvSpPr>
      <xdr:spPr bwMode="auto">
        <a:xfrm>
          <a:off x="11106150" y="15935325"/>
          <a:ext cx="421943" cy="228600"/>
        </a:xfrm>
        <a:prstGeom prst="rect">
          <a:avLst/>
        </a:prstGeom>
        <a:noFill/>
        <a:ln w="9525">
          <a:noFill/>
          <a:miter lim="800000"/>
          <a:headEnd/>
          <a:tailEnd/>
        </a:ln>
      </xdr:spPr>
      <xdr:txBody>
        <a:bodyPr wrap="square" lIns="27432" tIns="22860" rIns="0" bIns="22860" anchor="b"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fld id="{5E2734BE-9F4E-46E2-95E4-7A6A07C9A939}" type="TxLink">
            <a:rPr lang="en-US" sz="1000" b="0" i="0" u="none" strike="noStrike" baseline="0">
              <a:solidFill>
                <a:srgbClr val="000000"/>
              </a:solidFill>
              <a:latin typeface="Arial"/>
              <a:cs typeface="Arial"/>
            </a:rPr>
            <a:pPr algn="l" rtl="0">
              <a:defRPr sz="1000"/>
            </a:pPr>
            <a:t>96%</a:t>
          </a:fld>
          <a:endParaRPr lang="en-US" sz="900" b="1" i="0" u="none" strike="noStrike" baseline="0">
            <a:solidFill>
              <a:srgbClr val="000000"/>
            </a:solidFill>
            <a:latin typeface="Arial" pitchFamily="34" charset="0"/>
            <a:cs typeface="Arial" pitchFamily="34" charset="0"/>
          </a:endParaRPr>
        </a:p>
      </xdr:txBody>
    </xdr:sp>
    <xdr:clientData/>
  </xdr:twoCellAnchor>
  <xdr:twoCellAnchor>
    <xdr:from>
      <xdr:col>12</xdr:col>
      <xdr:colOff>266700</xdr:colOff>
      <xdr:row>82</xdr:row>
      <xdr:rowOff>219075</xdr:rowOff>
    </xdr:from>
    <xdr:to>
      <xdr:col>13</xdr:col>
      <xdr:colOff>79043</xdr:colOff>
      <xdr:row>84</xdr:row>
      <xdr:rowOff>38100</xdr:rowOff>
    </xdr:to>
    <xdr:sp macro="" textlink="'Variable Management'!B309">
      <xdr:nvSpPr>
        <xdr:cNvPr id="63" name="Text Box 24">
          <a:extLst>
            <a:ext uri="{FF2B5EF4-FFF2-40B4-BE49-F238E27FC236}">
              <a16:creationId xmlns:a16="http://schemas.microsoft.com/office/drawing/2014/main" id="{00000000-0008-0000-0000-00003F000000}"/>
            </a:ext>
          </a:extLst>
        </xdr:cNvPr>
        <xdr:cNvSpPr txBox="1">
          <a:spLocks noChangeArrowheads="1" noTextEdit="1"/>
        </xdr:cNvSpPr>
      </xdr:nvSpPr>
      <xdr:spPr bwMode="auto">
        <a:xfrm>
          <a:off x="8077200" y="15925800"/>
          <a:ext cx="421943" cy="228600"/>
        </a:xfrm>
        <a:prstGeom prst="rect">
          <a:avLst/>
        </a:prstGeom>
        <a:noFill/>
        <a:ln w="9525">
          <a:noFill/>
          <a:miter lim="800000"/>
          <a:headEnd/>
          <a:tailEnd/>
        </a:ln>
      </xdr:spPr>
      <xdr:txBody>
        <a:bodyPr wrap="square" lIns="27432" tIns="22860" rIns="0" bIns="22860" anchor="b"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fld id="{54471BB4-2258-4940-9924-F43A04D031AE}" type="TxLink">
            <a:rPr lang="en-US" sz="1000" b="0" i="0" u="none" strike="noStrike" baseline="0">
              <a:solidFill>
                <a:srgbClr val="000000"/>
              </a:solidFill>
              <a:latin typeface="Arial"/>
              <a:cs typeface="Arial"/>
            </a:rPr>
            <a:pPr algn="l" rtl="0">
              <a:defRPr sz="1000"/>
            </a:pPr>
            <a:t>96.1%</a:t>
          </a:fld>
          <a:endParaRPr lang="en-US" sz="900" b="1" i="0" u="none" strike="noStrike" baseline="0">
            <a:solidFill>
              <a:srgbClr val="000000"/>
            </a:solidFill>
            <a:latin typeface="Arial" pitchFamily="34" charset="0"/>
            <a:cs typeface="Arial" pitchFamily="34" charset="0"/>
          </a:endParaRPr>
        </a:p>
      </xdr:txBody>
    </xdr:sp>
    <xdr:clientData/>
  </xdr:twoCellAnchor>
  <xdr:twoCellAnchor>
    <xdr:from>
      <xdr:col>12</xdr:col>
      <xdr:colOff>158999</xdr:colOff>
      <xdr:row>32</xdr:row>
      <xdr:rowOff>170260</xdr:rowOff>
    </xdr:from>
    <xdr:to>
      <xdr:col>13</xdr:col>
      <xdr:colOff>19555</xdr:colOff>
      <xdr:row>34</xdr:row>
      <xdr:rowOff>91691</xdr:rowOff>
    </xdr:to>
    <xdr:sp macro="" textlink="'Variable Management'!A270">
      <xdr:nvSpPr>
        <xdr:cNvPr id="64" name="Text Box 231">
          <a:extLst>
            <a:ext uri="{FF2B5EF4-FFF2-40B4-BE49-F238E27FC236}">
              <a16:creationId xmlns:a16="http://schemas.microsoft.com/office/drawing/2014/main" id="{00000000-0008-0000-0000-000040000000}"/>
            </a:ext>
          </a:extLst>
        </xdr:cNvPr>
        <xdr:cNvSpPr txBox="1">
          <a:spLocks noChangeArrowheads="1"/>
        </xdr:cNvSpPr>
      </xdr:nvSpPr>
      <xdr:spPr bwMode="auto">
        <a:xfrm>
          <a:off x="7969499" y="6542485"/>
          <a:ext cx="470156" cy="264331"/>
        </a:xfrm>
        <a:prstGeom prst="rect">
          <a:avLst/>
        </a:prstGeom>
        <a:noFill/>
        <a:ln w="9525">
          <a:noFill/>
          <a:miter lim="800000"/>
          <a:headEnd/>
          <a:tailEnd/>
        </a:ln>
      </xdr:spPr>
      <xdr:txBody>
        <a:bodyPr vertOverflow="clip" wrap="square" lIns="27432" tIns="27432" rIns="0" bIns="0" anchor="t" upright="1"/>
        <a:lstStyle/>
        <a:p>
          <a:pPr algn="l" rtl="0">
            <a:defRPr sz="1000"/>
          </a:pPr>
          <a:fld id="{6DDDD961-FD77-4006-A9BF-86BA94AAC47A}" type="TxLink">
            <a:rPr lang="en-US" sz="1000" b="0" i="0" u="none" strike="noStrike">
              <a:solidFill>
                <a:srgbClr val="000000"/>
              </a:solidFill>
              <a:latin typeface="Arial"/>
              <a:cs typeface="Arial"/>
            </a:rPr>
            <a:pPr algn="l" rtl="0">
              <a:defRPr sz="1000"/>
            </a:pPr>
            <a:t>Cs</a:t>
          </a:fld>
          <a:endParaRPr lang="en-US" sz="1000" b="0" i="0" strike="noStrike" baseline="-25000">
            <a:solidFill>
              <a:srgbClr val="000000"/>
            </a:solidFill>
            <a:latin typeface="Arial" pitchFamily="34" charset="0"/>
            <a:cs typeface="Arial" pitchFamily="34" charset="0"/>
          </a:endParaRPr>
        </a:p>
      </xdr:txBody>
    </xdr:sp>
    <xdr:clientData/>
  </xdr:twoCellAnchor>
  <xdr:twoCellAnchor>
    <xdr:from>
      <xdr:col>12</xdr:col>
      <xdr:colOff>84931</xdr:colOff>
      <xdr:row>34</xdr:row>
      <xdr:rowOff>27807</xdr:rowOff>
    </xdr:from>
    <xdr:to>
      <xdr:col>13</xdr:col>
      <xdr:colOff>44015</xdr:colOff>
      <xdr:row>35</xdr:row>
      <xdr:rowOff>73977</xdr:rowOff>
    </xdr:to>
    <xdr:sp macro="" textlink="'Variable Management'!B270">
      <xdr:nvSpPr>
        <xdr:cNvPr id="67" name="Text Box 270">
          <a:extLst>
            <a:ext uri="{FF2B5EF4-FFF2-40B4-BE49-F238E27FC236}">
              <a16:creationId xmlns:a16="http://schemas.microsoft.com/office/drawing/2014/main" id="{00000000-0008-0000-0000-000043000000}"/>
            </a:ext>
          </a:extLst>
        </xdr:cNvPr>
        <xdr:cNvSpPr txBox="1">
          <a:spLocks noChangeArrowheads="1" noTextEdit="1"/>
        </xdr:cNvSpPr>
      </xdr:nvSpPr>
      <xdr:spPr bwMode="auto">
        <a:xfrm>
          <a:off x="7895431" y="6742932"/>
          <a:ext cx="568684" cy="217620"/>
        </a:xfrm>
        <a:prstGeom prst="rect">
          <a:avLst/>
        </a:prstGeom>
        <a:noFill/>
        <a:ln w="9525">
          <a:noFill/>
          <a:miter lim="800000"/>
          <a:headEnd/>
          <a:tailEnd/>
        </a:ln>
      </xdr:spPr>
      <xdr:txBody>
        <a:bodyPr vertOverflow="clip" wrap="square" lIns="27432" tIns="22860" rIns="0" bIns="0" anchor="t" upright="1"/>
        <a:lstStyle/>
        <a:p>
          <a:pPr algn="l" rtl="0">
            <a:defRPr sz="1000"/>
          </a:pPr>
          <a:fld id="{F1AA52B6-2C20-478B-832B-81CF265F500F}" type="TxLink">
            <a:rPr lang="en-US" sz="1000" b="0" i="0" u="none" strike="noStrike" baseline="0">
              <a:solidFill>
                <a:srgbClr val="000000"/>
              </a:solidFill>
              <a:latin typeface="Arial"/>
              <a:cs typeface="Arial"/>
            </a:rPr>
            <a:pPr algn="l" rtl="0">
              <a:defRPr sz="1000"/>
            </a:pPr>
            <a:t>8.2pF</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16</xdr:col>
      <xdr:colOff>571499</xdr:colOff>
      <xdr:row>14</xdr:row>
      <xdr:rowOff>22991</xdr:rowOff>
    </xdr:from>
    <xdr:to>
      <xdr:col>16</xdr:col>
      <xdr:colOff>1714500</xdr:colOff>
      <xdr:row>15</xdr:row>
      <xdr:rowOff>15579</xdr:rowOff>
    </xdr:to>
    <xdr:sp macro="" textlink="'Variable Management'!B281">
      <xdr:nvSpPr>
        <xdr:cNvPr id="71" name="Text Box 283">
          <a:extLst>
            <a:ext uri="{FF2B5EF4-FFF2-40B4-BE49-F238E27FC236}">
              <a16:creationId xmlns:a16="http://schemas.microsoft.com/office/drawing/2014/main" id="{00000000-0008-0000-0000-000047000000}"/>
            </a:ext>
          </a:extLst>
        </xdr:cNvPr>
        <xdr:cNvSpPr txBox="1">
          <a:spLocks noChangeArrowheads="1" noTextEdit="1"/>
        </xdr:cNvSpPr>
      </xdr:nvSpPr>
      <xdr:spPr bwMode="auto">
        <a:xfrm>
          <a:off x="10884775" y="2972457"/>
          <a:ext cx="1143001" cy="242208"/>
        </a:xfrm>
        <a:prstGeom prst="rect">
          <a:avLst/>
        </a:prstGeom>
        <a:noFill/>
        <a:ln w="9525">
          <a:noFill/>
          <a:miter lim="800000"/>
          <a:headEnd/>
          <a:tailEnd/>
        </a:ln>
      </xdr:spPr>
      <xdr:txBody>
        <a:bodyPr vertOverflow="clip" wrap="square" lIns="27432" tIns="22860" rIns="0" bIns="0" anchor="t" upright="1"/>
        <a:lstStyle/>
        <a:p>
          <a:pPr algn="l" rtl="0">
            <a:defRPr sz="1000"/>
          </a:pPr>
          <a:fld id="{EF361795-4FFE-464C-BBFA-7CAE15CC7442}" type="TxLink">
            <a:rPr lang="en-US" sz="1200" b="1" i="0" u="none" strike="noStrike">
              <a:solidFill>
                <a:srgbClr val="0000FF"/>
              </a:solidFill>
              <a:latin typeface="Arial"/>
              <a:cs typeface="Arial"/>
            </a:rPr>
            <a:pPr algn="l" rtl="0">
              <a:defRPr sz="1000"/>
            </a:pPr>
            <a:t>16V to 36V</a:t>
          </a:fld>
          <a:endParaRPr lang="en-US" sz="2400" b="1" i="0" strike="noStrike">
            <a:solidFill>
              <a:srgbClr val="0000FF"/>
            </a:solidFill>
            <a:latin typeface="Arial" pitchFamily="34" charset="0"/>
            <a:cs typeface="Arial" pitchFamily="34" charset="0"/>
          </a:endParaRPr>
        </a:p>
      </xdr:txBody>
    </xdr:sp>
    <xdr:clientData/>
  </xdr:twoCellAnchor>
  <xdr:twoCellAnchor editAs="oneCell">
    <xdr:from>
      <xdr:col>16</xdr:col>
      <xdr:colOff>552450</xdr:colOff>
      <xdr:row>0</xdr:row>
      <xdr:rowOff>0</xdr:rowOff>
    </xdr:from>
    <xdr:to>
      <xdr:col>16</xdr:col>
      <xdr:colOff>2259247</xdr:colOff>
      <xdr:row>3</xdr:row>
      <xdr:rowOff>61728</xdr:rowOff>
    </xdr:to>
    <xdr:pic>
      <xdr:nvPicPr>
        <xdr:cNvPr id="72" name="Picture 71">
          <a:hlinkClick xmlns:r="http://schemas.openxmlformats.org/officeDocument/2006/relationships" r:id="rId6"/>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0963275" y="0"/>
          <a:ext cx="1706797" cy="1052328"/>
        </a:xfrm>
        <a:prstGeom prst="rect">
          <a:avLst/>
        </a:prstGeom>
      </xdr:spPr>
    </xdr:pic>
    <xdr:clientData/>
  </xdr:twoCellAnchor>
  <xdr:twoCellAnchor editAs="oneCell">
    <xdr:from>
      <xdr:col>16</xdr:col>
      <xdr:colOff>993530</xdr:colOff>
      <xdr:row>70</xdr:row>
      <xdr:rowOff>227465</xdr:rowOff>
    </xdr:from>
    <xdr:to>
      <xdr:col>16</xdr:col>
      <xdr:colOff>2784229</xdr:colOff>
      <xdr:row>77</xdr:row>
      <xdr:rowOff>44736</xdr:rowOff>
    </xdr:to>
    <xdr:pic>
      <xdr:nvPicPr>
        <xdr:cNvPr id="73" name="Picture 72">
          <a:hlinkClick xmlns:r="http://schemas.openxmlformats.org/officeDocument/2006/relationships" r:id="rId4"/>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1404355" y="13657715"/>
          <a:ext cx="1790699" cy="1131721"/>
        </a:xfrm>
        <a:prstGeom prst="rect">
          <a:avLst/>
        </a:prstGeom>
      </xdr:spPr>
    </xdr:pic>
    <xdr:clientData/>
  </xdr:twoCellAnchor>
</xdr:wsDr>
</file>

<file path=xl/drawings/drawing2.xml><?xml version="1.0" encoding="utf-8"?>
<c:userShapes xmlns:c="http://schemas.openxmlformats.org/drawingml/2006/chart">
  <cdr:relSizeAnchor xmlns:cdr="http://schemas.openxmlformats.org/drawingml/2006/chartDrawing">
    <cdr:from>
      <cdr:x>0.08796</cdr:x>
      <cdr:y>0.49238</cdr:y>
    </cdr:from>
    <cdr:to>
      <cdr:x>0.92197</cdr:x>
      <cdr:y>0.49409</cdr:y>
    </cdr:to>
    <cdr:sp macro="" textlink="">
      <cdr:nvSpPr>
        <cdr:cNvPr id="8195" name="Line 3"/>
        <cdr:cNvSpPr>
          <a:spLocks xmlns:a="http://schemas.openxmlformats.org/drawingml/2006/main" noChangeShapeType="1"/>
        </cdr:cNvSpPr>
      </cdr:nvSpPr>
      <cdr:spPr bwMode="auto">
        <a:xfrm xmlns:a="http://schemas.openxmlformats.org/drawingml/2006/main">
          <a:off x="753099" y="2185131"/>
          <a:ext cx="7141085" cy="7622"/>
        </a:xfrm>
        <a:prstGeom xmlns:a="http://schemas.openxmlformats.org/drawingml/2006/main" prst="line">
          <a:avLst/>
        </a:prstGeom>
        <a:noFill xmlns:a="http://schemas.openxmlformats.org/drawingml/2006/main"/>
        <a:ln xmlns:a="http://schemas.openxmlformats.org/drawingml/2006/main" w="19050">
          <a:solidFill>
            <a:srgbClr val="000000"/>
          </a:solidFill>
          <a:round/>
          <a:headEnd/>
          <a:tailEnd/>
        </a:ln>
      </cdr:spPr>
      <cdr:txBody>
        <a:bodyPr xmlns:a="http://schemas.openxmlformats.org/drawingml/2006/main"/>
        <a:lstStyle xmlns:a="http://schemas.openxmlformats.org/drawingml/2006/main"/>
        <a:p xmlns:a="http://schemas.openxmlformats.org/drawingml/2006/main">
          <a:endParaRPr lang="en-US"/>
        </a:p>
      </cdr:txBody>
    </cdr:sp>
  </cdr:relSizeAnchor>
  <cdr:relSizeAnchor xmlns:cdr="http://schemas.openxmlformats.org/drawingml/2006/chartDrawing">
    <cdr:from>
      <cdr:x>0.92062</cdr:x>
      <cdr:y>0.58763</cdr:y>
    </cdr:from>
    <cdr:to>
      <cdr:x>0.95653</cdr:x>
      <cdr:y>0.64353</cdr:y>
    </cdr:to>
    <cdr:sp macro="" textlink="'Variable Management'!$B$261">
      <cdr:nvSpPr>
        <cdr:cNvPr id="3" name="Text Box 24"/>
        <cdr:cNvSpPr txBox="1">
          <a:spLocks xmlns:a="http://schemas.openxmlformats.org/drawingml/2006/main" noChangeArrowheads="1" noTextEdit="1"/>
        </cdr:cNvSpPr>
      </cdr:nvSpPr>
      <cdr:spPr bwMode="auto">
        <a:xfrm xmlns:a="http://schemas.openxmlformats.org/drawingml/2006/main">
          <a:off x="7976234" y="2610019"/>
          <a:ext cx="311124" cy="248286"/>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wrap="square" lIns="27432" tIns="22860" rIns="0" bIns="22860" anchor="ctr" upright="1"/>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l" rtl="0">
            <a:defRPr sz="1000"/>
          </a:pPr>
          <a:fld id="{BB1BCF51-C5DA-4454-8307-018A0FF9C118}" type="TxLink">
            <a:rPr lang="en-US" sz="900" b="0" i="0" u="none" strike="noStrike" baseline="0">
              <a:solidFill>
                <a:srgbClr val="000000"/>
              </a:solidFill>
              <a:latin typeface="Arial" pitchFamily="34" charset="0"/>
              <a:cs typeface="Arial" pitchFamily="34" charset="0"/>
            </a:rPr>
            <a:pPr algn="l" rtl="0">
              <a:defRPr sz="1000"/>
            </a:pPr>
            <a:t>62°</a:t>
          </a:fld>
          <a:endParaRPr lang="en-US" sz="900" b="1" i="0" u="none" strike="noStrike" baseline="0">
            <a:solidFill>
              <a:srgbClr val="000000"/>
            </a:solidFill>
            <a:latin typeface="Arial" pitchFamily="34" charset="0"/>
            <a:cs typeface="Arial" pitchFamily="34" charset="0"/>
          </a:endParaRPr>
        </a:p>
      </cdr:txBody>
    </cdr:sp>
  </cdr:relSizeAnchor>
</c:userShapes>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123825</xdr:colOff>
          <xdr:row>0</xdr:row>
          <xdr:rowOff>142875</xdr:rowOff>
        </xdr:from>
        <xdr:to>
          <xdr:col>8</xdr:col>
          <xdr:colOff>799272</xdr:colOff>
          <xdr:row>33</xdr:row>
          <xdr:rowOff>10353</xdr:rowOff>
        </xdr:to>
        <xdr:pic>
          <xdr:nvPicPr>
            <xdr:cNvPr id="49" name="Picture 48">
              <a:extLst>
                <a:ext uri="{FF2B5EF4-FFF2-40B4-BE49-F238E27FC236}">
                  <a16:creationId xmlns:a16="http://schemas.microsoft.com/office/drawing/2014/main" id="{00000000-0008-0000-0100-000031000000}"/>
                </a:ext>
              </a:extLst>
            </xdr:cNvPr>
            <xdr:cNvPicPr>
              <a:picLocks noChangeAspect="1"/>
              <a:extLst>
                <a:ext uri="{84589F7E-364E-4C9E-8A38-B11213B215E9}">
                  <a14:cameraTool cellRange="PICTURE10" spid="_x0000_s674559"/>
                </a:ext>
              </a:extLst>
            </xdr:cNvPicPr>
          </xdr:nvPicPr>
          <xdr:blipFill>
            <a:blip xmlns:r="http://schemas.openxmlformats.org/officeDocument/2006/relationships" r:embed="rId1"/>
            <a:stretch>
              <a:fillRect/>
            </a:stretch>
          </xdr:blipFill>
          <xdr:spPr>
            <a:xfrm>
              <a:off x="123825" y="142875"/>
              <a:ext cx="8914572" cy="5211003"/>
            </a:xfrm>
            <a:prstGeom prst="rect">
              <a:avLst/>
            </a:prstGeom>
          </xdr:spPr>
        </xdr:pic>
        <xdr:clientData/>
      </xdr:twoCellAnchor>
    </mc:Choice>
    <mc:Fallback/>
  </mc:AlternateContent>
  <xdr:twoCellAnchor>
    <xdr:from>
      <xdr:col>0</xdr:col>
      <xdr:colOff>350858</xdr:colOff>
      <xdr:row>10</xdr:row>
      <xdr:rowOff>112807</xdr:rowOff>
    </xdr:from>
    <xdr:to>
      <xdr:col>1</xdr:col>
      <xdr:colOff>34767</xdr:colOff>
      <xdr:row>12</xdr:row>
      <xdr:rowOff>14324</xdr:rowOff>
    </xdr:to>
    <xdr:sp macro="" textlink="">
      <xdr:nvSpPr>
        <xdr:cNvPr id="50" name="Text Box 224">
          <a:extLst>
            <a:ext uri="{FF2B5EF4-FFF2-40B4-BE49-F238E27FC236}">
              <a16:creationId xmlns:a16="http://schemas.microsoft.com/office/drawing/2014/main" id="{00000000-0008-0000-0100-000032000000}"/>
            </a:ext>
          </a:extLst>
        </xdr:cNvPr>
        <xdr:cNvSpPr txBox="1">
          <a:spLocks noChangeArrowheads="1"/>
        </xdr:cNvSpPr>
      </xdr:nvSpPr>
      <xdr:spPr bwMode="auto">
        <a:xfrm>
          <a:off x="350858" y="1732057"/>
          <a:ext cx="264934" cy="225367"/>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C3</a:t>
          </a:r>
        </a:p>
      </xdr:txBody>
    </xdr:sp>
    <xdr:clientData/>
  </xdr:twoCellAnchor>
  <xdr:twoCellAnchor>
    <xdr:from>
      <xdr:col>1</xdr:col>
      <xdr:colOff>545536</xdr:colOff>
      <xdr:row>7</xdr:row>
      <xdr:rowOff>127533</xdr:rowOff>
    </xdr:from>
    <xdr:to>
      <xdr:col>1</xdr:col>
      <xdr:colOff>885559</xdr:colOff>
      <xdr:row>9</xdr:row>
      <xdr:rowOff>6326</xdr:rowOff>
    </xdr:to>
    <xdr:sp macro="" textlink="">
      <xdr:nvSpPr>
        <xdr:cNvPr id="51" name="Text Box 225">
          <a:extLst>
            <a:ext uri="{FF2B5EF4-FFF2-40B4-BE49-F238E27FC236}">
              <a16:creationId xmlns:a16="http://schemas.microsoft.com/office/drawing/2014/main" id="{00000000-0008-0000-0100-000033000000}"/>
            </a:ext>
          </a:extLst>
        </xdr:cNvPr>
        <xdr:cNvSpPr txBox="1">
          <a:spLocks noChangeArrowheads="1"/>
        </xdr:cNvSpPr>
      </xdr:nvSpPr>
      <xdr:spPr bwMode="auto">
        <a:xfrm>
          <a:off x="1126561" y="1261008"/>
          <a:ext cx="340023" cy="202643"/>
        </a:xfrm>
        <a:prstGeom prst="rect">
          <a:avLst/>
        </a:prstGeom>
        <a:noFill/>
        <a:ln w="9525">
          <a:noFill/>
          <a:miter lim="800000"/>
          <a:headEnd/>
          <a:tailEnd/>
        </a:ln>
      </xdr:spPr>
      <xdr:txBody>
        <a:bodyPr vertOverflow="clip" wrap="square" lIns="27432" tIns="27432" rIns="0" bIns="0" anchor="ctr" upright="1"/>
        <a:lstStyle/>
        <a:p>
          <a:pPr algn="ctr"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FB1</a:t>
          </a:r>
        </a:p>
      </xdr:txBody>
    </xdr:sp>
    <xdr:clientData/>
  </xdr:twoCellAnchor>
  <xdr:twoCellAnchor>
    <xdr:from>
      <xdr:col>0</xdr:col>
      <xdr:colOff>392906</xdr:colOff>
      <xdr:row>7</xdr:row>
      <xdr:rowOff>84728</xdr:rowOff>
    </xdr:from>
    <xdr:to>
      <xdr:col>1</xdr:col>
      <xdr:colOff>82687</xdr:colOff>
      <xdr:row>9</xdr:row>
      <xdr:rowOff>3635</xdr:rowOff>
    </xdr:to>
    <xdr:sp macro="" textlink="">
      <xdr:nvSpPr>
        <xdr:cNvPr id="52" name="Text Box 227">
          <a:extLst>
            <a:ext uri="{FF2B5EF4-FFF2-40B4-BE49-F238E27FC236}">
              <a16:creationId xmlns:a16="http://schemas.microsoft.com/office/drawing/2014/main" id="{00000000-0008-0000-0100-000034000000}"/>
            </a:ext>
          </a:extLst>
        </xdr:cNvPr>
        <xdr:cNvSpPr txBox="1">
          <a:spLocks noChangeArrowheads="1"/>
        </xdr:cNvSpPr>
      </xdr:nvSpPr>
      <xdr:spPr bwMode="auto">
        <a:xfrm>
          <a:off x="392906" y="1218203"/>
          <a:ext cx="270806" cy="242757"/>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C2</a:t>
          </a:r>
        </a:p>
      </xdr:txBody>
    </xdr:sp>
    <xdr:clientData/>
  </xdr:twoCellAnchor>
  <xdr:twoCellAnchor>
    <xdr:from>
      <xdr:col>8</xdr:col>
      <xdr:colOff>182593</xdr:colOff>
      <xdr:row>17</xdr:row>
      <xdr:rowOff>150216</xdr:rowOff>
    </xdr:from>
    <xdr:to>
      <xdr:col>8</xdr:col>
      <xdr:colOff>601693</xdr:colOff>
      <xdr:row>19</xdr:row>
      <xdr:rowOff>46434</xdr:rowOff>
    </xdr:to>
    <xdr:sp macro="" textlink="">
      <xdr:nvSpPr>
        <xdr:cNvPr id="53" name="Text Box 228">
          <a:extLst>
            <a:ext uri="{FF2B5EF4-FFF2-40B4-BE49-F238E27FC236}">
              <a16:creationId xmlns:a16="http://schemas.microsoft.com/office/drawing/2014/main" id="{00000000-0008-0000-0100-000035000000}"/>
            </a:ext>
          </a:extLst>
        </xdr:cNvPr>
        <xdr:cNvSpPr txBox="1">
          <a:spLocks noChangeArrowheads="1"/>
        </xdr:cNvSpPr>
      </xdr:nvSpPr>
      <xdr:spPr bwMode="auto">
        <a:xfrm>
          <a:off x="8421718" y="2902941"/>
          <a:ext cx="419100" cy="220068"/>
        </a:xfrm>
        <a:prstGeom prst="rect">
          <a:avLst/>
        </a:prstGeom>
        <a:noFill/>
        <a:ln w="9525">
          <a:noFill/>
          <a:miter lim="800000"/>
          <a:headEnd/>
          <a:tailEnd/>
        </a:ln>
      </xdr:spPr>
      <xdr:txBody>
        <a:bodyPr vertOverflow="clip" wrap="square" lIns="27432" tIns="27432" rIns="0" bIns="0" anchor="ctr"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OUT</a:t>
          </a:r>
        </a:p>
      </xdr:txBody>
    </xdr:sp>
    <xdr:clientData/>
  </xdr:twoCellAnchor>
  <xdr:twoCellAnchor>
    <xdr:from>
      <xdr:col>4</xdr:col>
      <xdr:colOff>1068707</xdr:colOff>
      <xdr:row>28</xdr:row>
      <xdr:rowOff>83095</xdr:rowOff>
    </xdr:from>
    <xdr:to>
      <xdr:col>5</xdr:col>
      <xdr:colOff>394017</xdr:colOff>
      <xdr:row>30</xdr:row>
      <xdr:rowOff>24870</xdr:rowOff>
    </xdr:to>
    <xdr:sp macro="" textlink="">
      <xdr:nvSpPr>
        <xdr:cNvPr id="54" name="Text Box 231">
          <a:extLst>
            <a:ext uri="{FF2B5EF4-FFF2-40B4-BE49-F238E27FC236}">
              <a16:creationId xmlns:a16="http://schemas.microsoft.com/office/drawing/2014/main" id="{00000000-0008-0000-0100-000036000000}"/>
            </a:ext>
          </a:extLst>
        </xdr:cNvPr>
        <xdr:cNvSpPr txBox="1">
          <a:spLocks noChangeArrowheads="1"/>
        </xdr:cNvSpPr>
      </xdr:nvSpPr>
      <xdr:spPr bwMode="auto">
        <a:xfrm>
          <a:off x="5059682" y="4616995"/>
          <a:ext cx="477835" cy="265625"/>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ILIM</a:t>
          </a:r>
        </a:p>
      </xdr:txBody>
    </xdr:sp>
    <xdr:clientData/>
  </xdr:twoCellAnchor>
  <xdr:twoCellAnchor>
    <xdr:from>
      <xdr:col>7</xdr:col>
      <xdr:colOff>503626</xdr:colOff>
      <xdr:row>12</xdr:row>
      <xdr:rowOff>55909</xdr:rowOff>
    </xdr:from>
    <xdr:to>
      <xdr:col>7</xdr:col>
      <xdr:colOff>846007</xdr:colOff>
      <xdr:row>14</xdr:row>
      <xdr:rowOff>8089</xdr:rowOff>
    </xdr:to>
    <xdr:sp macro="" textlink="">
      <xdr:nvSpPr>
        <xdr:cNvPr id="55" name="Text Box 235">
          <a:extLst>
            <a:ext uri="{FF2B5EF4-FFF2-40B4-BE49-F238E27FC236}">
              <a16:creationId xmlns:a16="http://schemas.microsoft.com/office/drawing/2014/main" id="{00000000-0008-0000-0100-000037000000}"/>
            </a:ext>
          </a:extLst>
        </xdr:cNvPr>
        <xdr:cNvSpPr txBox="1">
          <a:spLocks noChangeArrowheads="1"/>
        </xdr:cNvSpPr>
      </xdr:nvSpPr>
      <xdr:spPr bwMode="auto">
        <a:xfrm>
          <a:off x="7666426" y="1999009"/>
          <a:ext cx="342381" cy="276030"/>
        </a:xfrm>
        <a:prstGeom prst="rect">
          <a:avLst/>
        </a:prstGeom>
        <a:noFill/>
        <a:ln w="9525">
          <a:noFill/>
          <a:miter lim="800000"/>
          <a:headEnd/>
          <a:tailEnd/>
        </a:ln>
      </xdr:spPr>
      <xdr:txBody>
        <a:bodyPr vertOverflow="clip" wrap="square" lIns="27432" tIns="27432" rIns="0" bIns="0" anchor="ctr" upright="1"/>
        <a:lstStyle/>
        <a:p>
          <a:pPr algn="l" rtl="0">
            <a:defRPr sz="1000"/>
          </a:pPr>
          <a:r>
            <a:rPr lang="en-US" sz="1000" b="0" i="0" strike="noStrike">
              <a:solidFill>
                <a:srgbClr val="000000"/>
              </a:solidFill>
              <a:latin typeface="Arial" pitchFamily="34" charset="0"/>
              <a:cs typeface="Arial" pitchFamily="34" charset="0"/>
            </a:rPr>
            <a:t>L</a:t>
          </a:r>
          <a:r>
            <a:rPr lang="en-US" sz="1000" b="0" i="0" strike="noStrike" baseline="-25000">
              <a:solidFill>
                <a:srgbClr val="000000"/>
              </a:solidFill>
              <a:latin typeface="Arial" pitchFamily="34" charset="0"/>
              <a:cs typeface="Arial" pitchFamily="34" charset="0"/>
            </a:rPr>
            <a:t>F</a:t>
          </a:r>
        </a:p>
      </xdr:txBody>
    </xdr:sp>
    <xdr:clientData/>
  </xdr:twoCellAnchor>
  <xdr:twoCellAnchor>
    <xdr:from>
      <xdr:col>7</xdr:col>
      <xdr:colOff>196190</xdr:colOff>
      <xdr:row>18</xdr:row>
      <xdr:rowOff>69496</xdr:rowOff>
    </xdr:from>
    <xdr:to>
      <xdr:col>7</xdr:col>
      <xdr:colOff>521956</xdr:colOff>
      <xdr:row>19</xdr:row>
      <xdr:rowOff>130873</xdr:rowOff>
    </xdr:to>
    <xdr:sp macro="" textlink="">
      <xdr:nvSpPr>
        <xdr:cNvPr id="56" name="Text Box 244">
          <a:extLst>
            <a:ext uri="{FF2B5EF4-FFF2-40B4-BE49-F238E27FC236}">
              <a16:creationId xmlns:a16="http://schemas.microsoft.com/office/drawing/2014/main" id="{00000000-0008-0000-0100-000038000000}"/>
            </a:ext>
          </a:extLst>
        </xdr:cNvPr>
        <xdr:cNvSpPr txBox="1">
          <a:spLocks noChangeArrowheads="1"/>
        </xdr:cNvSpPr>
      </xdr:nvSpPr>
      <xdr:spPr bwMode="auto">
        <a:xfrm>
          <a:off x="7358990" y="2984146"/>
          <a:ext cx="325766" cy="223302"/>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IN</a:t>
          </a:r>
        </a:p>
      </xdr:txBody>
    </xdr:sp>
    <xdr:clientData/>
  </xdr:twoCellAnchor>
  <xdr:twoCellAnchor>
    <xdr:from>
      <xdr:col>5</xdr:col>
      <xdr:colOff>1148244</xdr:colOff>
      <xdr:row>24</xdr:row>
      <xdr:rowOff>154754</xdr:rowOff>
    </xdr:from>
    <xdr:to>
      <xdr:col>6</xdr:col>
      <xdr:colOff>148956</xdr:colOff>
      <xdr:row>26</xdr:row>
      <xdr:rowOff>62361</xdr:rowOff>
    </xdr:to>
    <xdr:sp macro="" textlink="">
      <xdr:nvSpPr>
        <xdr:cNvPr id="57" name="Text Box 249">
          <a:extLst>
            <a:ext uri="{FF2B5EF4-FFF2-40B4-BE49-F238E27FC236}">
              <a16:creationId xmlns:a16="http://schemas.microsoft.com/office/drawing/2014/main" id="{00000000-0008-0000-0100-000039000000}"/>
            </a:ext>
          </a:extLst>
        </xdr:cNvPr>
        <xdr:cNvSpPr txBox="1">
          <a:spLocks noChangeArrowheads="1"/>
        </xdr:cNvSpPr>
      </xdr:nvSpPr>
      <xdr:spPr bwMode="auto">
        <a:xfrm>
          <a:off x="6291744" y="4040954"/>
          <a:ext cx="372312" cy="231457"/>
        </a:xfrm>
        <a:prstGeom prst="rect">
          <a:avLst/>
        </a:prstGeom>
        <a:noFill/>
        <a:ln w="9525">
          <a:noFill/>
          <a:miter lim="800000"/>
          <a:headEnd/>
          <a:tailEnd/>
        </a:ln>
      </xdr:spPr>
      <xdr:txBody>
        <a:bodyPr vertOverflow="clip" wrap="square" lIns="27432" tIns="27432" rIns="0" bIns="0" anchor="ctr"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VCC</a:t>
          </a:r>
        </a:p>
      </xdr:txBody>
    </xdr:sp>
    <xdr:clientData/>
  </xdr:twoCellAnchor>
  <xdr:twoCellAnchor>
    <xdr:from>
      <xdr:col>2</xdr:col>
      <xdr:colOff>623658</xdr:colOff>
      <xdr:row>10</xdr:row>
      <xdr:rowOff>58630</xdr:rowOff>
    </xdr:from>
    <xdr:to>
      <xdr:col>2</xdr:col>
      <xdr:colOff>948432</xdr:colOff>
      <xdr:row>12</xdr:row>
      <xdr:rowOff>8026</xdr:rowOff>
    </xdr:to>
    <xdr:sp macro="" textlink="">
      <xdr:nvSpPr>
        <xdr:cNvPr id="58" name="Text Box 251">
          <a:extLst>
            <a:ext uri="{FF2B5EF4-FFF2-40B4-BE49-F238E27FC236}">
              <a16:creationId xmlns:a16="http://schemas.microsoft.com/office/drawing/2014/main" id="{00000000-0008-0000-0100-00003A000000}"/>
            </a:ext>
          </a:extLst>
        </xdr:cNvPr>
        <xdr:cNvSpPr txBox="1">
          <a:spLocks noChangeArrowheads="1"/>
        </xdr:cNvSpPr>
      </xdr:nvSpPr>
      <xdr:spPr bwMode="auto">
        <a:xfrm>
          <a:off x="2195283" y="1677880"/>
          <a:ext cx="324774" cy="273246"/>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SS</a:t>
          </a:r>
        </a:p>
      </xdr:txBody>
    </xdr:sp>
    <xdr:clientData/>
  </xdr:twoCellAnchor>
  <xdr:twoCellAnchor>
    <xdr:from>
      <xdr:col>2</xdr:col>
      <xdr:colOff>194642</xdr:colOff>
      <xdr:row>25</xdr:row>
      <xdr:rowOff>36345</xdr:rowOff>
    </xdr:from>
    <xdr:to>
      <xdr:col>2</xdr:col>
      <xdr:colOff>559905</xdr:colOff>
      <xdr:row>25</xdr:row>
      <xdr:rowOff>36345</xdr:rowOff>
    </xdr:to>
    <xdr:sp macro="" textlink="">
      <xdr:nvSpPr>
        <xdr:cNvPr id="59" name="Text Box 252">
          <a:extLst>
            <a:ext uri="{FF2B5EF4-FFF2-40B4-BE49-F238E27FC236}">
              <a16:creationId xmlns:a16="http://schemas.microsoft.com/office/drawing/2014/main" id="{00000000-0008-0000-0100-00003B000000}"/>
            </a:ext>
          </a:extLst>
        </xdr:cNvPr>
        <xdr:cNvSpPr txBox="1">
          <a:spLocks noChangeArrowheads="1"/>
        </xdr:cNvSpPr>
      </xdr:nvSpPr>
      <xdr:spPr bwMode="auto">
        <a:xfrm>
          <a:off x="1766267" y="4084470"/>
          <a:ext cx="365263" cy="0"/>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100" b="0" i="0" strike="noStrike">
              <a:solidFill>
                <a:srgbClr val="000000"/>
              </a:solidFill>
              <a:latin typeface="Calibri"/>
            </a:rPr>
            <a:t>R</a:t>
          </a:r>
          <a:r>
            <a:rPr lang="en-US" sz="1100" b="0" i="0" strike="noStrike" baseline="-25000">
              <a:solidFill>
                <a:srgbClr val="000000"/>
              </a:solidFill>
              <a:latin typeface="Calibri"/>
            </a:rPr>
            <a:t>FADJ</a:t>
          </a:r>
        </a:p>
      </xdr:txBody>
    </xdr:sp>
    <xdr:clientData/>
  </xdr:twoCellAnchor>
  <xdr:twoCellAnchor>
    <xdr:from>
      <xdr:col>1</xdr:col>
      <xdr:colOff>77482</xdr:colOff>
      <xdr:row>16</xdr:row>
      <xdr:rowOff>149706</xdr:rowOff>
    </xdr:from>
    <xdr:to>
      <xdr:col>1</xdr:col>
      <xdr:colOff>470678</xdr:colOff>
      <xdr:row>18</xdr:row>
      <xdr:rowOff>46755</xdr:rowOff>
    </xdr:to>
    <xdr:sp macro="" textlink="">
      <xdr:nvSpPr>
        <xdr:cNvPr id="60" name="Text Box 255">
          <a:extLst>
            <a:ext uri="{FF2B5EF4-FFF2-40B4-BE49-F238E27FC236}">
              <a16:creationId xmlns:a16="http://schemas.microsoft.com/office/drawing/2014/main" id="{00000000-0008-0000-0100-00003C000000}"/>
            </a:ext>
          </a:extLst>
        </xdr:cNvPr>
        <xdr:cNvSpPr txBox="1">
          <a:spLocks noChangeArrowheads="1"/>
        </xdr:cNvSpPr>
      </xdr:nvSpPr>
      <xdr:spPr bwMode="auto">
        <a:xfrm>
          <a:off x="658507" y="2740506"/>
          <a:ext cx="393196" cy="220899"/>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FB2</a:t>
          </a:r>
        </a:p>
      </xdr:txBody>
    </xdr:sp>
    <xdr:clientData/>
  </xdr:twoCellAnchor>
  <xdr:twoCellAnchor>
    <xdr:from>
      <xdr:col>1</xdr:col>
      <xdr:colOff>709591</xdr:colOff>
      <xdr:row>15</xdr:row>
      <xdr:rowOff>45347</xdr:rowOff>
    </xdr:from>
    <xdr:to>
      <xdr:col>1</xdr:col>
      <xdr:colOff>949255</xdr:colOff>
      <xdr:row>16</xdr:row>
      <xdr:rowOff>101328</xdr:rowOff>
    </xdr:to>
    <xdr:sp macro="" textlink="">
      <xdr:nvSpPr>
        <xdr:cNvPr id="61" name="Text Box 256">
          <a:extLst>
            <a:ext uri="{FF2B5EF4-FFF2-40B4-BE49-F238E27FC236}">
              <a16:creationId xmlns:a16="http://schemas.microsoft.com/office/drawing/2014/main" id="{00000000-0008-0000-0100-00003D000000}"/>
            </a:ext>
          </a:extLst>
        </xdr:cNvPr>
        <xdr:cNvSpPr txBox="1">
          <a:spLocks noChangeArrowheads="1"/>
        </xdr:cNvSpPr>
      </xdr:nvSpPr>
      <xdr:spPr bwMode="auto">
        <a:xfrm>
          <a:off x="1290616" y="2474222"/>
          <a:ext cx="239664" cy="217906"/>
        </a:xfrm>
        <a:prstGeom prst="rect">
          <a:avLst/>
        </a:prstGeom>
        <a:noFill/>
        <a:ln w="9525">
          <a:noFill/>
          <a:miter lim="800000"/>
          <a:headEnd/>
          <a:tailEnd/>
        </a:ln>
      </xdr:spPr>
      <xdr:txBody>
        <a:bodyPr vertOverflow="clip" wrap="square" lIns="27432" tIns="27432" rIns="0" bIns="0" anchor="t" upright="1"/>
        <a:lstStyle/>
        <a:p>
          <a:pPr algn="r"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C2</a:t>
          </a:r>
        </a:p>
      </xdr:txBody>
    </xdr:sp>
    <xdr:clientData/>
  </xdr:twoCellAnchor>
  <xdr:twoCellAnchor>
    <xdr:from>
      <xdr:col>2</xdr:col>
      <xdr:colOff>64611</xdr:colOff>
      <xdr:row>10</xdr:row>
      <xdr:rowOff>83968</xdr:rowOff>
    </xdr:from>
    <xdr:to>
      <xdr:col>2</xdr:col>
      <xdr:colOff>379660</xdr:colOff>
      <xdr:row>11</xdr:row>
      <xdr:rowOff>158730</xdr:rowOff>
    </xdr:to>
    <xdr:sp macro="" textlink="">
      <xdr:nvSpPr>
        <xdr:cNvPr id="62" name="Text Box 257">
          <a:extLst>
            <a:ext uri="{FF2B5EF4-FFF2-40B4-BE49-F238E27FC236}">
              <a16:creationId xmlns:a16="http://schemas.microsoft.com/office/drawing/2014/main" id="{00000000-0008-0000-0100-00003E000000}"/>
            </a:ext>
          </a:extLst>
        </xdr:cNvPr>
        <xdr:cNvSpPr txBox="1">
          <a:spLocks noChangeArrowheads="1"/>
        </xdr:cNvSpPr>
      </xdr:nvSpPr>
      <xdr:spPr bwMode="auto">
        <a:xfrm>
          <a:off x="1636236" y="1703218"/>
          <a:ext cx="315049" cy="236687"/>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C1</a:t>
          </a:r>
        </a:p>
      </xdr:txBody>
    </xdr:sp>
    <xdr:clientData/>
  </xdr:twoCellAnchor>
  <xdr:twoCellAnchor>
    <xdr:from>
      <xdr:col>1</xdr:col>
      <xdr:colOff>656529</xdr:colOff>
      <xdr:row>10</xdr:row>
      <xdr:rowOff>91531</xdr:rowOff>
    </xdr:from>
    <xdr:to>
      <xdr:col>1</xdr:col>
      <xdr:colOff>963018</xdr:colOff>
      <xdr:row>12</xdr:row>
      <xdr:rowOff>10504</xdr:rowOff>
    </xdr:to>
    <xdr:sp macro="" textlink="">
      <xdr:nvSpPr>
        <xdr:cNvPr id="63" name="Text Box 258">
          <a:extLst>
            <a:ext uri="{FF2B5EF4-FFF2-40B4-BE49-F238E27FC236}">
              <a16:creationId xmlns:a16="http://schemas.microsoft.com/office/drawing/2014/main" id="{00000000-0008-0000-0100-00003F000000}"/>
            </a:ext>
          </a:extLst>
        </xdr:cNvPr>
        <xdr:cNvSpPr txBox="1">
          <a:spLocks noChangeArrowheads="1"/>
        </xdr:cNvSpPr>
      </xdr:nvSpPr>
      <xdr:spPr bwMode="auto">
        <a:xfrm>
          <a:off x="1237554" y="1710781"/>
          <a:ext cx="306489" cy="242823"/>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u="none" strike="noStrike" baseline="0">
              <a:solidFill>
                <a:srgbClr val="000000"/>
              </a:solidFill>
              <a:latin typeface="Arial" pitchFamily="34" charset="0"/>
              <a:cs typeface="Arial" pitchFamily="34" charset="0"/>
            </a:rPr>
            <a:t>R</a:t>
          </a:r>
          <a:r>
            <a:rPr lang="en-US" sz="1000" b="0" i="0" u="none" strike="noStrike" baseline="-25000">
              <a:solidFill>
                <a:srgbClr val="000000"/>
              </a:solidFill>
              <a:latin typeface="Arial" pitchFamily="34" charset="0"/>
              <a:cs typeface="Arial" pitchFamily="34" charset="0"/>
            </a:rPr>
            <a:t>C1</a:t>
          </a:r>
        </a:p>
      </xdr:txBody>
    </xdr:sp>
    <xdr:clientData/>
  </xdr:twoCellAnchor>
  <xdr:twoCellAnchor>
    <xdr:from>
      <xdr:col>5</xdr:col>
      <xdr:colOff>1130403</xdr:colOff>
      <xdr:row>26</xdr:row>
      <xdr:rowOff>35221</xdr:rowOff>
    </xdr:from>
    <xdr:to>
      <xdr:col>6</xdr:col>
      <xdr:colOff>172455</xdr:colOff>
      <xdr:row>27</xdr:row>
      <xdr:rowOff>134605</xdr:rowOff>
    </xdr:to>
    <xdr:sp macro="" textlink="">
      <xdr:nvSpPr>
        <xdr:cNvPr id="64" name="Text Box 260">
          <a:extLst>
            <a:ext uri="{FF2B5EF4-FFF2-40B4-BE49-F238E27FC236}">
              <a16:creationId xmlns:a16="http://schemas.microsoft.com/office/drawing/2014/main" id="{00000000-0008-0000-0100-000040000000}"/>
            </a:ext>
          </a:extLst>
        </xdr:cNvPr>
        <xdr:cNvSpPr txBox="1">
          <a:spLocks noChangeArrowheads="1"/>
        </xdr:cNvSpPr>
      </xdr:nvSpPr>
      <xdr:spPr bwMode="auto">
        <a:xfrm>
          <a:off x="6273903" y="4245271"/>
          <a:ext cx="413652" cy="261309"/>
        </a:xfrm>
        <a:prstGeom prst="rect">
          <a:avLst/>
        </a:prstGeom>
        <a:noFill/>
        <a:ln w="9525">
          <a:noFill/>
          <a:miter lim="800000"/>
          <a:headEnd/>
          <a:tailEnd/>
        </a:ln>
      </xdr:spPr>
      <xdr:txBody>
        <a:bodyPr vertOverflow="clip" wrap="square" lIns="27432" tIns="27432" rIns="0" bIns="0" anchor="ctr" upright="1"/>
        <a:lstStyle/>
        <a:p>
          <a:pPr algn="l" rtl="0">
            <a:defRPr sz="1000"/>
          </a:pPr>
          <a:r>
            <a:rPr lang="en-US" sz="1000" b="0" i="0" strike="noStrike">
              <a:solidFill>
                <a:srgbClr val="000000"/>
              </a:solidFill>
              <a:latin typeface="Arial" pitchFamily="34" charset="0"/>
              <a:cs typeface="Arial" pitchFamily="34" charset="0"/>
            </a:rPr>
            <a:t>2.2</a:t>
          </a:r>
          <a:r>
            <a:rPr lang="el-GR" sz="1000" b="0" i="0" strike="noStrike">
              <a:solidFill>
                <a:srgbClr val="000000"/>
              </a:solidFill>
              <a:latin typeface="Arial" pitchFamily="34" charset="0"/>
              <a:cs typeface="Arial" pitchFamily="34" charset="0"/>
            </a:rPr>
            <a:t>μ</a:t>
          </a:r>
          <a:r>
            <a:rPr lang="en-US" sz="1000" b="0" i="0" strike="noStrike">
              <a:solidFill>
                <a:srgbClr val="000000"/>
              </a:solidFill>
              <a:latin typeface="Arial" pitchFamily="34" charset="0"/>
              <a:cs typeface="Arial" pitchFamily="34" charset="0"/>
            </a:rPr>
            <a:t>F</a:t>
          </a:r>
        </a:p>
      </xdr:txBody>
    </xdr:sp>
    <xdr:clientData/>
  </xdr:twoCellAnchor>
  <xdr:twoCellAnchor>
    <xdr:from>
      <xdr:col>1</xdr:col>
      <xdr:colOff>901558</xdr:colOff>
      <xdr:row>11</xdr:row>
      <xdr:rowOff>96325</xdr:rowOff>
    </xdr:from>
    <xdr:to>
      <xdr:col>2</xdr:col>
      <xdr:colOff>414860</xdr:colOff>
      <xdr:row>13</xdr:row>
      <xdr:rowOff>9831</xdr:rowOff>
    </xdr:to>
    <xdr:sp macro="" textlink="'Variable Management'!B254">
      <xdr:nvSpPr>
        <xdr:cNvPr id="65" name="Text Box 261">
          <a:extLst>
            <a:ext uri="{FF2B5EF4-FFF2-40B4-BE49-F238E27FC236}">
              <a16:creationId xmlns:a16="http://schemas.microsoft.com/office/drawing/2014/main" id="{00000000-0008-0000-0100-000041000000}"/>
            </a:ext>
          </a:extLst>
        </xdr:cNvPr>
        <xdr:cNvSpPr txBox="1">
          <a:spLocks noChangeArrowheads="1" noTextEdit="1"/>
        </xdr:cNvSpPr>
      </xdr:nvSpPr>
      <xdr:spPr bwMode="auto">
        <a:xfrm>
          <a:off x="1482583" y="1877500"/>
          <a:ext cx="503902" cy="237356"/>
        </a:xfrm>
        <a:prstGeom prst="rect">
          <a:avLst/>
        </a:prstGeom>
        <a:noFill/>
        <a:ln w="9525">
          <a:noFill/>
          <a:miter lim="800000"/>
          <a:headEnd/>
          <a:tailEnd/>
        </a:ln>
      </xdr:spPr>
      <xdr:txBody>
        <a:bodyPr vertOverflow="clip" wrap="square" lIns="27432" tIns="22860" rIns="0" bIns="0" anchor="t" upright="1"/>
        <a:lstStyle/>
        <a:p>
          <a:pPr algn="r" rtl="0">
            <a:defRPr sz="1000"/>
          </a:pPr>
          <a:fld id="{491934A6-59AB-480F-A883-A2630DEA4784}" type="TxLink">
            <a:rPr lang="en-US" sz="1000" b="0" i="0" u="none" strike="noStrike" baseline="0">
              <a:solidFill>
                <a:srgbClr val="000000"/>
              </a:solidFill>
              <a:latin typeface="Arial" pitchFamily="34" charset="0"/>
              <a:cs typeface="Arial" pitchFamily="34" charset="0"/>
            </a:rPr>
            <a:pPr algn="r" rtl="0">
              <a:defRPr sz="1000"/>
            </a:pPr>
            <a:t>6.8nF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2</xdr:col>
      <xdr:colOff>142101</xdr:colOff>
      <xdr:row>15</xdr:row>
      <xdr:rowOff>64969</xdr:rowOff>
    </xdr:from>
    <xdr:to>
      <xdr:col>2</xdr:col>
      <xdr:colOff>599960</xdr:colOff>
      <xdr:row>16</xdr:row>
      <xdr:rowOff>123733</xdr:rowOff>
    </xdr:to>
    <xdr:sp macro="" textlink="'Variable Management'!B255">
      <xdr:nvSpPr>
        <xdr:cNvPr id="66" name="Text Box 262">
          <a:extLst>
            <a:ext uri="{FF2B5EF4-FFF2-40B4-BE49-F238E27FC236}">
              <a16:creationId xmlns:a16="http://schemas.microsoft.com/office/drawing/2014/main" id="{00000000-0008-0000-0100-000042000000}"/>
            </a:ext>
          </a:extLst>
        </xdr:cNvPr>
        <xdr:cNvSpPr txBox="1">
          <a:spLocks noChangeArrowheads="1" noTextEdit="1"/>
        </xdr:cNvSpPr>
      </xdr:nvSpPr>
      <xdr:spPr bwMode="auto">
        <a:xfrm>
          <a:off x="1713726" y="2493844"/>
          <a:ext cx="457859" cy="220689"/>
        </a:xfrm>
        <a:prstGeom prst="rect">
          <a:avLst/>
        </a:prstGeom>
        <a:noFill/>
        <a:ln w="9525">
          <a:noFill/>
          <a:miter lim="800000"/>
          <a:headEnd/>
          <a:tailEnd/>
        </a:ln>
      </xdr:spPr>
      <xdr:txBody>
        <a:bodyPr vertOverflow="clip" wrap="square" lIns="27432" tIns="22860" rIns="0" bIns="0" anchor="t" upright="1"/>
        <a:lstStyle/>
        <a:p>
          <a:pPr algn="l" rtl="0">
            <a:defRPr sz="1000"/>
          </a:pPr>
          <a:fld id="{2D8520E2-C481-4B17-83BA-3FA209B7A03A}" type="TxLink">
            <a:rPr lang="en-US" sz="1000" b="0" i="0" u="none" strike="noStrike" baseline="0">
              <a:solidFill>
                <a:srgbClr val="000000"/>
              </a:solidFill>
              <a:latin typeface="Arial" pitchFamily="34" charset="0"/>
              <a:cs typeface="Arial" pitchFamily="34" charset="0"/>
            </a:rPr>
            <a:pPr algn="l" rtl="0">
              <a:defRPr sz="1000"/>
            </a:pPr>
            <a:t>100pF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1</xdr:col>
      <xdr:colOff>515623</xdr:colOff>
      <xdr:row>11</xdr:row>
      <xdr:rowOff>143608</xdr:rowOff>
    </xdr:from>
    <xdr:to>
      <xdr:col>2</xdr:col>
      <xdr:colOff>32208</xdr:colOff>
      <xdr:row>13</xdr:row>
      <xdr:rowOff>44668</xdr:rowOff>
    </xdr:to>
    <xdr:sp macro="" textlink="'Variable Management'!B253">
      <xdr:nvSpPr>
        <xdr:cNvPr id="67" name="Text Box 263">
          <a:extLst>
            <a:ext uri="{FF2B5EF4-FFF2-40B4-BE49-F238E27FC236}">
              <a16:creationId xmlns:a16="http://schemas.microsoft.com/office/drawing/2014/main" id="{00000000-0008-0000-0100-000043000000}"/>
            </a:ext>
          </a:extLst>
        </xdr:cNvPr>
        <xdr:cNvSpPr txBox="1">
          <a:spLocks noChangeArrowheads="1" noTextEdit="1"/>
        </xdr:cNvSpPr>
      </xdr:nvSpPr>
      <xdr:spPr bwMode="auto">
        <a:xfrm>
          <a:off x="1096648" y="1924783"/>
          <a:ext cx="507185" cy="224910"/>
        </a:xfrm>
        <a:prstGeom prst="rect">
          <a:avLst/>
        </a:prstGeom>
        <a:noFill/>
        <a:ln w="9525">
          <a:noFill/>
          <a:miter lim="800000"/>
          <a:headEnd/>
          <a:tailEnd/>
        </a:ln>
      </xdr:spPr>
      <xdr:txBody>
        <a:bodyPr vertOverflow="clip" wrap="square" lIns="27432" tIns="22860" rIns="0" bIns="0" anchor="t" upright="1"/>
        <a:lstStyle/>
        <a:p>
          <a:pPr algn="ctr" rtl="0">
            <a:defRPr sz="1000"/>
          </a:pPr>
          <a:fld id="{EDB14F34-7391-4353-9626-FAE030CE211F}" type="TxLink">
            <a:rPr lang="en-US" sz="1000" b="0" i="0" u="none" strike="noStrike" baseline="0">
              <a:solidFill>
                <a:srgbClr val="000000"/>
              </a:solidFill>
              <a:latin typeface="Arial" pitchFamily="34" charset="0"/>
              <a:cs typeface="Arial" pitchFamily="34" charset="0"/>
            </a:rPr>
            <a:pPr algn="ctr" rtl="0">
              <a:defRPr sz="1000"/>
            </a:pPr>
            <a:t>8.06kΩ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0</xdr:col>
      <xdr:colOff>356528</xdr:colOff>
      <xdr:row>18</xdr:row>
      <xdr:rowOff>61578</xdr:rowOff>
    </xdr:from>
    <xdr:to>
      <xdr:col>1</xdr:col>
      <xdr:colOff>377166</xdr:colOff>
      <xdr:row>19</xdr:row>
      <xdr:rowOff>133733</xdr:rowOff>
    </xdr:to>
    <xdr:sp macro="" textlink="'Variable Management'!B259">
      <xdr:nvSpPr>
        <xdr:cNvPr id="68" name="Text Box 264">
          <a:extLst>
            <a:ext uri="{FF2B5EF4-FFF2-40B4-BE49-F238E27FC236}">
              <a16:creationId xmlns:a16="http://schemas.microsoft.com/office/drawing/2014/main" id="{00000000-0008-0000-0100-000044000000}"/>
            </a:ext>
          </a:extLst>
        </xdr:cNvPr>
        <xdr:cNvSpPr txBox="1">
          <a:spLocks noChangeArrowheads="1" noTextEdit="1"/>
        </xdr:cNvSpPr>
      </xdr:nvSpPr>
      <xdr:spPr bwMode="auto">
        <a:xfrm>
          <a:off x="356528" y="2976228"/>
          <a:ext cx="601663" cy="234080"/>
        </a:xfrm>
        <a:prstGeom prst="rect">
          <a:avLst/>
        </a:prstGeom>
        <a:noFill/>
        <a:ln w="9525">
          <a:noFill/>
          <a:miter lim="800000"/>
          <a:headEnd/>
          <a:tailEnd/>
        </a:ln>
      </xdr:spPr>
      <xdr:txBody>
        <a:bodyPr vertOverflow="clip" wrap="square" lIns="27432" tIns="22860" rIns="0" bIns="0" anchor="t" upright="1"/>
        <a:lstStyle/>
        <a:p>
          <a:pPr algn="r" rtl="0">
            <a:defRPr sz="1000"/>
          </a:pPr>
          <a:fld id="{4143709D-01BC-4A19-AF00-5C62DAE21E0B}" type="TxLink">
            <a:rPr lang="en-US" sz="1000" b="0" i="0" u="none" strike="noStrike" baseline="0">
              <a:solidFill>
                <a:srgbClr val="000000"/>
              </a:solidFill>
              <a:latin typeface="Arial" pitchFamily="34" charset="0"/>
              <a:cs typeface="Arial" pitchFamily="34" charset="0"/>
            </a:rPr>
            <a:pPr algn="r" rtl="0">
              <a:defRPr sz="1000"/>
            </a:pPr>
            <a:t>1.5kΩ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0</xdr:col>
      <xdr:colOff>244965</xdr:colOff>
      <xdr:row>8</xdr:row>
      <xdr:rowOff>134872</xdr:rowOff>
    </xdr:from>
    <xdr:to>
      <xdr:col>1</xdr:col>
      <xdr:colOff>68096</xdr:colOff>
      <xdr:row>10</xdr:row>
      <xdr:rowOff>74137</xdr:rowOff>
    </xdr:to>
    <xdr:sp macro="" textlink="'Variable Management'!B256">
      <xdr:nvSpPr>
        <xdr:cNvPr id="69" name="Text Box 265">
          <a:extLst>
            <a:ext uri="{FF2B5EF4-FFF2-40B4-BE49-F238E27FC236}">
              <a16:creationId xmlns:a16="http://schemas.microsoft.com/office/drawing/2014/main" id="{00000000-0008-0000-0100-000045000000}"/>
            </a:ext>
          </a:extLst>
        </xdr:cNvPr>
        <xdr:cNvSpPr txBox="1">
          <a:spLocks noChangeArrowheads="1" noTextEdit="1"/>
        </xdr:cNvSpPr>
      </xdr:nvSpPr>
      <xdr:spPr bwMode="auto">
        <a:xfrm>
          <a:off x="244965" y="1430272"/>
          <a:ext cx="404156" cy="263115"/>
        </a:xfrm>
        <a:prstGeom prst="rect">
          <a:avLst/>
        </a:prstGeom>
        <a:noFill/>
        <a:ln w="9525">
          <a:noFill/>
          <a:miter lim="800000"/>
          <a:headEnd/>
          <a:tailEnd/>
        </a:ln>
      </xdr:spPr>
      <xdr:txBody>
        <a:bodyPr vertOverflow="clip" wrap="square" lIns="27432" tIns="22860" rIns="0" bIns="0" anchor="t" upright="1"/>
        <a:lstStyle/>
        <a:p>
          <a:pPr algn="r" rtl="0">
            <a:defRPr sz="1000"/>
          </a:pPr>
          <a:fld id="{8A5847E3-10F5-4FFF-8A55-57AE8AD8F48A}" type="TxLink">
            <a:rPr lang="el-GR" sz="1000" b="0" i="0" u="none" strike="noStrike" baseline="0">
              <a:solidFill>
                <a:srgbClr val="000000"/>
              </a:solidFill>
              <a:latin typeface="Arial" pitchFamily="34" charset="0"/>
              <a:cs typeface="Arial" pitchFamily="34" charset="0"/>
            </a:rPr>
            <a:pPr algn="r" rtl="0">
              <a:defRPr sz="1000"/>
            </a:pPr>
            <a:t>51.1Ω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0</xdr:col>
      <xdr:colOff>204878</xdr:colOff>
      <xdr:row>11</xdr:row>
      <xdr:rowOff>154348</xdr:rowOff>
    </xdr:from>
    <xdr:to>
      <xdr:col>1</xdr:col>
      <xdr:colOff>112423</xdr:colOff>
      <xdr:row>13</xdr:row>
      <xdr:rowOff>14971</xdr:rowOff>
    </xdr:to>
    <xdr:sp macro="" textlink="'Variable Management'!B257">
      <xdr:nvSpPr>
        <xdr:cNvPr id="70" name="Text Box 266">
          <a:extLst>
            <a:ext uri="{FF2B5EF4-FFF2-40B4-BE49-F238E27FC236}">
              <a16:creationId xmlns:a16="http://schemas.microsoft.com/office/drawing/2014/main" id="{00000000-0008-0000-0100-000046000000}"/>
            </a:ext>
          </a:extLst>
        </xdr:cNvPr>
        <xdr:cNvSpPr txBox="1">
          <a:spLocks noChangeArrowheads="1" noTextEdit="1"/>
        </xdr:cNvSpPr>
      </xdr:nvSpPr>
      <xdr:spPr bwMode="auto">
        <a:xfrm>
          <a:off x="204878" y="1935523"/>
          <a:ext cx="488570" cy="184473"/>
        </a:xfrm>
        <a:prstGeom prst="rect">
          <a:avLst/>
        </a:prstGeom>
        <a:noFill/>
        <a:ln w="9525">
          <a:noFill/>
          <a:miter lim="800000"/>
          <a:headEnd/>
          <a:tailEnd/>
        </a:ln>
      </xdr:spPr>
      <xdr:txBody>
        <a:bodyPr vertOverflow="clip" wrap="square" lIns="27432" tIns="22860" rIns="0" bIns="0" anchor="t" upright="1"/>
        <a:lstStyle/>
        <a:p>
          <a:pPr algn="r" rtl="0">
            <a:defRPr sz="1000"/>
          </a:pPr>
          <a:fld id="{6C3BF70F-B67A-49A8-941F-821453611716}" type="TxLink">
            <a:rPr lang="en-US" sz="1000" b="0" i="0" u="none" strike="noStrike" baseline="0">
              <a:solidFill>
                <a:srgbClr val="000000"/>
              </a:solidFill>
              <a:latin typeface="Arial" pitchFamily="34" charset="0"/>
              <a:cs typeface="Arial" pitchFamily="34" charset="0"/>
            </a:rPr>
            <a:pPr algn="r" rtl="0">
              <a:defRPr sz="1000"/>
            </a:pPr>
            <a:t>1000pF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8</xdr:col>
      <xdr:colOff>177936</xdr:colOff>
      <xdr:row>19</xdr:row>
      <xdr:rowOff>59573</xdr:rowOff>
    </xdr:from>
    <xdr:to>
      <xdr:col>8</xdr:col>
      <xdr:colOff>678835</xdr:colOff>
      <xdr:row>20</xdr:row>
      <xdr:rowOff>104600</xdr:rowOff>
    </xdr:to>
    <xdr:sp macro="" textlink="'Variable Management'!B243">
      <xdr:nvSpPr>
        <xdr:cNvPr id="71" name="Text Box 267">
          <a:extLst>
            <a:ext uri="{FF2B5EF4-FFF2-40B4-BE49-F238E27FC236}">
              <a16:creationId xmlns:a16="http://schemas.microsoft.com/office/drawing/2014/main" id="{00000000-0008-0000-0100-000047000000}"/>
            </a:ext>
          </a:extLst>
        </xdr:cNvPr>
        <xdr:cNvSpPr txBox="1">
          <a:spLocks noChangeArrowheads="1" noTextEdit="1"/>
        </xdr:cNvSpPr>
      </xdr:nvSpPr>
      <xdr:spPr bwMode="auto">
        <a:xfrm>
          <a:off x="8417061" y="3136148"/>
          <a:ext cx="500899" cy="206952"/>
        </a:xfrm>
        <a:prstGeom prst="rect">
          <a:avLst/>
        </a:prstGeom>
        <a:noFill/>
        <a:ln w="9525">
          <a:noFill/>
          <a:miter lim="800000"/>
          <a:headEnd/>
          <a:tailEnd/>
        </a:ln>
      </xdr:spPr>
      <xdr:txBody>
        <a:bodyPr vertOverflow="clip" wrap="square" lIns="27432" tIns="22860" rIns="0" bIns="0" anchor="ctr" upright="1"/>
        <a:lstStyle/>
        <a:p>
          <a:pPr algn="l" rtl="0">
            <a:defRPr sz="1000"/>
          </a:pPr>
          <a:fld id="{DEF62FD0-959B-4627-B7E8-61CA1688D174}" type="TxLink">
            <a:rPr lang="en-US" sz="1000" b="0" i="0" u="none" strike="noStrike" baseline="0">
              <a:solidFill>
                <a:srgbClr val="000000"/>
              </a:solidFill>
              <a:latin typeface="Arial" pitchFamily="34" charset="0"/>
              <a:cs typeface="Arial" pitchFamily="34" charset="0"/>
            </a:rPr>
            <a:pPr algn="l" rtl="0">
              <a:defRPr sz="1000"/>
            </a:pPr>
            <a:t>50µF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1</xdr:col>
      <xdr:colOff>566257</xdr:colOff>
      <xdr:row>8</xdr:row>
      <xdr:rowOff>121777</xdr:rowOff>
    </xdr:from>
    <xdr:to>
      <xdr:col>2</xdr:col>
      <xdr:colOff>96724</xdr:colOff>
      <xdr:row>10</xdr:row>
      <xdr:rowOff>98078</xdr:rowOff>
    </xdr:to>
    <xdr:sp macro="" textlink="'Variable Management'!B258">
      <xdr:nvSpPr>
        <xdr:cNvPr id="72" name="Text Box 268">
          <a:extLst>
            <a:ext uri="{FF2B5EF4-FFF2-40B4-BE49-F238E27FC236}">
              <a16:creationId xmlns:a16="http://schemas.microsoft.com/office/drawing/2014/main" id="{00000000-0008-0000-0100-000048000000}"/>
            </a:ext>
          </a:extLst>
        </xdr:cNvPr>
        <xdr:cNvSpPr txBox="1">
          <a:spLocks noChangeArrowheads="1" noTextEdit="1"/>
        </xdr:cNvSpPr>
      </xdr:nvSpPr>
      <xdr:spPr bwMode="auto">
        <a:xfrm>
          <a:off x="1147282" y="1417177"/>
          <a:ext cx="521067" cy="300151"/>
        </a:xfrm>
        <a:prstGeom prst="rect">
          <a:avLst/>
        </a:prstGeom>
        <a:noFill/>
        <a:ln w="9525">
          <a:noFill/>
          <a:miter lim="800000"/>
          <a:headEnd/>
          <a:tailEnd/>
        </a:ln>
      </xdr:spPr>
      <xdr:txBody>
        <a:bodyPr vertOverflow="clip" wrap="square" lIns="27432" tIns="22860" rIns="0" bIns="0" anchor="ctr" upright="1"/>
        <a:lstStyle/>
        <a:p>
          <a:pPr algn="l" rtl="0">
            <a:defRPr sz="1000"/>
          </a:pPr>
          <a:fld id="{DE4FB3C5-779F-4472-8885-3DB2A25A3AD8}" type="TxLink">
            <a:rPr lang="en-US" sz="1000" b="0" i="0" u="none" strike="noStrike">
              <a:solidFill>
                <a:srgbClr val="000000"/>
              </a:solidFill>
              <a:latin typeface="Arial" pitchFamily="34" charset="0"/>
              <a:cs typeface="Arial" pitchFamily="34" charset="0"/>
            </a:rPr>
            <a:pPr algn="l" rtl="0">
              <a:defRPr sz="1000"/>
            </a:pPr>
            <a:t>21kΩ</a:t>
          </a:fld>
          <a:endParaRPr lang="el-GR" sz="1000" b="0" i="0" strike="noStrike">
            <a:solidFill>
              <a:srgbClr val="000000"/>
            </a:solidFill>
            <a:latin typeface="Arial" pitchFamily="34" charset="0"/>
            <a:cs typeface="Arial" pitchFamily="34" charset="0"/>
          </a:endParaRPr>
        </a:p>
      </xdr:txBody>
    </xdr:sp>
    <xdr:clientData/>
  </xdr:twoCellAnchor>
  <xdr:twoCellAnchor>
    <xdr:from>
      <xdr:col>4</xdr:col>
      <xdr:colOff>1061314</xdr:colOff>
      <xdr:row>29</xdr:row>
      <xdr:rowOff>133626</xdr:rowOff>
    </xdr:from>
    <xdr:to>
      <xdr:col>5</xdr:col>
      <xdr:colOff>482771</xdr:colOff>
      <xdr:row>31</xdr:row>
      <xdr:rowOff>28691</xdr:rowOff>
    </xdr:to>
    <xdr:sp macro="" textlink="'Variable Management'!B268">
      <xdr:nvSpPr>
        <xdr:cNvPr id="73" name="Text Box 270">
          <a:extLst>
            <a:ext uri="{FF2B5EF4-FFF2-40B4-BE49-F238E27FC236}">
              <a16:creationId xmlns:a16="http://schemas.microsoft.com/office/drawing/2014/main" id="{00000000-0008-0000-0100-000049000000}"/>
            </a:ext>
          </a:extLst>
        </xdr:cNvPr>
        <xdr:cNvSpPr txBox="1">
          <a:spLocks noChangeArrowheads="1" noTextEdit="1"/>
        </xdr:cNvSpPr>
      </xdr:nvSpPr>
      <xdr:spPr bwMode="auto">
        <a:xfrm>
          <a:off x="5052289" y="4829451"/>
          <a:ext cx="573982" cy="218915"/>
        </a:xfrm>
        <a:prstGeom prst="rect">
          <a:avLst/>
        </a:prstGeom>
        <a:noFill/>
        <a:ln w="9525">
          <a:noFill/>
          <a:miter lim="800000"/>
          <a:headEnd/>
          <a:tailEnd/>
        </a:ln>
      </xdr:spPr>
      <xdr:txBody>
        <a:bodyPr vertOverflow="clip" wrap="square" lIns="27432" tIns="22860" rIns="0" bIns="0" anchor="t" upright="1"/>
        <a:lstStyle/>
        <a:p>
          <a:pPr algn="l" rtl="0">
            <a:defRPr sz="1000"/>
          </a:pPr>
          <a:fld id="{07E99D9F-90DD-4315-B69B-BBFCCDB8D767}" type="TxLink">
            <a:rPr lang="en-US" sz="1000" b="0" i="0" u="none" strike="noStrike" baseline="0">
              <a:solidFill>
                <a:srgbClr val="000000"/>
              </a:solidFill>
              <a:latin typeface="Arial"/>
              <a:cs typeface="Arial"/>
            </a:rPr>
            <a:pPr algn="l" rtl="0">
              <a:defRPr sz="1000"/>
            </a:pPr>
            <a:t>590Ω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7</xdr:col>
      <xdr:colOff>343183</xdr:colOff>
      <xdr:row>15</xdr:row>
      <xdr:rowOff>57751</xdr:rowOff>
    </xdr:from>
    <xdr:to>
      <xdr:col>7</xdr:col>
      <xdr:colOff>794653</xdr:colOff>
      <xdr:row>17</xdr:row>
      <xdr:rowOff>4762</xdr:rowOff>
    </xdr:to>
    <xdr:sp macro="" textlink="'Variable Management'!B238">
      <xdr:nvSpPr>
        <xdr:cNvPr id="74" name="Text Box 275">
          <a:extLst>
            <a:ext uri="{FF2B5EF4-FFF2-40B4-BE49-F238E27FC236}">
              <a16:creationId xmlns:a16="http://schemas.microsoft.com/office/drawing/2014/main" id="{00000000-0008-0000-0100-00004A000000}"/>
            </a:ext>
          </a:extLst>
        </xdr:cNvPr>
        <xdr:cNvSpPr txBox="1">
          <a:spLocks noChangeArrowheads="1" noTextEdit="1"/>
        </xdr:cNvSpPr>
      </xdr:nvSpPr>
      <xdr:spPr bwMode="auto">
        <a:xfrm>
          <a:off x="7505983" y="2486626"/>
          <a:ext cx="451470" cy="270861"/>
        </a:xfrm>
        <a:prstGeom prst="rect">
          <a:avLst/>
        </a:prstGeom>
        <a:noFill/>
        <a:ln w="9525">
          <a:noFill/>
          <a:miter lim="800000"/>
          <a:headEnd/>
          <a:tailEnd/>
        </a:ln>
      </xdr:spPr>
      <xdr:txBody>
        <a:bodyPr vertOverflow="clip" wrap="square" lIns="27432" tIns="22860" rIns="0" bIns="0" anchor="ctr" upright="1"/>
        <a:lstStyle/>
        <a:p>
          <a:pPr algn="ctr" rtl="0">
            <a:defRPr sz="1000"/>
          </a:pPr>
          <a:fld id="{08583DE7-3129-476B-98BE-2887A134E956}" type="TxLink">
            <a:rPr lang="en-US" sz="1000" b="0" i="0" u="none" strike="noStrike" baseline="0">
              <a:solidFill>
                <a:srgbClr val="000000"/>
              </a:solidFill>
              <a:latin typeface="Arial" pitchFamily="34" charset="0"/>
              <a:cs typeface="Arial" pitchFamily="34" charset="0"/>
            </a:rPr>
            <a:pPr algn="ctr" rtl="0">
              <a:defRPr sz="1000"/>
            </a:pPr>
            <a:t>6.8µH</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7</xdr:col>
      <xdr:colOff>177360</xdr:colOff>
      <xdr:row>19</xdr:row>
      <xdr:rowOff>98873</xdr:rowOff>
    </xdr:from>
    <xdr:to>
      <xdr:col>7</xdr:col>
      <xdr:colOff>650035</xdr:colOff>
      <xdr:row>20</xdr:row>
      <xdr:rowOff>158477</xdr:rowOff>
    </xdr:to>
    <xdr:sp macro="" textlink="'Variable Management'!B248">
      <xdr:nvSpPr>
        <xdr:cNvPr id="75" name="Text Box 276">
          <a:extLst>
            <a:ext uri="{FF2B5EF4-FFF2-40B4-BE49-F238E27FC236}">
              <a16:creationId xmlns:a16="http://schemas.microsoft.com/office/drawing/2014/main" id="{00000000-0008-0000-0100-00004B000000}"/>
            </a:ext>
          </a:extLst>
        </xdr:cNvPr>
        <xdr:cNvSpPr txBox="1">
          <a:spLocks noChangeArrowheads="1" noTextEdit="1"/>
        </xdr:cNvSpPr>
      </xdr:nvSpPr>
      <xdr:spPr bwMode="auto">
        <a:xfrm>
          <a:off x="7340160" y="3175448"/>
          <a:ext cx="472675" cy="221529"/>
        </a:xfrm>
        <a:prstGeom prst="rect">
          <a:avLst/>
        </a:prstGeom>
        <a:noFill/>
        <a:ln w="9525">
          <a:noFill/>
          <a:miter lim="800000"/>
          <a:headEnd/>
          <a:tailEnd/>
        </a:ln>
      </xdr:spPr>
      <xdr:txBody>
        <a:bodyPr vertOverflow="clip" wrap="square" lIns="27432" tIns="22860" rIns="0" bIns="0" anchor="ctr" upright="1"/>
        <a:lstStyle/>
        <a:p>
          <a:pPr algn="l" rtl="0">
            <a:defRPr sz="1000"/>
          </a:pPr>
          <a:fld id="{7E8F3901-1453-4951-8E28-510E65401D4C}" type="TxLink">
            <a:rPr lang="en-US" sz="1000" b="0" i="0" u="none" strike="noStrike" baseline="0">
              <a:solidFill>
                <a:srgbClr val="000000"/>
              </a:solidFill>
              <a:latin typeface="Arial" pitchFamily="34" charset="0"/>
              <a:cs typeface="Arial" pitchFamily="34" charset="0"/>
            </a:rPr>
            <a:pPr algn="l" rtl="0">
              <a:defRPr sz="1000"/>
            </a:pPr>
            <a:t>18µF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5</xdr:col>
      <xdr:colOff>821818</xdr:colOff>
      <xdr:row>7</xdr:row>
      <xdr:rowOff>18235</xdr:rowOff>
    </xdr:from>
    <xdr:to>
      <xdr:col>5</xdr:col>
      <xdr:colOff>1193296</xdr:colOff>
      <xdr:row>8</xdr:row>
      <xdr:rowOff>91321</xdr:rowOff>
    </xdr:to>
    <xdr:sp macro="" textlink="">
      <xdr:nvSpPr>
        <xdr:cNvPr id="76" name="Text Box 279">
          <a:extLst>
            <a:ext uri="{FF2B5EF4-FFF2-40B4-BE49-F238E27FC236}">
              <a16:creationId xmlns:a16="http://schemas.microsoft.com/office/drawing/2014/main" id="{00000000-0008-0000-0100-00004C000000}"/>
            </a:ext>
          </a:extLst>
        </xdr:cNvPr>
        <xdr:cNvSpPr txBox="1">
          <a:spLocks noChangeArrowheads="1"/>
        </xdr:cNvSpPr>
      </xdr:nvSpPr>
      <xdr:spPr bwMode="auto">
        <a:xfrm>
          <a:off x="5965318" y="1151710"/>
          <a:ext cx="371478" cy="235011"/>
        </a:xfrm>
        <a:prstGeom prst="rect">
          <a:avLst/>
        </a:prstGeom>
        <a:noFill/>
        <a:ln w="9525">
          <a:noFill/>
          <a:miter lim="800000"/>
          <a:headEnd/>
          <a:tailEnd/>
        </a:ln>
      </xdr:spPr>
      <xdr:txBody>
        <a:bodyPr vertOverflow="clip" wrap="square" lIns="27432" tIns="27432" rIns="0" bIns="0" anchor="ctr" upright="1"/>
        <a:lstStyle/>
        <a:p>
          <a:pPr marL="0" marR="0" indent="0" algn="ctr" defTabSz="914400" rtl="0" eaLnBrk="1" fontAlgn="auto" latinLnBrk="0" hangingPunct="1">
            <a:lnSpc>
              <a:spcPct val="100000"/>
            </a:lnSpc>
            <a:spcBef>
              <a:spcPts val="0"/>
            </a:spcBef>
            <a:spcAft>
              <a:spcPts val="0"/>
            </a:spcAft>
            <a:buClrTx/>
            <a:buSzTx/>
            <a:buFontTx/>
            <a:buNone/>
            <a:tabLst/>
            <a:defRPr sz="1000"/>
          </a:pPr>
          <a:r>
            <a:rPr lang="en-US" sz="1000" b="0" i="0">
              <a:latin typeface="Arial" pitchFamily="34" charset="0"/>
              <a:ea typeface="+mn-ea"/>
              <a:cs typeface="Arial" pitchFamily="34" charset="0"/>
            </a:rPr>
            <a:t>0.1</a:t>
          </a:r>
          <a:r>
            <a:rPr lang="el-GR" sz="1000" b="0" i="0">
              <a:latin typeface="Arial" pitchFamily="34" charset="0"/>
              <a:ea typeface="+mn-ea"/>
              <a:cs typeface="Arial" pitchFamily="34" charset="0"/>
            </a:rPr>
            <a:t>μ</a:t>
          </a:r>
          <a:r>
            <a:rPr lang="en-US" sz="1000" b="0" i="0">
              <a:latin typeface="Arial" pitchFamily="34" charset="0"/>
              <a:ea typeface="+mn-ea"/>
              <a:cs typeface="Arial" pitchFamily="34" charset="0"/>
            </a:rPr>
            <a:t>F</a:t>
          </a:r>
          <a:endParaRPr lang="en-US" sz="1000">
            <a:latin typeface="Arial" pitchFamily="34" charset="0"/>
            <a:cs typeface="Arial" pitchFamily="34" charset="0"/>
          </a:endParaRPr>
        </a:p>
      </xdr:txBody>
    </xdr:sp>
    <xdr:clientData/>
  </xdr:twoCellAnchor>
  <xdr:twoCellAnchor>
    <xdr:from>
      <xdr:col>2</xdr:col>
      <xdr:colOff>605783</xdr:colOff>
      <xdr:row>11</xdr:row>
      <xdr:rowOff>155763</xdr:rowOff>
    </xdr:from>
    <xdr:to>
      <xdr:col>2</xdr:col>
      <xdr:colOff>959407</xdr:colOff>
      <xdr:row>13</xdr:row>
      <xdr:rowOff>66735</xdr:rowOff>
    </xdr:to>
    <xdr:sp macro="" textlink="'Variable Management'!B276">
      <xdr:nvSpPr>
        <xdr:cNvPr id="77" name="Text Box 281">
          <a:extLst>
            <a:ext uri="{FF2B5EF4-FFF2-40B4-BE49-F238E27FC236}">
              <a16:creationId xmlns:a16="http://schemas.microsoft.com/office/drawing/2014/main" id="{00000000-0008-0000-0100-00004D000000}"/>
            </a:ext>
          </a:extLst>
        </xdr:cNvPr>
        <xdr:cNvSpPr txBox="1">
          <a:spLocks noChangeArrowheads="1" noTextEdit="1"/>
        </xdr:cNvSpPr>
      </xdr:nvSpPr>
      <xdr:spPr bwMode="auto">
        <a:xfrm>
          <a:off x="2177408" y="1936938"/>
          <a:ext cx="353624" cy="234822"/>
        </a:xfrm>
        <a:prstGeom prst="rect">
          <a:avLst/>
        </a:prstGeom>
        <a:noFill/>
        <a:ln w="9525">
          <a:noFill/>
          <a:miter lim="800000"/>
          <a:headEnd/>
          <a:tailEnd/>
        </a:ln>
      </xdr:spPr>
      <xdr:txBody>
        <a:bodyPr vertOverflow="clip" wrap="square" lIns="27432" tIns="22860" rIns="0" bIns="0" anchor="t" upright="1"/>
        <a:lstStyle/>
        <a:p>
          <a:pPr algn="l" rtl="0">
            <a:defRPr sz="1000"/>
          </a:pPr>
          <a:fld id="{77460045-3ADA-4E36-A50B-8C5C548E137C}" type="TxLink">
            <a:rPr lang="en-US" sz="1000" b="0" i="0" u="none" strike="noStrike">
              <a:solidFill>
                <a:srgbClr val="000000"/>
              </a:solidFill>
              <a:latin typeface="Arial" pitchFamily="34" charset="0"/>
              <a:cs typeface="Arial" pitchFamily="34" charset="0"/>
            </a:rPr>
            <a:pPr algn="l" rtl="0">
              <a:defRPr sz="1000"/>
            </a:pPr>
            <a:t>47nF</a:t>
          </a:fld>
          <a:endParaRPr lang="en-US" sz="1000" b="0" i="0" strike="noStrike">
            <a:solidFill>
              <a:srgbClr val="000000"/>
            </a:solidFill>
            <a:latin typeface="Arial" pitchFamily="34" charset="0"/>
            <a:cs typeface="Arial" pitchFamily="34" charset="0"/>
          </a:endParaRPr>
        </a:p>
      </xdr:txBody>
    </xdr:sp>
    <xdr:clientData/>
  </xdr:twoCellAnchor>
  <xdr:twoCellAnchor>
    <xdr:from>
      <xdr:col>7</xdr:col>
      <xdr:colOff>150027</xdr:colOff>
      <xdr:row>5</xdr:row>
      <xdr:rowOff>138246</xdr:rowOff>
    </xdr:from>
    <xdr:to>
      <xdr:col>7</xdr:col>
      <xdr:colOff>518367</xdr:colOff>
      <xdr:row>7</xdr:row>
      <xdr:rowOff>58919</xdr:rowOff>
    </xdr:to>
    <xdr:sp macro="" textlink="'Variable Management'!B280">
      <xdr:nvSpPr>
        <xdr:cNvPr id="78" name="Text Box 283">
          <a:extLst>
            <a:ext uri="{FF2B5EF4-FFF2-40B4-BE49-F238E27FC236}">
              <a16:creationId xmlns:a16="http://schemas.microsoft.com/office/drawing/2014/main" id="{00000000-0008-0000-0100-00004E000000}"/>
            </a:ext>
          </a:extLst>
        </xdr:cNvPr>
        <xdr:cNvSpPr txBox="1">
          <a:spLocks noChangeArrowheads="1" noTextEdit="1"/>
        </xdr:cNvSpPr>
      </xdr:nvSpPr>
      <xdr:spPr bwMode="auto">
        <a:xfrm>
          <a:off x="7302436" y="960860"/>
          <a:ext cx="368340" cy="249718"/>
        </a:xfrm>
        <a:prstGeom prst="rect">
          <a:avLst/>
        </a:prstGeom>
        <a:noFill/>
        <a:ln w="9525">
          <a:noFill/>
          <a:miter lim="800000"/>
          <a:headEnd/>
          <a:tailEnd/>
        </a:ln>
      </xdr:spPr>
      <xdr:txBody>
        <a:bodyPr vertOverflow="clip" wrap="square" lIns="27432" tIns="22860" rIns="0" bIns="0" anchor="t" upright="1"/>
        <a:lstStyle/>
        <a:p>
          <a:pPr algn="l" rtl="0">
            <a:defRPr sz="1000"/>
          </a:pPr>
          <a:fld id="{211B0151-B00E-493E-8C8F-6E492416D93B}" type="TxLink">
            <a:rPr lang="en-US" sz="1200" b="1" i="0" u="none" strike="noStrike">
              <a:solidFill>
                <a:srgbClr val="FF0000"/>
              </a:solidFill>
              <a:latin typeface="Arial" pitchFamily="34" charset="0"/>
              <a:cs typeface="Arial" pitchFamily="34" charset="0"/>
            </a:rPr>
            <a:pPr algn="l" rtl="0">
              <a:defRPr sz="1000"/>
            </a:pPr>
            <a:t>24V</a:t>
          </a:fld>
          <a:endParaRPr lang="en-US" sz="1200" b="1" i="0" strike="noStrike">
            <a:solidFill>
              <a:srgbClr val="FF0000"/>
            </a:solidFill>
            <a:latin typeface="Arial" pitchFamily="34" charset="0"/>
            <a:cs typeface="Arial" pitchFamily="34" charset="0"/>
          </a:endParaRPr>
        </a:p>
      </xdr:txBody>
    </xdr:sp>
    <xdr:clientData/>
  </xdr:twoCellAnchor>
  <xdr:twoCellAnchor>
    <xdr:from>
      <xdr:col>8</xdr:col>
      <xdr:colOff>393381</xdr:colOff>
      <xdr:row>16</xdr:row>
      <xdr:rowOff>7308</xdr:rowOff>
    </xdr:from>
    <xdr:to>
      <xdr:col>8</xdr:col>
      <xdr:colOff>874043</xdr:colOff>
      <xdr:row>17</xdr:row>
      <xdr:rowOff>74653</xdr:rowOff>
    </xdr:to>
    <xdr:sp macro="" textlink="'Variable Management'!B241">
      <xdr:nvSpPr>
        <xdr:cNvPr id="79" name="Text Box 285">
          <a:extLst>
            <a:ext uri="{FF2B5EF4-FFF2-40B4-BE49-F238E27FC236}">
              <a16:creationId xmlns:a16="http://schemas.microsoft.com/office/drawing/2014/main" id="{00000000-0008-0000-0100-00004F000000}"/>
            </a:ext>
          </a:extLst>
        </xdr:cNvPr>
        <xdr:cNvSpPr txBox="1">
          <a:spLocks noChangeArrowheads="1" noTextEdit="1"/>
        </xdr:cNvSpPr>
      </xdr:nvSpPr>
      <xdr:spPr bwMode="auto">
        <a:xfrm>
          <a:off x="8619517" y="2639672"/>
          <a:ext cx="480662" cy="231867"/>
        </a:xfrm>
        <a:prstGeom prst="rect">
          <a:avLst/>
        </a:prstGeom>
        <a:noFill/>
        <a:ln w="9525">
          <a:noFill/>
          <a:miter lim="800000"/>
          <a:headEnd/>
          <a:tailEnd/>
        </a:ln>
      </xdr:spPr>
      <xdr:txBody>
        <a:bodyPr vertOverflow="clip" wrap="square" lIns="27432" tIns="22860" rIns="0" bIns="0" anchor="t" upright="1"/>
        <a:lstStyle/>
        <a:p>
          <a:pPr algn="l" rtl="0">
            <a:defRPr sz="1000"/>
          </a:pPr>
          <a:fld id="{702C2B8A-7C4B-4FDB-B229-3170089D9686}" type="TxLink">
            <a:rPr lang="en-US" sz="1200" b="1" i="0" u="none" strike="noStrike" baseline="0">
              <a:solidFill>
                <a:srgbClr val="FF0000"/>
              </a:solidFill>
              <a:latin typeface="Arial" pitchFamily="34" charset="0"/>
              <a:cs typeface="Arial" pitchFamily="34" charset="0"/>
            </a:rPr>
            <a:pPr algn="l" rtl="0">
              <a:defRPr sz="1000"/>
            </a:pPr>
            <a:t>12V</a:t>
          </a:fld>
          <a:endParaRPr lang="en-US" sz="1200" b="1" i="0" u="none" strike="noStrike" baseline="0">
            <a:solidFill>
              <a:srgbClr val="FF0000"/>
            </a:solidFill>
            <a:latin typeface="Arial" pitchFamily="34" charset="0"/>
            <a:cs typeface="Arial" pitchFamily="34" charset="0"/>
          </a:endParaRPr>
        </a:p>
      </xdr:txBody>
    </xdr:sp>
    <xdr:clientData/>
  </xdr:twoCellAnchor>
  <xdr:twoCellAnchor>
    <xdr:from>
      <xdr:col>8</xdr:col>
      <xdr:colOff>393381</xdr:colOff>
      <xdr:row>17</xdr:row>
      <xdr:rowOff>49737</xdr:rowOff>
    </xdr:from>
    <xdr:to>
      <xdr:col>8</xdr:col>
      <xdr:colOff>885707</xdr:colOff>
      <xdr:row>18</xdr:row>
      <xdr:rowOff>128052</xdr:rowOff>
    </xdr:to>
    <xdr:sp macro="" textlink="'Variable Management'!B279">
      <xdr:nvSpPr>
        <xdr:cNvPr id="80" name="Text Box 286">
          <a:extLst>
            <a:ext uri="{FF2B5EF4-FFF2-40B4-BE49-F238E27FC236}">
              <a16:creationId xmlns:a16="http://schemas.microsoft.com/office/drawing/2014/main" id="{00000000-0008-0000-0100-000050000000}"/>
            </a:ext>
          </a:extLst>
        </xdr:cNvPr>
        <xdr:cNvSpPr txBox="1">
          <a:spLocks noChangeArrowheads="1" noTextEdit="1"/>
        </xdr:cNvSpPr>
      </xdr:nvSpPr>
      <xdr:spPr bwMode="auto">
        <a:xfrm>
          <a:off x="8619517" y="2846623"/>
          <a:ext cx="492326" cy="242838"/>
        </a:xfrm>
        <a:prstGeom prst="rect">
          <a:avLst/>
        </a:prstGeom>
        <a:noFill/>
        <a:ln w="9525">
          <a:noFill/>
          <a:miter lim="800000"/>
          <a:headEnd/>
          <a:tailEnd/>
        </a:ln>
      </xdr:spPr>
      <xdr:txBody>
        <a:bodyPr vertOverflow="clip" wrap="square" lIns="27432" tIns="22860" rIns="0" bIns="0" anchor="t" upright="1"/>
        <a:lstStyle/>
        <a:p>
          <a:pPr algn="l" rtl="0">
            <a:defRPr sz="1000"/>
          </a:pPr>
          <a:fld id="{E0FB88FA-F39E-4ACF-AB5E-DCB628763AAE}" type="TxLink">
            <a:rPr lang="en-US" sz="1200" b="1" i="0" u="none" strike="noStrike">
              <a:solidFill>
                <a:srgbClr val="FF0000"/>
              </a:solidFill>
              <a:latin typeface="Arial" pitchFamily="34" charset="0"/>
              <a:cs typeface="Arial" pitchFamily="34" charset="0"/>
            </a:rPr>
            <a:pPr algn="l" rtl="0">
              <a:defRPr sz="1000"/>
            </a:pPr>
            <a:t>9A</a:t>
          </a:fld>
          <a:endParaRPr lang="en-US" sz="1200" b="1" i="0" strike="noStrike">
            <a:solidFill>
              <a:srgbClr val="FF0000"/>
            </a:solidFill>
            <a:latin typeface="Arial" pitchFamily="34" charset="0"/>
            <a:cs typeface="Arial" pitchFamily="34" charset="0"/>
          </a:endParaRPr>
        </a:p>
      </xdr:txBody>
    </xdr:sp>
    <xdr:clientData/>
  </xdr:twoCellAnchor>
  <xdr:twoCellAnchor>
    <xdr:from>
      <xdr:col>3</xdr:col>
      <xdr:colOff>149916</xdr:colOff>
      <xdr:row>25</xdr:row>
      <xdr:rowOff>36345</xdr:rowOff>
    </xdr:from>
    <xdr:to>
      <xdr:col>3</xdr:col>
      <xdr:colOff>368991</xdr:colOff>
      <xdr:row>25</xdr:row>
      <xdr:rowOff>36345</xdr:rowOff>
    </xdr:to>
    <xdr:sp macro="" textlink="'Variable Management'!B292">
      <xdr:nvSpPr>
        <xdr:cNvPr id="81" name="Text Box 299">
          <a:extLst>
            <a:ext uri="{FF2B5EF4-FFF2-40B4-BE49-F238E27FC236}">
              <a16:creationId xmlns:a16="http://schemas.microsoft.com/office/drawing/2014/main" id="{00000000-0008-0000-0100-000051000000}"/>
            </a:ext>
          </a:extLst>
        </xdr:cNvPr>
        <xdr:cNvSpPr txBox="1">
          <a:spLocks noChangeArrowheads="1" noTextEdit="1"/>
        </xdr:cNvSpPr>
      </xdr:nvSpPr>
      <xdr:spPr bwMode="auto">
        <a:xfrm>
          <a:off x="2797866" y="4084470"/>
          <a:ext cx="219075" cy="0"/>
        </a:xfrm>
        <a:prstGeom prst="rect">
          <a:avLst/>
        </a:prstGeom>
        <a:noFill/>
        <a:ln w="9525">
          <a:noFill/>
          <a:miter lim="800000"/>
          <a:headEnd/>
          <a:tailEnd/>
        </a:ln>
      </xdr:spPr>
      <xdr:txBody>
        <a:bodyPr vertOverflow="clip" wrap="square" lIns="27432" tIns="22860" rIns="0" bIns="0" anchor="t" upright="1"/>
        <a:lstStyle/>
        <a:p>
          <a:pPr algn="l" rtl="0">
            <a:defRPr sz="1000"/>
          </a:pPr>
          <a:fld id="{497BFBE6-0671-4D0F-A59C-D9187795E36B}" type="TxLink">
            <a:rPr lang="en-US" sz="1000" b="0" i="0" u="none" strike="noStrike">
              <a:solidFill>
                <a:srgbClr val="000000"/>
              </a:solidFill>
              <a:latin typeface="Calibri"/>
              <a:cs typeface="Arial"/>
            </a:rPr>
            <a:pPr algn="l" rtl="0">
              <a:defRPr sz="1000"/>
            </a:pPr>
            <a:t>13</a:t>
          </a:fld>
          <a:endParaRPr lang="en-US" sz="1000" b="0" i="0" strike="noStrike">
            <a:solidFill>
              <a:srgbClr val="000000"/>
            </a:solidFill>
            <a:latin typeface="Calibri"/>
          </a:endParaRPr>
        </a:p>
      </xdr:txBody>
    </xdr:sp>
    <xdr:clientData/>
  </xdr:twoCellAnchor>
  <xdr:twoCellAnchor>
    <xdr:from>
      <xdr:col>2</xdr:col>
      <xdr:colOff>805846</xdr:colOff>
      <xdr:row>6</xdr:row>
      <xdr:rowOff>114011</xdr:rowOff>
    </xdr:from>
    <xdr:to>
      <xdr:col>3</xdr:col>
      <xdr:colOff>110848</xdr:colOff>
      <xdr:row>8</xdr:row>
      <xdr:rowOff>45334</xdr:rowOff>
    </xdr:to>
    <xdr:sp macro="" textlink="">
      <xdr:nvSpPr>
        <xdr:cNvPr id="82" name="Text Box 251">
          <a:extLst>
            <a:ext uri="{FF2B5EF4-FFF2-40B4-BE49-F238E27FC236}">
              <a16:creationId xmlns:a16="http://schemas.microsoft.com/office/drawing/2014/main" id="{00000000-0008-0000-0100-000052000000}"/>
            </a:ext>
          </a:extLst>
        </xdr:cNvPr>
        <xdr:cNvSpPr txBox="1">
          <a:spLocks noChangeArrowheads="1"/>
        </xdr:cNvSpPr>
      </xdr:nvSpPr>
      <xdr:spPr bwMode="auto">
        <a:xfrm>
          <a:off x="2377471" y="1085561"/>
          <a:ext cx="381327" cy="255173"/>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RT</a:t>
          </a:r>
        </a:p>
      </xdr:txBody>
    </xdr:sp>
    <xdr:clientData/>
  </xdr:twoCellAnchor>
  <xdr:twoCellAnchor>
    <xdr:from>
      <xdr:col>2</xdr:col>
      <xdr:colOff>633027</xdr:colOff>
      <xdr:row>8</xdr:row>
      <xdr:rowOff>9201</xdr:rowOff>
    </xdr:from>
    <xdr:to>
      <xdr:col>3</xdr:col>
      <xdr:colOff>87375</xdr:colOff>
      <xdr:row>9</xdr:row>
      <xdr:rowOff>82979</xdr:rowOff>
    </xdr:to>
    <xdr:sp macro="" textlink="'Variable Management'!B275">
      <xdr:nvSpPr>
        <xdr:cNvPr id="83" name="Text Box 281">
          <a:extLst>
            <a:ext uri="{FF2B5EF4-FFF2-40B4-BE49-F238E27FC236}">
              <a16:creationId xmlns:a16="http://schemas.microsoft.com/office/drawing/2014/main" id="{00000000-0008-0000-0100-000053000000}"/>
            </a:ext>
          </a:extLst>
        </xdr:cNvPr>
        <xdr:cNvSpPr txBox="1">
          <a:spLocks noChangeArrowheads="1" noTextEdit="1"/>
        </xdr:cNvSpPr>
      </xdr:nvSpPr>
      <xdr:spPr bwMode="auto">
        <a:xfrm>
          <a:off x="2204652" y="1304601"/>
          <a:ext cx="530673" cy="235703"/>
        </a:xfrm>
        <a:prstGeom prst="rect">
          <a:avLst/>
        </a:prstGeom>
        <a:noFill/>
        <a:ln w="9525">
          <a:noFill/>
          <a:miter lim="800000"/>
          <a:headEnd/>
          <a:tailEnd/>
        </a:ln>
      </xdr:spPr>
      <xdr:txBody>
        <a:bodyPr vertOverflow="clip" wrap="square" lIns="27432" tIns="22860" rIns="0" bIns="0" anchor="t" upright="1"/>
        <a:lstStyle/>
        <a:p>
          <a:pPr algn="r" rtl="0">
            <a:defRPr sz="1000"/>
          </a:pPr>
          <a:fld id="{84EB9262-B954-486D-9975-AAB24967BDAC}" type="TxLink">
            <a:rPr lang="en-US" sz="1000" b="0" i="0" u="none" strike="noStrike">
              <a:solidFill>
                <a:srgbClr val="000000"/>
              </a:solidFill>
              <a:latin typeface="Arial" pitchFamily="34" charset="0"/>
              <a:cs typeface="Arial" pitchFamily="34" charset="0"/>
            </a:rPr>
            <a:pPr algn="r" rtl="0">
              <a:defRPr sz="1000"/>
            </a:pPr>
            <a:t>24.9kΩ</a:t>
          </a:fld>
          <a:endParaRPr lang="en-US" sz="1000" b="0" i="0" strike="noStrike">
            <a:solidFill>
              <a:srgbClr val="000000"/>
            </a:solidFill>
            <a:latin typeface="Arial" pitchFamily="34" charset="0"/>
            <a:cs typeface="Arial" pitchFamily="34" charset="0"/>
          </a:endParaRPr>
        </a:p>
      </xdr:txBody>
    </xdr:sp>
    <xdr:clientData/>
  </xdr:twoCellAnchor>
  <xdr:twoCellAnchor>
    <xdr:from>
      <xdr:col>5</xdr:col>
      <xdr:colOff>796619</xdr:colOff>
      <xdr:row>5</xdr:row>
      <xdr:rowOff>157998</xdr:rowOff>
    </xdr:from>
    <xdr:to>
      <xdr:col>5</xdr:col>
      <xdr:colOff>1188635</xdr:colOff>
      <xdr:row>7</xdr:row>
      <xdr:rowOff>57711</xdr:rowOff>
    </xdr:to>
    <xdr:sp macro="" textlink="">
      <xdr:nvSpPr>
        <xdr:cNvPr id="84" name="Text Box 247">
          <a:extLst>
            <a:ext uri="{FF2B5EF4-FFF2-40B4-BE49-F238E27FC236}">
              <a16:creationId xmlns:a16="http://schemas.microsoft.com/office/drawing/2014/main" id="{00000000-0008-0000-0100-000054000000}"/>
            </a:ext>
          </a:extLst>
        </xdr:cNvPr>
        <xdr:cNvSpPr txBox="1">
          <a:spLocks noChangeArrowheads="1"/>
        </xdr:cNvSpPr>
      </xdr:nvSpPr>
      <xdr:spPr bwMode="auto">
        <a:xfrm>
          <a:off x="5940119" y="967623"/>
          <a:ext cx="392016" cy="223563"/>
        </a:xfrm>
        <a:prstGeom prst="rect">
          <a:avLst/>
        </a:prstGeom>
        <a:noFill/>
        <a:ln w="9525">
          <a:noFill/>
          <a:miter lim="800000"/>
          <a:headEnd/>
          <a:tailEnd/>
        </a:ln>
      </xdr:spPr>
      <xdr:txBody>
        <a:bodyPr vertOverflow="clip" wrap="square" lIns="27432" tIns="27432" rIns="0" bIns="0" anchor="ctr" upright="1"/>
        <a:lstStyle/>
        <a:p>
          <a:pPr algn="ctr"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BOOT</a:t>
          </a:r>
        </a:p>
      </xdr:txBody>
    </xdr:sp>
    <xdr:clientData/>
  </xdr:twoCellAnchor>
  <xdr:twoCellAnchor>
    <xdr:from>
      <xdr:col>6</xdr:col>
      <xdr:colOff>273061</xdr:colOff>
      <xdr:row>15</xdr:row>
      <xdr:rowOff>99032</xdr:rowOff>
    </xdr:from>
    <xdr:to>
      <xdr:col>6</xdr:col>
      <xdr:colOff>599416</xdr:colOff>
      <xdr:row>17</xdr:row>
      <xdr:rowOff>66061</xdr:rowOff>
    </xdr:to>
    <xdr:sp macro="" textlink="">
      <xdr:nvSpPr>
        <xdr:cNvPr id="85" name="Text Box 244">
          <a:extLst>
            <a:ext uri="{FF2B5EF4-FFF2-40B4-BE49-F238E27FC236}">
              <a16:creationId xmlns:a16="http://schemas.microsoft.com/office/drawing/2014/main" id="{00000000-0008-0000-0100-000055000000}"/>
            </a:ext>
          </a:extLst>
        </xdr:cNvPr>
        <xdr:cNvSpPr txBox="1">
          <a:spLocks noChangeArrowheads="1"/>
        </xdr:cNvSpPr>
      </xdr:nvSpPr>
      <xdr:spPr bwMode="auto">
        <a:xfrm>
          <a:off x="6791733" y="2510048"/>
          <a:ext cx="326355" cy="288497"/>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Q</a:t>
          </a:r>
          <a:r>
            <a:rPr lang="en-US" sz="1000" b="0" i="0" strike="noStrike" baseline="-25000">
              <a:solidFill>
                <a:srgbClr val="000000"/>
              </a:solidFill>
              <a:latin typeface="Arial" pitchFamily="34" charset="0"/>
              <a:cs typeface="Arial" pitchFamily="34" charset="0"/>
            </a:rPr>
            <a:t>2</a:t>
          </a:r>
        </a:p>
      </xdr:txBody>
    </xdr:sp>
    <xdr:clientData/>
  </xdr:twoCellAnchor>
  <xdr:twoCellAnchor>
    <xdr:from>
      <xdr:col>6</xdr:col>
      <xdr:colOff>268269</xdr:colOff>
      <xdr:row>10</xdr:row>
      <xdr:rowOff>4039</xdr:rowOff>
    </xdr:from>
    <xdr:to>
      <xdr:col>6</xdr:col>
      <xdr:colOff>593433</xdr:colOff>
      <xdr:row>11</xdr:row>
      <xdr:rowOff>107860</xdr:rowOff>
    </xdr:to>
    <xdr:sp macro="" textlink="">
      <xdr:nvSpPr>
        <xdr:cNvPr id="86" name="Text Box 244">
          <a:extLst>
            <a:ext uri="{FF2B5EF4-FFF2-40B4-BE49-F238E27FC236}">
              <a16:creationId xmlns:a16="http://schemas.microsoft.com/office/drawing/2014/main" id="{00000000-0008-0000-0100-000056000000}"/>
            </a:ext>
          </a:extLst>
        </xdr:cNvPr>
        <xdr:cNvSpPr txBox="1">
          <a:spLocks noChangeArrowheads="1"/>
        </xdr:cNvSpPr>
      </xdr:nvSpPr>
      <xdr:spPr bwMode="auto">
        <a:xfrm>
          <a:off x="6786941" y="1611383"/>
          <a:ext cx="325164" cy="264555"/>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Q</a:t>
          </a:r>
          <a:r>
            <a:rPr lang="en-US" sz="1000" b="0" i="0" strike="noStrike" baseline="-25000">
              <a:solidFill>
                <a:srgbClr val="000000"/>
              </a:solidFill>
              <a:latin typeface="Arial" pitchFamily="34" charset="0"/>
              <a:cs typeface="Arial" pitchFamily="34" charset="0"/>
            </a:rPr>
            <a:t>1</a:t>
          </a:r>
        </a:p>
      </xdr:txBody>
    </xdr:sp>
    <xdr:clientData/>
  </xdr:twoCellAnchor>
  <xdr:twoCellAnchor>
    <xdr:from>
      <xdr:col>3</xdr:col>
      <xdr:colOff>573070</xdr:colOff>
      <xdr:row>2</xdr:row>
      <xdr:rowOff>29194</xdr:rowOff>
    </xdr:from>
    <xdr:to>
      <xdr:col>3</xdr:col>
      <xdr:colOff>1131993</xdr:colOff>
      <xdr:row>3</xdr:row>
      <xdr:rowOff>84127</xdr:rowOff>
    </xdr:to>
    <xdr:sp macro="" textlink="'Variable Management'!G98">
      <xdr:nvSpPr>
        <xdr:cNvPr id="87" name="Text Box 264">
          <a:extLst>
            <a:ext uri="{FF2B5EF4-FFF2-40B4-BE49-F238E27FC236}">
              <a16:creationId xmlns:a16="http://schemas.microsoft.com/office/drawing/2014/main" id="{00000000-0008-0000-0100-000057000000}"/>
            </a:ext>
          </a:extLst>
        </xdr:cNvPr>
        <xdr:cNvSpPr txBox="1">
          <a:spLocks noChangeArrowheads="1" noTextEdit="1"/>
        </xdr:cNvSpPr>
      </xdr:nvSpPr>
      <xdr:spPr bwMode="auto">
        <a:xfrm>
          <a:off x="3221020" y="353044"/>
          <a:ext cx="558923" cy="216858"/>
        </a:xfrm>
        <a:prstGeom prst="rect">
          <a:avLst/>
        </a:prstGeom>
        <a:noFill/>
        <a:ln w="9525">
          <a:noFill/>
          <a:miter lim="800000"/>
          <a:headEnd/>
          <a:tailEnd/>
        </a:ln>
      </xdr:spPr>
      <xdr:txBody>
        <a:bodyPr vertOverflow="clip" wrap="square" lIns="27432" tIns="22860" rIns="0" bIns="0" anchor="t" upright="1"/>
        <a:lstStyle/>
        <a:p>
          <a:pPr algn="r" rtl="0">
            <a:defRPr sz="1000"/>
          </a:pPr>
          <a:fld id="{123D91BC-1DE9-4CAD-9801-8A70C08E2402}" type="TxLink">
            <a:rPr lang="en-US" sz="1000" b="0" i="0" u="none" strike="noStrike" baseline="0">
              <a:solidFill>
                <a:srgbClr val="000000"/>
              </a:solidFill>
              <a:latin typeface="Arialri"/>
              <a:cs typeface="Arial" pitchFamily="34" charset="0"/>
            </a:rPr>
            <a:pPr algn="r" rtl="0">
              <a:defRPr sz="1000"/>
            </a:pPr>
            <a:t>9.31kΩ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3</xdr:col>
      <xdr:colOff>750129</xdr:colOff>
      <xdr:row>0</xdr:row>
      <xdr:rowOff>148095</xdr:rowOff>
    </xdr:from>
    <xdr:to>
      <xdr:col>3</xdr:col>
      <xdr:colOff>1156581</xdr:colOff>
      <xdr:row>2</xdr:row>
      <xdr:rowOff>28577</xdr:rowOff>
    </xdr:to>
    <xdr:sp macro="" textlink="">
      <xdr:nvSpPr>
        <xdr:cNvPr id="88" name="Text Box 255">
          <a:extLst>
            <a:ext uri="{FF2B5EF4-FFF2-40B4-BE49-F238E27FC236}">
              <a16:creationId xmlns:a16="http://schemas.microsoft.com/office/drawing/2014/main" id="{00000000-0008-0000-0100-000058000000}"/>
            </a:ext>
          </a:extLst>
        </xdr:cNvPr>
        <xdr:cNvSpPr txBox="1">
          <a:spLocks noChangeArrowheads="1"/>
        </xdr:cNvSpPr>
      </xdr:nvSpPr>
      <xdr:spPr bwMode="auto">
        <a:xfrm>
          <a:off x="3398079" y="148095"/>
          <a:ext cx="406452" cy="204332"/>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UV2</a:t>
          </a:r>
        </a:p>
      </xdr:txBody>
    </xdr:sp>
    <xdr:clientData/>
  </xdr:twoCellAnchor>
  <xdr:twoCellAnchor>
    <xdr:from>
      <xdr:col>3</xdr:col>
      <xdr:colOff>1312561</xdr:colOff>
      <xdr:row>2</xdr:row>
      <xdr:rowOff>41604</xdr:rowOff>
    </xdr:from>
    <xdr:to>
      <xdr:col>4</xdr:col>
      <xdr:colOff>527030</xdr:colOff>
      <xdr:row>3</xdr:row>
      <xdr:rowOff>90311</xdr:rowOff>
    </xdr:to>
    <xdr:sp macro="" textlink="'Variable Management'!G97">
      <xdr:nvSpPr>
        <xdr:cNvPr id="90" name="Text Box 264">
          <a:extLst>
            <a:ext uri="{FF2B5EF4-FFF2-40B4-BE49-F238E27FC236}">
              <a16:creationId xmlns:a16="http://schemas.microsoft.com/office/drawing/2014/main" id="{00000000-0008-0000-0100-00005A000000}"/>
            </a:ext>
          </a:extLst>
        </xdr:cNvPr>
        <xdr:cNvSpPr txBox="1">
          <a:spLocks noChangeArrowheads="1" noTextEdit="1"/>
        </xdr:cNvSpPr>
      </xdr:nvSpPr>
      <xdr:spPr bwMode="auto">
        <a:xfrm>
          <a:off x="3960511" y="365454"/>
          <a:ext cx="557494" cy="210632"/>
        </a:xfrm>
        <a:prstGeom prst="rect">
          <a:avLst/>
        </a:prstGeom>
        <a:noFill/>
        <a:ln w="9525">
          <a:noFill/>
          <a:miter lim="800000"/>
          <a:headEnd/>
          <a:tailEnd/>
        </a:ln>
      </xdr:spPr>
      <xdr:txBody>
        <a:bodyPr vertOverflow="clip" wrap="square" lIns="27432" tIns="22860" rIns="0" bIns="0" anchor="t" upright="1"/>
        <a:lstStyle/>
        <a:p>
          <a:pPr algn="r" rtl="0">
            <a:defRPr sz="1000"/>
          </a:pPr>
          <a:fld id="{302BC79D-87FA-43D3-B7A3-AC5513B978CE}" type="TxLink">
            <a:rPr lang="en-US" sz="1000" b="0" i="0" u="none" strike="noStrike" baseline="0">
              <a:solidFill>
                <a:srgbClr val="000000"/>
              </a:solidFill>
              <a:latin typeface="Arialri"/>
              <a:cs typeface="Arial" pitchFamily="34" charset="0"/>
            </a:rPr>
            <a:pPr algn="r" rtl="0">
              <a:defRPr sz="1000"/>
            </a:pPr>
            <a:t>100kΩ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4</xdr:col>
      <xdr:colOff>100688</xdr:colOff>
      <xdr:row>0</xdr:row>
      <xdr:rowOff>153602</xdr:rowOff>
    </xdr:from>
    <xdr:to>
      <xdr:col>4</xdr:col>
      <xdr:colOff>506696</xdr:colOff>
      <xdr:row>2</xdr:row>
      <xdr:rowOff>41474</xdr:rowOff>
    </xdr:to>
    <xdr:sp macro="" textlink="">
      <xdr:nvSpPr>
        <xdr:cNvPr id="91" name="Text Box 255">
          <a:extLst>
            <a:ext uri="{FF2B5EF4-FFF2-40B4-BE49-F238E27FC236}">
              <a16:creationId xmlns:a16="http://schemas.microsoft.com/office/drawing/2014/main" id="{00000000-0008-0000-0100-00005B000000}"/>
            </a:ext>
          </a:extLst>
        </xdr:cNvPr>
        <xdr:cNvSpPr txBox="1">
          <a:spLocks noChangeArrowheads="1"/>
        </xdr:cNvSpPr>
      </xdr:nvSpPr>
      <xdr:spPr bwMode="auto">
        <a:xfrm>
          <a:off x="4091663" y="153602"/>
          <a:ext cx="406008" cy="211722"/>
        </a:xfrm>
        <a:prstGeom prst="rect">
          <a:avLst/>
        </a:prstGeom>
        <a:noFill/>
        <a:ln w="9525">
          <a:noFill/>
          <a:miter lim="800000"/>
          <a:headEnd/>
          <a:tailEnd/>
        </a:ln>
      </xdr:spPr>
      <xdr:txBody>
        <a:bodyPr vertOverflow="clip" wrap="square" lIns="27432" tIns="27432" rIns="0" bIns="0" anchor="t" upright="1"/>
        <a:lstStyle/>
        <a:p>
          <a:pPr algn="r"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UV1</a:t>
          </a:r>
        </a:p>
      </xdr:txBody>
    </xdr:sp>
    <xdr:clientData/>
  </xdr:twoCellAnchor>
  <xdr:twoCellAnchor>
    <xdr:from>
      <xdr:col>7</xdr:col>
      <xdr:colOff>322044</xdr:colOff>
      <xdr:row>16</xdr:row>
      <xdr:rowOff>70024</xdr:rowOff>
    </xdr:from>
    <xdr:to>
      <xdr:col>7</xdr:col>
      <xdr:colOff>835467</xdr:colOff>
      <xdr:row>18</xdr:row>
      <xdr:rowOff>8868</xdr:rowOff>
    </xdr:to>
    <xdr:sp macro="" textlink="'Variable Management'!B239">
      <xdr:nvSpPr>
        <xdr:cNvPr id="92" name="Text Box 275">
          <a:extLst>
            <a:ext uri="{FF2B5EF4-FFF2-40B4-BE49-F238E27FC236}">
              <a16:creationId xmlns:a16="http://schemas.microsoft.com/office/drawing/2014/main" id="{00000000-0008-0000-0100-00005C000000}"/>
            </a:ext>
          </a:extLst>
        </xdr:cNvPr>
        <xdr:cNvSpPr txBox="1">
          <a:spLocks noChangeArrowheads="1" noTextEdit="1"/>
        </xdr:cNvSpPr>
      </xdr:nvSpPr>
      <xdr:spPr bwMode="auto">
        <a:xfrm>
          <a:off x="7484844" y="2660824"/>
          <a:ext cx="513423" cy="262694"/>
        </a:xfrm>
        <a:prstGeom prst="rect">
          <a:avLst/>
        </a:prstGeom>
        <a:noFill/>
        <a:ln w="9525">
          <a:noFill/>
          <a:miter lim="800000"/>
          <a:headEnd/>
          <a:tailEnd/>
        </a:ln>
      </xdr:spPr>
      <xdr:txBody>
        <a:bodyPr vertOverflow="clip" wrap="square" lIns="27432" tIns="22860" rIns="0" bIns="0" anchor="ctr" upright="1"/>
        <a:lstStyle/>
        <a:p>
          <a:pPr algn="ctr" rtl="0">
            <a:defRPr sz="1000"/>
          </a:pPr>
          <a:fld id="{952677B8-8C18-463F-B0C9-D2099A1EBA1B}" type="TxLink">
            <a:rPr lang="en-US" sz="1000" b="0" i="0" u="none" strike="noStrike" baseline="0">
              <a:solidFill>
                <a:srgbClr val="000000"/>
              </a:solidFill>
              <a:latin typeface="Arialri"/>
              <a:cs typeface="Arial" pitchFamily="34" charset="0"/>
            </a:rPr>
            <a:pPr algn="ctr" rtl="0">
              <a:defRPr sz="1000"/>
            </a:pPr>
            <a:t>12mΩ</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3</xdr:col>
      <xdr:colOff>1335973</xdr:colOff>
      <xdr:row>27</xdr:row>
      <xdr:rowOff>72440</xdr:rowOff>
    </xdr:from>
    <xdr:to>
      <xdr:col>4</xdr:col>
      <xdr:colOff>475601</xdr:colOff>
      <xdr:row>28</xdr:row>
      <xdr:rowOff>141627</xdr:rowOff>
    </xdr:to>
    <xdr:sp macro="" textlink="">
      <xdr:nvSpPr>
        <xdr:cNvPr id="94" name="Text Box 245">
          <a:extLst>
            <a:ext uri="{FF2B5EF4-FFF2-40B4-BE49-F238E27FC236}">
              <a16:creationId xmlns:a16="http://schemas.microsoft.com/office/drawing/2014/main" id="{00000000-0008-0000-0100-00005E000000}"/>
            </a:ext>
          </a:extLst>
        </xdr:cNvPr>
        <xdr:cNvSpPr txBox="1">
          <a:spLocks noChangeArrowheads="1"/>
        </xdr:cNvSpPr>
      </xdr:nvSpPr>
      <xdr:spPr bwMode="auto">
        <a:xfrm>
          <a:off x="3983923" y="4444415"/>
          <a:ext cx="482653" cy="231112"/>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PGOOD</a:t>
          </a:r>
        </a:p>
      </xdr:txBody>
    </xdr:sp>
    <xdr:clientData/>
  </xdr:twoCellAnchor>
  <xdr:twoCellAnchor>
    <xdr:from>
      <xdr:col>4</xdr:col>
      <xdr:colOff>69827</xdr:colOff>
      <xdr:row>28</xdr:row>
      <xdr:rowOff>93013</xdr:rowOff>
    </xdr:from>
    <xdr:to>
      <xdr:col>4</xdr:col>
      <xdr:colOff>673233</xdr:colOff>
      <xdr:row>30</xdr:row>
      <xdr:rowOff>13199</xdr:rowOff>
    </xdr:to>
    <xdr:sp macro="" textlink="'Variable Management'!B274">
      <xdr:nvSpPr>
        <xdr:cNvPr id="95" name="Text Box 281">
          <a:extLst>
            <a:ext uri="{FF2B5EF4-FFF2-40B4-BE49-F238E27FC236}">
              <a16:creationId xmlns:a16="http://schemas.microsoft.com/office/drawing/2014/main" id="{00000000-0008-0000-0100-00005F000000}"/>
            </a:ext>
          </a:extLst>
        </xdr:cNvPr>
        <xdr:cNvSpPr txBox="1">
          <a:spLocks noChangeArrowheads="1" noTextEdit="1"/>
        </xdr:cNvSpPr>
      </xdr:nvSpPr>
      <xdr:spPr bwMode="auto">
        <a:xfrm>
          <a:off x="4060802" y="4626913"/>
          <a:ext cx="603406" cy="244036"/>
        </a:xfrm>
        <a:prstGeom prst="rect">
          <a:avLst/>
        </a:prstGeom>
        <a:noFill/>
        <a:ln w="9525">
          <a:noFill/>
          <a:miter lim="800000"/>
          <a:headEnd/>
          <a:tailEnd/>
        </a:ln>
      </xdr:spPr>
      <xdr:txBody>
        <a:bodyPr vertOverflow="clip" wrap="square" lIns="27432" tIns="22860" rIns="0" bIns="0" anchor="ctr" upright="1"/>
        <a:lstStyle/>
        <a:p>
          <a:pPr algn="l" rtl="0">
            <a:defRPr sz="1000"/>
          </a:pPr>
          <a:fld id="{89760BEF-9E88-4172-89E5-A2E0AD0D10FF}" type="TxLink">
            <a:rPr lang="en-US" sz="1000" b="0" i="0" u="none" strike="noStrike">
              <a:solidFill>
                <a:srgbClr val="000000"/>
              </a:solidFill>
              <a:latin typeface="Arialri"/>
              <a:cs typeface="Arial" pitchFamily="34" charset="0"/>
            </a:rPr>
            <a:pPr algn="l" rtl="0">
              <a:defRPr sz="1000"/>
            </a:pPr>
            <a:t>20kΩ</a:t>
          </a:fld>
          <a:endParaRPr lang="en-US" sz="1000" b="0" i="0" strike="noStrike">
            <a:solidFill>
              <a:srgbClr val="000000"/>
            </a:solidFill>
            <a:latin typeface="Arial" pitchFamily="34" charset="0"/>
            <a:cs typeface="Arial" pitchFamily="34" charset="0"/>
          </a:endParaRPr>
        </a:p>
      </xdr:txBody>
    </xdr:sp>
    <xdr:clientData/>
  </xdr:twoCellAnchor>
  <xdr:twoCellAnchor>
    <xdr:from>
      <xdr:col>6</xdr:col>
      <xdr:colOff>282563</xdr:colOff>
      <xdr:row>21</xdr:row>
      <xdr:rowOff>107537</xdr:rowOff>
    </xdr:from>
    <xdr:to>
      <xdr:col>7</xdr:col>
      <xdr:colOff>205861</xdr:colOff>
      <xdr:row>23</xdr:row>
      <xdr:rowOff>81997</xdr:rowOff>
    </xdr:to>
    <xdr:sp macro="" textlink="'Variable Management'!B269">
      <xdr:nvSpPr>
        <xdr:cNvPr id="96" name="Text Box 270">
          <a:extLst>
            <a:ext uri="{FF2B5EF4-FFF2-40B4-BE49-F238E27FC236}">
              <a16:creationId xmlns:a16="http://schemas.microsoft.com/office/drawing/2014/main" id="{00000000-0008-0000-0100-000060000000}"/>
            </a:ext>
          </a:extLst>
        </xdr:cNvPr>
        <xdr:cNvSpPr txBox="1">
          <a:spLocks noChangeArrowheads="1" noTextEdit="1"/>
        </xdr:cNvSpPr>
      </xdr:nvSpPr>
      <xdr:spPr bwMode="auto">
        <a:xfrm>
          <a:off x="6797663" y="3507962"/>
          <a:ext cx="570998" cy="298310"/>
        </a:xfrm>
        <a:prstGeom prst="rect">
          <a:avLst/>
        </a:prstGeom>
        <a:noFill/>
        <a:ln w="9525">
          <a:noFill/>
          <a:miter lim="800000"/>
          <a:headEnd/>
          <a:tailEnd/>
        </a:ln>
      </xdr:spPr>
      <xdr:txBody>
        <a:bodyPr vertOverflow="clip" wrap="square" lIns="27432" tIns="22860" rIns="0" bIns="0" anchor="t" upright="1"/>
        <a:lstStyle/>
        <a:p>
          <a:pPr algn="l" rtl="0">
            <a:defRPr sz="1000"/>
          </a:pPr>
          <a:fld id="{F42946D1-8FE8-49AF-9D04-282963231811}" type="TxLink">
            <a:rPr lang="en-US" sz="1000" b="0" i="0" u="none" strike="noStrike" baseline="0">
              <a:solidFill>
                <a:srgbClr val="000000"/>
              </a:solidFill>
              <a:latin typeface="Arial"/>
              <a:cs typeface="Arial"/>
            </a:rPr>
            <a:pPr algn="l" rtl="0">
              <a:defRPr sz="1000"/>
            </a:pPr>
            <a:t> </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6</xdr:col>
      <xdr:colOff>339713</xdr:colOff>
      <xdr:row>20</xdr:row>
      <xdr:rowOff>57427</xdr:rowOff>
    </xdr:from>
    <xdr:to>
      <xdr:col>7</xdr:col>
      <xdr:colOff>263011</xdr:colOff>
      <xdr:row>21</xdr:row>
      <xdr:rowOff>114417</xdr:rowOff>
    </xdr:to>
    <xdr:sp macro="" textlink="'Variable Management'!A269">
      <xdr:nvSpPr>
        <xdr:cNvPr id="142" name="Text Box 270">
          <a:extLst>
            <a:ext uri="{FF2B5EF4-FFF2-40B4-BE49-F238E27FC236}">
              <a16:creationId xmlns:a16="http://schemas.microsoft.com/office/drawing/2014/main" id="{00000000-0008-0000-0100-00008E000000}"/>
            </a:ext>
          </a:extLst>
        </xdr:cNvPr>
        <xdr:cNvSpPr txBox="1">
          <a:spLocks noChangeArrowheads="1" noTextEdit="1"/>
        </xdr:cNvSpPr>
      </xdr:nvSpPr>
      <xdr:spPr bwMode="auto">
        <a:xfrm>
          <a:off x="6854813" y="3295927"/>
          <a:ext cx="570998" cy="218915"/>
        </a:xfrm>
        <a:prstGeom prst="rect">
          <a:avLst/>
        </a:prstGeom>
        <a:noFill/>
        <a:ln w="9525">
          <a:noFill/>
          <a:miter lim="800000"/>
          <a:headEnd/>
          <a:tailEnd/>
        </a:ln>
      </xdr:spPr>
      <xdr:txBody>
        <a:bodyPr vertOverflow="clip" wrap="square" lIns="27432" tIns="22860" rIns="0" bIns="0" anchor="t" upright="1"/>
        <a:lstStyle/>
        <a:p>
          <a:pPr algn="l" rtl="0">
            <a:defRPr sz="1000"/>
          </a:pPr>
          <a:fld id="{0B8DE09B-9FBA-43A6-B4AA-E7FE551AB267}" type="TxLink">
            <a:rPr lang="en-US" sz="1000" b="0" i="0" u="none" strike="noStrike" baseline="0">
              <a:solidFill>
                <a:srgbClr val="000000"/>
              </a:solidFill>
              <a:latin typeface="Arial"/>
              <a:cs typeface="Arial"/>
            </a:rPr>
            <a:pPr algn="l" rtl="0">
              <a:defRPr sz="1000"/>
            </a:pPr>
            <a:t> </a:t>
          </a:fld>
          <a:endParaRPr lang="el-GR" sz="1000" b="0" i="0" u="none" strike="noStrike" baseline="0">
            <a:solidFill>
              <a:srgbClr val="000000"/>
            </a:solidFill>
            <a:latin typeface="Arial" pitchFamily="34" charset="0"/>
            <a:cs typeface="Arial"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7</xdr:col>
          <xdr:colOff>0</xdr:colOff>
          <xdr:row>48</xdr:row>
          <xdr:rowOff>0</xdr:rowOff>
        </xdr:from>
        <xdr:to>
          <xdr:col>8</xdr:col>
          <xdr:colOff>0</xdr:colOff>
          <xdr:row>48</xdr:row>
          <xdr:rowOff>203200</xdr:rowOff>
        </xdr:to>
        <xdr:sp macro="" textlink="">
          <xdr:nvSpPr>
            <xdr:cNvPr id="673839" name="Drop Down 47" hidden="1">
              <a:extLst>
                <a:ext uri="{63B3BB69-23CF-44E3-9099-C40C66FF867C}">
                  <a14:compatExt spid="_x0000_s673839"/>
                </a:ext>
                <a:ext uri="{FF2B5EF4-FFF2-40B4-BE49-F238E27FC236}">
                  <a16:creationId xmlns:a16="http://schemas.microsoft.com/office/drawing/2014/main" id="{00000000-0008-0000-0100-00002F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49</xdr:row>
          <xdr:rowOff>0</xdr:rowOff>
        </xdr:from>
        <xdr:to>
          <xdr:col>8</xdr:col>
          <xdr:colOff>0</xdr:colOff>
          <xdr:row>49</xdr:row>
          <xdr:rowOff>203200</xdr:rowOff>
        </xdr:to>
        <xdr:sp macro="" textlink="">
          <xdr:nvSpPr>
            <xdr:cNvPr id="673840" name="Drop Down 48" hidden="1">
              <a:extLst>
                <a:ext uri="{63B3BB69-23CF-44E3-9099-C40C66FF867C}">
                  <a14:compatExt spid="_x0000_s673840"/>
                </a:ext>
                <a:ext uri="{FF2B5EF4-FFF2-40B4-BE49-F238E27FC236}">
                  <a16:creationId xmlns:a16="http://schemas.microsoft.com/office/drawing/2014/main" id="{00000000-0008-0000-0100-000030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37</xdr:row>
          <xdr:rowOff>0</xdr:rowOff>
        </xdr:from>
        <xdr:to>
          <xdr:col>7</xdr:col>
          <xdr:colOff>876300</xdr:colOff>
          <xdr:row>37</xdr:row>
          <xdr:rowOff>203200</xdr:rowOff>
        </xdr:to>
        <xdr:sp macro="" textlink="">
          <xdr:nvSpPr>
            <xdr:cNvPr id="673855" name="Drop Down 63" hidden="1">
              <a:extLst>
                <a:ext uri="{63B3BB69-23CF-44E3-9099-C40C66FF867C}">
                  <a14:compatExt spid="_x0000_s673855"/>
                </a:ext>
                <a:ext uri="{FF2B5EF4-FFF2-40B4-BE49-F238E27FC236}">
                  <a16:creationId xmlns:a16="http://schemas.microsoft.com/office/drawing/2014/main" id="{00000000-0008-0000-0100-00003F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38</xdr:row>
          <xdr:rowOff>0</xdr:rowOff>
        </xdr:from>
        <xdr:to>
          <xdr:col>7</xdr:col>
          <xdr:colOff>876300</xdr:colOff>
          <xdr:row>38</xdr:row>
          <xdr:rowOff>203200</xdr:rowOff>
        </xdr:to>
        <xdr:sp macro="" textlink="">
          <xdr:nvSpPr>
            <xdr:cNvPr id="673857" name="Drop Down 65" hidden="1">
              <a:extLst>
                <a:ext uri="{63B3BB69-23CF-44E3-9099-C40C66FF867C}">
                  <a14:compatExt spid="_x0000_s673857"/>
                </a:ext>
                <a:ext uri="{FF2B5EF4-FFF2-40B4-BE49-F238E27FC236}">
                  <a16:creationId xmlns:a16="http://schemas.microsoft.com/office/drawing/2014/main" id="{00000000-0008-0000-0100-000041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39</xdr:row>
          <xdr:rowOff>0</xdr:rowOff>
        </xdr:from>
        <xdr:to>
          <xdr:col>7</xdr:col>
          <xdr:colOff>876300</xdr:colOff>
          <xdr:row>39</xdr:row>
          <xdr:rowOff>203200</xdr:rowOff>
        </xdr:to>
        <xdr:sp macro="" textlink="">
          <xdr:nvSpPr>
            <xdr:cNvPr id="673858" name="Drop Down 66" hidden="1">
              <a:extLst>
                <a:ext uri="{63B3BB69-23CF-44E3-9099-C40C66FF867C}">
                  <a14:compatExt spid="_x0000_s673858"/>
                </a:ext>
                <a:ext uri="{FF2B5EF4-FFF2-40B4-BE49-F238E27FC236}">
                  <a16:creationId xmlns:a16="http://schemas.microsoft.com/office/drawing/2014/main" id="{00000000-0008-0000-0100-000042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40</xdr:row>
          <xdr:rowOff>0</xdr:rowOff>
        </xdr:from>
        <xdr:to>
          <xdr:col>7</xdr:col>
          <xdr:colOff>876300</xdr:colOff>
          <xdr:row>40</xdr:row>
          <xdr:rowOff>203200</xdr:rowOff>
        </xdr:to>
        <xdr:sp macro="" textlink="">
          <xdr:nvSpPr>
            <xdr:cNvPr id="673859" name="Drop Down 67" hidden="1">
              <a:extLst>
                <a:ext uri="{63B3BB69-23CF-44E3-9099-C40C66FF867C}">
                  <a14:compatExt spid="_x0000_s673859"/>
                </a:ext>
                <a:ext uri="{FF2B5EF4-FFF2-40B4-BE49-F238E27FC236}">
                  <a16:creationId xmlns:a16="http://schemas.microsoft.com/office/drawing/2014/main" id="{00000000-0008-0000-0100-000043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41</xdr:row>
          <xdr:rowOff>0</xdr:rowOff>
        </xdr:from>
        <xdr:to>
          <xdr:col>7</xdr:col>
          <xdr:colOff>876300</xdr:colOff>
          <xdr:row>41</xdr:row>
          <xdr:rowOff>203200</xdr:rowOff>
        </xdr:to>
        <xdr:sp macro="" textlink="">
          <xdr:nvSpPr>
            <xdr:cNvPr id="673860" name="Drop Down 68" hidden="1">
              <a:extLst>
                <a:ext uri="{63B3BB69-23CF-44E3-9099-C40C66FF867C}">
                  <a14:compatExt spid="_x0000_s673860"/>
                </a:ext>
                <a:ext uri="{FF2B5EF4-FFF2-40B4-BE49-F238E27FC236}">
                  <a16:creationId xmlns:a16="http://schemas.microsoft.com/office/drawing/2014/main" id="{00000000-0008-0000-0100-000044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xdr:row>
          <xdr:rowOff>0</xdr:rowOff>
        </xdr:from>
        <xdr:to>
          <xdr:col>7</xdr:col>
          <xdr:colOff>876300</xdr:colOff>
          <xdr:row>44</xdr:row>
          <xdr:rowOff>203200</xdr:rowOff>
        </xdr:to>
        <xdr:sp macro="" textlink="">
          <xdr:nvSpPr>
            <xdr:cNvPr id="673861" name="Drop Down 69" hidden="1">
              <a:extLst>
                <a:ext uri="{63B3BB69-23CF-44E3-9099-C40C66FF867C}">
                  <a14:compatExt spid="_x0000_s673861"/>
                </a:ext>
                <a:ext uri="{FF2B5EF4-FFF2-40B4-BE49-F238E27FC236}">
                  <a16:creationId xmlns:a16="http://schemas.microsoft.com/office/drawing/2014/main" id="{00000000-0008-0000-0100-000045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45</xdr:row>
          <xdr:rowOff>0</xdr:rowOff>
        </xdr:from>
        <xdr:to>
          <xdr:col>7</xdr:col>
          <xdr:colOff>876300</xdr:colOff>
          <xdr:row>45</xdr:row>
          <xdr:rowOff>203200</xdr:rowOff>
        </xdr:to>
        <xdr:sp macro="" textlink="">
          <xdr:nvSpPr>
            <xdr:cNvPr id="673862" name="Drop Down 70" hidden="1">
              <a:extLst>
                <a:ext uri="{63B3BB69-23CF-44E3-9099-C40C66FF867C}">
                  <a14:compatExt spid="_x0000_s673862"/>
                </a:ext>
                <a:ext uri="{FF2B5EF4-FFF2-40B4-BE49-F238E27FC236}">
                  <a16:creationId xmlns:a16="http://schemas.microsoft.com/office/drawing/2014/main" id="{00000000-0008-0000-0100-000046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46</xdr:row>
          <xdr:rowOff>0</xdr:rowOff>
        </xdr:from>
        <xdr:to>
          <xdr:col>7</xdr:col>
          <xdr:colOff>876300</xdr:colOff>
          <xdr:row>46</xdr:row>
          <xdr:rowOff>203200</xdr:rowOff>
        </xdr:to>
        <xdr:sp macro="" textlink="">
          <xdr:nvSpPr>
            <xdr:cNvPr id="673863" name="Drop Down 71" hidden="1">
              <a:extLst>
                <a:ext uri="{63B3BB69-23CF-44E3-9099-C40C66FF867C}">
                  <a14:compatExt spid="_x0000_s673863"/>
                </a:ext>
                <a:ext uri="{FF2B5EF4-FFF2-40B4-BE49-F238E27FC236}">
                  <a16:creationId xmlns:a16="http://schemas.microsoft.com/office/drawing/2014/main" id="{00000000-0008-0000-0100-000047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51</xdr:row>
          <xdr:rowOff>0</xdr:rowOff>
        </xdr:from>
        <xdr:to>
          <xdr:col>7</xdr:col>
          <xdr:colOff>876300</xdr:colOff>
          <xdr:row>51</xdr:row>
          <xdr:rowOff>203200</xdr:rowOff>
        </xdr:to>
        <xdr:sp macro="" textlink="">
          <xdr:nvSpPr>
            <xdr:cNvPr id="673865" name="Drop Down 73" hidden="1">
              <a:extLst>
                <a:ext uri="{63B3BB69-23CF-44E3-9099-C40C66FF867C}">
                  <a14:compatExt spid="_x0000_s673865"/>
                </a:ext>
                <a:ext uri="{FF2B5EF4-FFF2-40B4-BE49-F238E27FC236}">
                  <a16:creationId xmlns:a16="http://schemas.microsoft.com/office/drawing/2014/main" id="{00000000-0008-0000-0100-000049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52</xdr:row>
          <xdr:rowOff>0</xdr:rowOff>
        </xdr:from>
        <xdr:to>
          <xdr:col>7</xdr:col>
          <xdr:colOff>876300</xdr:colOff>
          <xdr:row>52</xdr:row>
          <xdr:rowOff>203200</xdr:rowOff>
        </xdr:to>
        <xdr:sp macro="" textlink="">
          <xdr:nvSpPr>
            <xdr:cNvPr id="673866" name="Drop Down 74" hidden="1">
              <a:extLst>
                <a:ext uri="{63B3BB69-23CF-44E3-9099-C40C66FF867C}">
                  <a14:compatExt spid="_x0000_s673866"/>
                </a:ext>
                <a:ext uri="{FF2B5EF4-FFF2-40B4-BE49-F238E27FC236}">
                  <a16:creationId xmlns:a16="http://schemas.microsoft.com/office/drawing/2014/main" id="{00000000-0008-0000-0100-00004A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53</xdr:row>
          <xdr:rowOff>0</xdr:rowOff>
        </xdr:from>
        <xdr:to>
          <xdr:col>7</xdr:col>
          <xdr:colOff>876300</xdr:colOff>
          <xdr:row>53</xdr:row>
          <xdr:rowOff>203200</xdr:rowOff>
        </xdr:to>
        <xdr:sp macro="" textlink="">
          <xdr:nvSpPr>
            <xdr:cNvPr id="673867" name="Drop Down 75" hidden="1">
              <a:extLst>
                <a:ext uri="{63B3BB69-23CF-44E3-9099-C40C66FF867C}">
                  <a14:compatExt spid="_x0000_s673867"/>
                </a:ext>
                <a:ext uri="{FF2B5EF4-FFF2-40B4-BE49-F238E27FC236}">
                  <a16:creationId xmlns:a16="http://schemas.microsoft.com/office/drawing/2014/main" id="{00000000-0008-0000-0100-00004B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xdr:row>
          <xdr:rowOff>0</xdr:rowOff>
        </xdr:from>
        <xdr:to>
          <xdr:col>7</xdr:col>
          <xdr:colOff>876300</xdr:colOff>
          <xdr:row>54</xdr:row>
          <xdr:rowOff>203200</xdr:rowOff>
        </xdr:to>
        <xdr:sp macro="" textlink="">
          <xdr:nvSpPr>
            <xdr:cNvPr id="673868" name="Drop Down 76" hidden="1">
              <a:extLst>
                <a:ext uri="{63B3BB69-23CF-44E3-9099-C40C66FF867C}">
                  <a14:compatExt spid="_x0000_s673868"/>
                </a:ext>
                <a:ext uri="{FF2B5EF4-FFF2-40B4-BE49-F238E27FC236}">
                  <a16:creationId xmlns:a16="http://schemas.microsoft.com/office/drawing/2014/main" id="{00000000-0008-0000-0100-00004C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55</xdr:row>
          <xdr:rowOff>0</xdr:rowOff>
        </xdr:from>
        <xdr:to>
          <xdr:col>7</xdr:col>
          <xdr:colOff>876300</xdr:colOff>
          <xdr:row>55</xdr:row>
          <xdr:rowOff>203200</xdr:rowOff>
        </xdr:to>
        <xdr:sp macro="" textlink="">
          <xdr:nvSpPr>
            <xdr:cNvPr id="673869" name="Drop Down 77" hidden="1">
              <a:extLst>
                <a:ext uri="{63B3BB69-23CF-44E3-9099-C40C66FF867C}">
                  <a14:compatExt spid="_x0000_s673869"/>
                </a:ext>
                <a:ext uri="{FF2B5EF4-FFF2-40B4-BE49-F238E27FC236}">
                  <a16:creationId xmlns:a16="http://schemas.microsoft.com/office/drawing/2014/main" id="{00000000-0008-0000-0100-00004D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56</xdr:row>
          <xdr:rowOff>0</xdr:rowOff>
        </xdr:from>
        <xdr:to>
          <xdr:col>7</xdr:col>
          <xdr:colOff>876300</xdr:colOff>
          <xdr:row>56</xdr:row>
          <xdr:rowOff>203200</xdr:rowOff>
        </xdr:to>
        <xdr:sp macro="" textlink="">
          <xdr:nvSpPr>
            <xdr:cNvPr id="673870" name="Drop Down 78" hidden="1">
              <a:extLst>
                <a:ext uri="{63B3BB69-23CF-44E3-9099-C40C66FF867C}">
                  <a14:compatExt spid="_x0000_s673870"/>
                </a:ext>
                <a:ext uri="{FF2B5EF4-FFF2-40B4-BE49-F238E27FC236}">
                  <a16:creationId xmlns:a16="http://schemas.microsoft.com/office/drawing/2014/main" id="{00000000-0008-0000-0100-00004E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57</xdr:row>
          <xdr:rowOff>0</xdr:rowOff>
        </xdr:from>
        <xdr:to>
          <xdr:col>7</xdr:col>
          <xdr:colOff>876300</xdr:colOff>
          <xdr:row>57</xdr:row>
          <xdr:rowOff>203200</xdr:rowOff>
        </xdr:to>
        <xdr:sp macro="" textlink="">
          <xdr:nvSpPr>
            <xdr:cNvPr id="673871" name="Drop Down 79" hidden="1">
              <a:extLst>
                <a:ext uri="{63B3BB69-23CF-44E3-9099-C40C66FF867C}">
                  <a14:compatExt spid="_x0000_s673871"/>
                </a:ext>
                <a:ext uri="{FF2B5EF4-FFF2-40B4-BE49-F238E27FC236}">
                  <a16:creationId xmlns:a16="http://schemas.microsoft.com/office/drawing/2014/main" id="{00000000-0008-0000-0100-00004F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59</xdr:row>
          <xdr:rowOff>0</xdr:rowOff>
        </xdr:from>
        <xdr:to>
          <xdr:col>7</xdr:col>
          <xdr:colOff>876300</xdr:colOff>
          <xdr:row>59</xdr:row>
          <xdr:rowOff>203200</xdr:rowOff>
        </xdr:to>
        <xdr:sp macro="" textlink="">
          <xdr:nvSpPr>
            <xdr:cNvPr id="673872" name="Drop Down 80" hidden="1">
              <a:extLst>
                <a:ext uri="{63B3BB69-23CF-44E3-9099-C40C66FF867C}">
                  <a14:compatExt spid="_x0000_s673872"/>
                </a:ext>
                <a:ext uri="{FF2B5EF4-FFF2-40B4-BE49-F238E27FC236}">
                  <a16:creationId xmlns:a16="http://schemas.microsoft.com/office/drawing/2014/main" id="{00000000-0008-0000-0100-000050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60</xdr:row>
          <xdr:rowOff>0</xdr:rowOff>
        </xdr:from>
        <xdr:to>
          <xdr:col>7</xdr:col>
          <xdr:colOff>876300</xdr:colOff>
          <xdr:row>60</xdr:row>
          <xdr:rowOff>203200</xdr:rowOff>
        </xdr:to>
        <xdr:sp macro="" textlink="">
          <xdr:nvSpPr>
            <xdr:cNvPr id="673873" name="Drop Down 81" hidden="1">
              <a:extLst>
                <a:ext uri="{63B3BB69-23CF-44E3-9099-C40C66FF867C}">
                  <a14:compatExt spid="_x0000_s673873"/>
                </a:ext>
                <a:ext uri="{FF2B5EF4-FFF2-40B4-BE49-F238E27FC236}">
                  <a16:creationId xmlns:a16="http://schemas.microsoft.com/office/drawing/2014/main" id="{00000000-0008-0000-0100-000051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61</xdr:row>
          <xdr:rowOff>0</xdr:rowOff>
        </xdr:from>
        <xdr:to>
          <xdr:col>7</xdr:col>
          <xdr:colOff>876300</xdr:colOff>
          <xdr:row>61</xdr:row>
          <xdr:rowOff>203200</xdr:rowOff>
        </xdr:to>
        <xdr:sp macro="" textlink="">
          <xdr:nvSpPr>
            <xdr:cNvPr id="673874" name="Drop Down 82" hidden="1">
              <a:extLst>
                <a:ext uri="{63B3BB69-23CF-44E3-9099-C40C66FF867C}">
                  <a14:compatExt spid="_x0000_s673874"/>
                </a:ext>
                <a:ext uri="{FF2B5EF4-FFF2-40B4-BE49-F238E27FC236}">
                  <a16:creationId xmlns:a16="http://schemas.microsoft.com/office/drawing/2014/main" id="{00000000-0008-0000-0100-000052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47</xdr:row>
          <xdr:rowOff>0</xdr:rowOff>
        </xdr:from>
        <xdr:to>
          <xdr:col>7</xdr:col>
          <xdr:colOff>876300</xdr:colOff>
          <xdr:row>47</xdr:row>
          <xdr:rowOff>203200</xdr:rowOff>
        </xdr:to>
        <xdr:sp macro="" textlink="">
          <xdr:nvSpPr>
            <xdr:cNvPr id="673877" name="Drop Down 85" hidden="1">
              <a:extLst>
                <a:ext uri="{63B3BB69-23CF-44E3-9099-C40C66FF867C}">
                  <a14:compatExt spid="_x0000_s673877"/>
                </a:ext>
                <a:ext uri="{FF2B5EF4-FFF2-40B4-BE49-F238E27FC236}">
                  <a16:creationId xmlns:a16="http://schemas.microsoft.com/office/drawing/2014/main" id="{00000000-0008-0000-0100-000055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42</xdr:row>
          <xdr:rowOff>0</xdr:rowOff>
        </xdr:from>
        <xdr:to>
          <xdr:col>7</xdr:col>
          <xdr:colOff>876300</xdr:colOff>
          <xdr:row>42</xdr:row>
          <xdr:rowOff>203200</xdr:rowOff>
        </xdr:to>
        <xdr:sp macro="" textlink="">
          <xdr:nvSpPr>
            <xdr:cNvPr id="673878" name="Drop Down 86" hidden="1">
              <a:extLst>
                <a:ext uri="{63B3BB69-23CF-44E3-9099-C40C66FF867C}">
                  <a14:compatExt spid="_x0000_s673878"/>
                </a:ext>
                <a:ext uri="{FF2B5EF4-FFF2-40B4-BE49-F238E27FC236}">
                  <a16:creationId xmlns:a16="http://schemas.microsoft.com/office/drawing/2014/main" id="{00000000-0008-0000-0100-000056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43</xdr:row>
          <xdr:rowOff>0</xdr:rowOff>
        </xdr:from>
        <xdr:to>
          <xdr:col>7</xdr:col>
          <xdr:colOff>876300</xdr:colOff>
          <xdr:row>43</xdr:row>
          <xdr:rowOff>203200</xdr:rowOff>
        </xdr:to>
        <xdr:sp macro="" textlink="">
          <xdr:nvSpPr>
            <xdr:cNvPr id="673879" name="Drop Down 87" hidden="1">
              <a:extLst>
                <a:ext uri="{63B3BB69-23CF-44E3-9099-C40C66FF867C}">
                  <a14:compatExt spid="_x0000_s673879"/>
                </a:ext>
                <a:ext uri="{FF2B5EF4-FFF2-40B4-BE49-F238E27FC236}">
                  <a16:creationId xmlns:a16="http://schemas.microsoft.com/office/drawing/2014/main" id="{00000000-0008-0000-0100-000057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426493</xdr:colOff>
      <xdr:row>29</xdr:row>
      <xdr:rowOff>66675</xdr:rowOff>
    </xdr:from>
    <xdr:to>
      <xdr:col>4</xdr:col>
      <xdr:colOff>896649</xdr:colOff>
      <xdr:row>31</xdr:row>
      <xdr:rowOff>7156</xdr:rowOff>
    </xdr:to>
    <xdr:sp macro="" textlink="'Variable Management'!A270">
      <xdr:nvSpPr>
        <xdr:cNvPr id="89" name="Text Box 231">
          <a:extLst>
            <a:ext uri="{FF2B5EF4-FFF2-40B4-BE49-F238E27FC236}">
              <a16:creationId xmlns:a16="http://schemas.microsoft.com/office/drawing/2014/main" id="{00000000-0008-0000-0100-000059000000}"/>
            </a:ext>
          </a:extLst>
        </xdr:cNvPr>
        <xdr:cNvSpPr txBox="1">
          <a:spLocks noChangeArrowheads="1"/>
        </xdr:cNvSpPr>
      </xdr:nvSpPr>
      <xdr:spPr bwMode="auto">
        <a:xfrm>
          <a:off x="4417468" y="4762500"/>
          <a:ext cx="470156" cy="264331"/>
        </a:xfrm>
        <a:prstGeom prst="rect">
          <a:avLst/>
        </a:prstGeom>
        <a:noFill/>
        <a:ln w="9525">
          <a:noFill/>
          <a:miter lim="800000"/>
          <a:headEnd/>
          <a:tailEnd/>
        </a:ln>
      </xdr:spPr>
      <xdr:txBody>
        <a:bodyPr vertOverflow="clip" wrap="square" lIns="27432" tIns="27432" rIns="0" bIns="0" anchor="t" upright="1"/>
        <a:lstStyle/>
        <a:p>
          <a:pPr algn="l" rtl="0">
            <a:defRPr sz="1000"/>
          </a:pPr>
          <a:fld id="{6DDDD961-FD77-4006-A9BF-86BA94AAC47A}" type="TxLink">
            <a:rPr lang="en-US" sz="1000" b="0" i="0" u="none" strike="noStrike">
              <a:solidFill>
                <a:srgbClr val="000000"/>
              </a:solidFill>
              <a:latin typeface="Arial"/>
              <a:cs typeface="Arial"/>
            </a:rPr>
            <a:pPr algn="l" rtl="0">
              <a:defRPr sz="1000"/>
            </a:pPr>
            <a:t>Cs</a:t>
          </a:fld>
          <a:endParaRPr lang="en-US" sz="1000" b="0" i="0" strike="noStrike" baseline="-25000">
            <a:solidFill>
              <a:srgbClr val="000000"/>
            </a:solidFill>
            <a:latin typeface="Arial" pitchFamily="34" charset="0"/>
            <a:cs typeface="Arial" pitchFamily="34" charset="0"/>
          </a:endParaRPr>
        </a:p>
      </xdr:txBody>
    </xdr:sp>
    <xdr:clientData/>
  </xdr:twoCellAnchor>
  <xdr:twoCellAnchor>
    <xdr:from>
      <xdr:col>4</xdr:col>
      <xdr:colOff>352425</xdr:colOff>
      <xdr:row>30</xdr:row>
      <xdr:rowOff>105197</xdr:rowOff>
    </xdr:from>
    <xdr:to>
      <xdr:col>4</xdr:col>
      <xdr:colOff>921109</xdr:colOff>
      <xdr:row>31</xdr:row>
      <xdr:rowOff>160892</xdr:rowOff>
    </xdr:to>
    <xdr:sp macro="" textlink="'Variable Management'!B270">
      <xdr:nvSpPr>
        <xdr:cNvPr id="93" name="Text Box 270">
          <a:extLst>
            <a:ext uri="{FF2B5EF4-FFF2-40B4-BE49-F238E27FC236}">
              <a16:creationId xmlns:a16="http://schemas.microsoft.com/office/drawing/2014/main" id="{00000000-0008-0000-0100-00005D000000}"/>
            </a:ext>
          </a:extLst>
        </xdr:cNvPr>
        <xdr:cNvSpPr txBox="1">
          <a:spLocks noChangeArrowheads="1" noTextEdit="1"/>
        </xdr:cNvSpPr>
      </xdr:nvSpPr>
      <xdr:spPr bwMode="auto">
        <a:xfrm>
          <a:off x="4343400" y="4962947"/>
          <a:ext cx="568684" cy="217620"/>
        </a:xfrm>
        <a:prstGeom prst="rect">
          <a:avLst/>
        </a:prstGeom>
        <a:noFill/>
        <a:ln w="9525">
          <a:noFill/>
          <a:miter lim="800000"/>
          <a:headEnd/>
          <a:tailEnd/>
        </a:ln>
      </xdr:spPr>
      <xdr:txBody>
        <a:bodyPr vertOverflow="clip" wrap="square" lIns="27432" tIns="22860" rIns="0" bIns="0" anchor="t" upright="1"/>
        <a:lstStyle/>
        <a:p>
          <a:pPr algn="l" rtl="0">
            <a:defRPr sz="1000"/>
          </a:pPr>
          <a:fld id="{F1AA52B6-2C20-478B-832B-81CF265F500F}" type="TxLink">
            <a:rPr lang="en-US" sz="1000" b="0" i="0" u="none" strike="noStrike" baseline="0">
              <a:solidFill>
                <a:srgbClr val="000000"/>
              </a:solidFill>
              <a:latin typeface="Arial"/>
              <a:cs typeface="Arial"/>
            </a:rPr>
            <a:pPr algn="l" rtl="0">
              <a:defRPr sz="1000"/>
            </a:pPr>
            <a:t>8.2pF</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7</xdr:col>
      <xdr:colOff>155865</xdr:colOff>
      <xdr:row>7</xdr:row>
      <xdr:rowOff>25979</xdr:rowOff>
    </xdr:from>
    <xdr:to>
      <xdr:col>8</xdr:col>
      <xdr:colOff>225139</xdr:colOff>
      <xdr:row>8</xdr:row>
      <xdr:rowOff>101694</xdr:rowOff>
    </xdr:to>
    <xdr:sp macro="" textlink="'Variable Management'!B281">
      <xdr:nvSpPr>
        <xdr:cNvPr id="97" name="Text Box 283">
          <a:extLst>
            <a:ext uri="{FF2B5EF4-FFF2-40B4-BE49-F238E27FC236}">
              <a16:creationId xmlns:a16="http://schemas.microsoft.com/office/drawing/2014/main" id="{00000000-0008-0000-0100-000061000000}"/>
            </a:ext>
          </a:extLst>
        </xdr:cNvPr>
        <xdr:cNvSpPr txBox="1">
          <a:spLocks noChangeArrowheads="1" noTextEdit="1"/>
        </xdr:cNvSpPr>
      </xdr:nvSpPr>
      <xdr:spPr bwMode="auto">
        <a:xfrm>
          <a:off x="7308274" y="1177638"/>
          <a:ext cx="1143001" cy="240238"/>
        </a:xfrm>
        <a:prstGeom prst="rect">
          <a:avLst/>
        </a:prstGeom>
        <a:noFill/>
        <a:ln w="9525">
          <a:noFill/>
          <a:miter lim="800000"/>
          <a:headEnd/>
          <a:tailEnd/>
        </a:ln>
      </xdr:spPr>
      <xdr:txBody>
        <a:bodyPr vertOverflow="clip" wrap="square" lIns="27432" tIns="22860" rIns="0" bIns="0" anchor="t" upright="1"/>
        <a:lstStyle/>
        <a:p>
          <a:pPr algn="l" rtl="0">
            <a:defRPr sz="1000"/>
          </a:pPr>
          <a:fld id="{EF361795-4FFE-464C-BBFA-7CAE15CC7442}" type="TxLink">
            <a:rPr lang="en-US" sz="1200" b="1" i="0" u="none" strike="noStrike">
              <a:solidFill>
                <a:srgbClr val="0000FF"/>
              </a:solidFill>
              <a:latin typeface="Arial"/>
              <a:cs typeface="Arial"/>
            </a:rPr>
            <a:pPr algn="l" rtl="0">
              <a:defRPr sz="1000"/>
            </a:pPr>
            <a:t>16V to 36V</a:t>
          </a:fld>
          <a:endParaRPr lang="en-US" sz="2400" b="1" i="0" strike="noStrike">
            <a:solidFill>
              <a:srgbClr val="0000FF"/>
            </a:solidFill>
            <a:latin typeface="Arial" pitchFamily="34" charset="0"/>
            <a:cs typeface="Arial"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5</xdr:col>
          <xdr:colOff>1174750</xdr:colOff>
          <xdr:row>48</xdr:row>
          <xdr:rowOff>12700</xdr:rowOff>
        </xdr:from>
        <xdr:to>
          <xdr:col>6</xdr:col>
          <xdr:colOff>641350</xdr:colOff>
          <xdr:row>49</xdr:row>
          <xdr:rowOff>0</xdr:rowOff>
        </xdr:to>
        <xdr:sp macro="" textlink="">
          <xdr:nvSpPr>
            <xdr:cNvPr id="674328" name="Drop Down 536" hidden="1">
              <a:extLst>
                <a:ext uri="{63B3BB69-23CF-44E3-9099-C40C66FF867C}">
                  <a14:compatExt spid="_x0000_s674328"/>
                </a:ext>
                <a:ext uri="{FF2B5EF4-FFF2-40B4-BE49-F238E27FC236}">
                  <a16:creationId xmlns:a16="http://schemas.microsoft.com/office/drawing/2014/main" id="{00000000-0008-0000-0100-0000184A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1174750</xdr:colOff>
          <xdr:row>49</xdr:row>
          <xdr:rowOff>0</xdr:rowOff>
        </xdr:from>
        <xdr:to>
          <xdr:col>6</xdr:col>
          <xdr:colOff>641350</xdr:colOff>
          <xdr:row>49</xdr:row>
          <xdr:rowOff>203200</xdr:rowOff>
        </xdr:to>
        <xdr:sp macro="" textlink="">
          <xdr:nvSpPr>
            <xdr:cNvPr id="674330" name="Drop Down 538" hidden="1">
              <a:extLst>
                <a:ext uri="{63B3BB69-23CF-44E3-9099-C40C66FF867C}">
                  <a14:compatExt spid="_x0000_s674330"/>
                </a:ext>
                <a:ext uri="{FF2B5EF4-FFF2-40B4-BE49-F238E27FC236}">
                  <a16:creationId xmlns:a16="http://schemas.microsoft.com/office/drawing/2014/main" id="{00000000-0008-0000-0100-00001A4A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336176</xdr:colOff>
      <xdr:row>4</xdr:row>
      <xdr:rowOff>123263</xdr:rowOff>
    </xdr:from>
    <xdr:to>
      <xdr:col>12</xdr:col>
      <xdr:colOff>103841</xdr:colOff>
      <xdr:row>38</xdr:row>
      <xdr:rowOff>89647</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863" b="1395"/>
        <a:stretch/>
      </xdr:blipFill>
      <xdr:spPr>
        <a:xfrm>
          <a:off x="336176" y="1400734"/>
          <a:ext cx="7029077" cy="5703795"/>
        </a:xfrm>
        <a:prstGeom prst="rect">
          <a:avLst/>
        </a:prstGeom>
      </xdr:spPr>
    </xdr:pic>
    <xdr:clientData/>
  </xdr:twoCellAnchor>
  <xdr:twoCellAnchor editAs="oneCell">
    <xdr:from>
      <xdr:col>14</xdr:col>
      <xdr:colOff>403411</xdr:colOff>
      <xdr:row>4</xdr:row>
      <xdr:rowOff>11205</xdr:rowOff>
    </xdr:from>
    <xdr:to>
      <xdr:col>27</xdr:col>
      <xdr:colOff>358587</xdr:colOff>
      <xdr:row>39</xdr:row>
      <xdr:rowOff>69528</xdr:rowOff>
    </xdr:to>
    <xdr:pic>
      <xdr:nvPicPr>
        <xdr:cNvPr id="10" name="Picture 9">
          <a:extLst>
            <a:ext uri="{FF2B5EF4-FFF2-40B4-BE49-F238E27FC236}">
              <a16:creationId xmlns:a16="http://schemas.microsoft.com/office/drawing/2014/main" id="{00000000-0008-0000-0200-00000A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065558" y="1288676"/>
          <a:ext cx="8269941" cy="59526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222250</xdr:colOff>
          <xdr:row>10</xdr:row>
          <xdr:rowOff>114300</xdr:rowOff>
        </xdr:from>
        <xdr:to>
          <xdr:col>16</xdr:col>
          <xdr:colOff>31750</xdr:colOff>
          <xdr:row>31</xdr:row>
          <xdr:rowOff>127000</xdr:rowOff>
        </xdr:to>
        <xdr:sp macro="" textlink="">
          <xdr:nvSpPr>
            <xdr:cNvPr id="3073" name="Object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36</xdr:col>
      <xdr:colOff>200025</xdr:colOff>
      <xdr:row>8</xdr:row>
      <xdr:rowOff>19050</xdr:rowOff>
    </xdr:from>
    <xdr:to>
      <xdr:col>44</xdr:col>
      <xdr:colOff>742950</xdr:colOff>
      <xdr:row>30</xdr:row>
      <xdr:rowOff>85725</xdr:rowOff>
    </xdr:to>
    <xdr:graphicFrame macro="">
      <xdr:nvGraphicFramePr>
        <xdr:cNvPr id="21446051" name="Chart 11">
          <a:extLst>
            <a:ext uri="{FF2B5EF4-FFF2-40B4-BE49-F238E27FC236}">
              <a16:creationId xmlns:a16="http://schemas.microsoft.com/office/drawing/2014/main" id="{00000000-0008-0000-0500-0000A33D47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27</xdr:col>
      <xdr:colOff>200025</xdr:colOff>
      <xdr:row>8</xdr:row>
      <xdr:rowOff>28575</xdr:rowOff>
    </xdr:from>
    <xdr:to>
      <xdr:col>36</xdr:col>
      <xdr:colOff>180975</xdr:colOff>
      <xdr:row>30</xdr:row>
      <xdr:rowOff>123825</xdr:rowOff>
    </xdr:to>
    <xdr:graphicFrame macro="">
      <xdr:nvGraphicFramePr>
        <xdr:cNvPr id="21446052" name="Chart 15">
          <a:extLst>
            <a:ext uri="{FF2B5EF4-FFF2-40B4-BE49-F238E27FC236}">
              <a16:creationId xmlns:a16="http://schemas.microsoft.com/office/drawing/2014/main" id="{00000000-0008-0000-0500-0000A43D47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28</xdr:col>
      <xdr:colOff>9525</xdr:colOff>
      <xdr:row>30</xdr:row>
      <xdr:rowOff>152400</xdr:rowOff>
    </xdr:from>
    <xdr:to>
      <xdr:col>36</xdr:col>
      <xdr:colOff>209550</xdr:colOff>
      <xdr:row>53</xdr:row>
      <xdr:rowOff>95250</xdr:rowOff>
    </xdr:to>
    <xdr:graphicFrame macro="">
      <xdr:nvGraphicFramePr>
        <xdr:cNvPr id="21446053" name="Chart 16">
          <a:extLst>
            <a:ext uri="{FF2B5EF4-FFF2-40B4-BE49-F238E27FC236}">
              <a16:creationId xmlns:a16="http://schemas.microsoft.com/office/drawing/2014/main" id="{00000000-0008-0000-0500-0000A53D47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75</xdr:col>
      <xdr:colOff>466725</xdr:colOff>
      <xdr:row>6</xdr:row>
      <xdr:rowOff>76200</xdr:rowOff>
    </xdr:from>
    <xdr:to>
      <xdr:col>84</xdr:col>
      <xdr:colOff>238125</xdr:colOff>
      <xdr:row>29</xdr:row>
      <xdr:rowOff>19050</xdr:rowOff>
    </xdr:to>
    <xdr:graphicFrame macro="">
      <xdr:nvGraphicFramePr>
        <xdr:cNvPr id="21446054" name="Chart 18">
          <a:extLst>
            <a:ext uri="{FF2B5EF4-FFF2-40B4-BE49-F238E27FC236}">
              <a16:creationId xmlns:a16="http://schemas.microsoft.com/office/drawing/2014/main" id="{00000000-0008-0000-0500-0000A63D47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704849</xdr:colOff>
      <xdr:row>6</xdr:row>
      <xdr:rowOff>438149</xdr:rowOff>
    </xdr:from>
    <xdr:to>
      <xdr:col>1</xdr:col>
      <xdr:colOff>8915399</xdr:colOff>
      <xdr:row>8</xdr:row>
      <xdr:rowOff>1127</xdr:rowOff>
    </xdr:to>
    <xdr:pic>
      <xdr:nvPicPr>
        <xdr:cNvPr id="4" name="Picture 3">
          <a:extLst>
            <a:ext uri="{FF2B5EF4-FFF2-40B4-BE49-F238E27FC236}">
              <a16:creationId xmlns:a16="http://schemas.microsoft.com/office/drawing/2014/main" id="{00000000-0008-0000-06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4849" y="6362699"/>
          <a:ext cx="8915400" cy="51255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704849</xdr:colOff>
      <xdr:row>3</xdr:row>
      <xdr:rowOff>161924</xdr:rowOff>
    </xdr:from>
    <xdr:to>
      <xdr:col>1</xdr:col>
      <xdr:colOff>8915399</xdr:colOff>
      <xdr:row>5</xdr:row>
      <xdr:rowOff>1127</xdr:rowOff>
    </xdr:to>
    <xdr:pic>
      <xdr:nvPicPr>
        <xdr:cNvPr id="6" name="Picture 5">
          <a:extLst>
            <a:ext uri="{FF2B5EF4-FFF2-40B4-BE49-F238E27FC236}">
              <a16:creationId xmlns:a16="http://schemas.microsoft.com/office/drawing/2014/main" id="{00000000-0008-0000-06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04849" y="647699"/>
          <a:ext cx="8915400" cy="51255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6</xdr:col>
      <xdr:colOff>304800</xdr:colOff>
      <xdr:row>40</xdr:row>
      <xdr:rowOff>104775</xdr:rowOff>
    </xdr:from>
    <xdr:to>
      <xdr:col>19</xdr:col>
      <xdr:colOff>247650</xdr:colOff>
      <xdr:row>69</xdr:row>
      <xdr:rowOff>123825</xdr:rowOff>
    </xdr:to>
    <xdr:graphicFrame macro="">
      <xdr:nvGraphicFramePr>
        <xdr:cNvPr id="22259766" name="Chart 1">
          <a:extLst>
            <a:ext uri="{FF2B5EF4-FFF2-40B4-BE49-F238E27FC236}">
              <a16:creationId xmlns:a16="http://schemas.microsoft.com/office/drawing/2014/main" id="{00000000-0008-0000-0700-000036A853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19</xdr:col>
      <xdr:colOff>247650</xdr:colOff>
      <xdr:row>11</xdr:row>
      <xdr:rowOff>57150</xdr:rowOff>
    </xdr:from>
    <xdr:to>
      <xdr:col>30</xdr:col>
      <xdr:colOff>533400</xdr:colOff>
      <xdr:row>40</xdr:row>
      <xdr:rowOff>85725</xdr:rowOff>
    </xdr:to>
    <xdr:graphicFrame macro="">
      <xdr:nvGraphicFramePr>
        <xdr:cNvPr id="22259767" name="Chart 2">
          <a:extLst>
            <a:ext uri="{FF2B5EF4-FFF2-40B4-BE49-F238E27FC236}">
              <a16:creationId xmlns:a16="http://schemas.microsoft.com/office/drawing/2014/main" id="{00000000-0008-0000-0700-000037A853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295275</xdr:colOff>
      <xdr:row>11</xdr:row>
      <xdr:rowOff>57150</xdr:rowOff>
    </xdr:from>
    <xdr:to>
      <xdr:col>19</xdr:col>
      <xdr:colOff>228600</xdr:colOff>
      <xdr:row>40</xdr:row>
      <xdr:rowOff>85725</xdr:rowOff>
    </xdr:to>
    <xdr:graphicFrame macro="">
      <xdr:nvGraphicFramePr>
        <xdr:cNvPr id="22259768" name="Chart 4">
          <a:extLst>
            <a:ext uri="{FF2B5EF4-FFF2-40B4-BE49-F238E27FC236}">
              <a16:creationId xmlns:a16="http://schemas.microsoft.com/office/drawing/2014/main" id="{00000000-0008-0000-0700-000038A853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thegartyuser/National/LM5k%20Family/LM5175/Design%20Tool%20Calculator/LM5175%20Buck-Boost%20Quickstart%20Tool%20--%20r11b.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ign Converter"/>
      <sheetName val="BOM &amp; Schematic"/>
      <sheetName val="EVMs"/>
      <sheetName val="Variable Management"/>
      <sheetName val="Schematic Management"/>
      <sheetName val="Efficiency Plot Management"/>
      <sheetName val="Efficiency vs VIN Calculations"/>
      <sheetName val="Efficiency vs Load Calculations"/>
      <sheetName val="Stability Calculations"/>
      <sheetName val="Standard Value Calculator"/>
      <sheetName val="Snubber"/>
      <sheetName val="Parallel Output Caps"/>
      <sheetName val="LM5175 Buck-Boost Quickstart To"/>
    </sheetNames>
    <sheetDataSet>
      <sheetData sheetId="0" refreshError="1"/>
      <sheetData sheetId="1" refreshError="1"/>
      <sheetData sheetId="2" refreshError="1"/>
      <sheetData sheetId="3">
        <row r="7">
          <cell r="B7">
            <v>6</v>
          </cell>
        </row>
        <row r="8">
          <cell r="B8">
            <v>14</v>
          </cell>
        </row>
        <row r="12">
          <cell r="B12">
            <v>12</v>
          </cell>
        </row>
        <row r="13">
          <cell r="B13">
            <v>6</v>
          </cell>
        </row>
        <row r="22">
          <cell r="B22">
            <v>400000</v>
          </cell>
        </row>
        <row r="24">
          <cell r="B24">
            <v>0.8</v>
          </cell>
        </row>
        <row r="25">
          <cell r="B25">
            <v>62162.16216216216</v>
          </cell>
        </row>
        <row r="55">
          <cell r="B55">
            <v>0.2857142857142857</v>
          </cell>
        </row>
        <row r="69">
          <cell r="B69">
            <v>6.0000000000000001E-3</v>
          </cell>
        </row>
        <row r="71">
          <cell r="B71">
            <v>0.86013388406209934</v>
          </cell>
        </row>
        <row r="72">
          <cell r="B72">
            <v>0.13986611593790066</v>
          </cell>
        </row>
        <row r="78">
          <cell r="B78">
            <v>0.12</v>
          </cell>
        </row>
        <row r="158">
          <cell r="B158">
            <v>0</v>
          </cell>
        </row>
        <row r="169">
          <cell r="B169">
            <v>6.3746065057712495E-5</v>
          </cell>
        </row>
        <row r="171">
          <cell r="B171">
            <v>1E-4</v>
          </cell>
        </row>
        <row r="175">
          <cell r="B175">
            <v>2E-3</v>
          </cell>
        </row>
        <row r="176">
          <cell r="B176">
            <v>8.8495278069254987E-2</v>
          </cell>
        </row>
        <row r="185">
          <cell r="B185">
            <v>0.18</v>
          </cell>
        </row>
        <row r="191">
          <cell r="B191">
            <v>3.3000000000000003E-5</v>
          </cell>
        </row>
        <row r="194">
          <cell r="B194">
            <v>7.1631467874362633E-3</v>
          </cell>
        </row>
        <row r="196">
          <cell r="B196">
            <v>2E-3</v>
          </cell>
        </row>
        <row r="200">
          <cell r="B200">
            <v>0.13216554873697731</v>
          </cell>
        </row>
        <row r="205">
          <cell r="B205">
            <v>8.0000000000000002E-3</v>
          </cell>
        </row>
        <row r="207">
          <cell r="B207">
            <v>4.9999999999999998E-8</v>
          </cell>
        </row>
        <row r="208">
          <cell r="B208">
            <v>4.6999999999999997E-8</v>
          </cell>
        </row>
        <row r="212">
          <cell r="B212">
            <v>4.5</v>
          </cell>
        </row>
        <row r="214">
          <cell r="B214">
            <v>200</v>
          </cell>
        </row>
        <row r="215">
          <cell r="B215">
            <v>67.250821467688937</v>
          </cell>
        </row>
        <row r="220">
          <cell r="B220">
            <v>1.228</v>
          </cell>
        </row>
        <row r="221">
          <cell r="B221">
            <v>1.228</v>
          </cell>
        </row>
        <row r="223">
          <cell r="B223">
            <v>1.9E-3</v>
          </cell>
        </row>
        <row r="224">
          <cell r="B224">
            <v>5.4000000000000003E-3</v>
          </cell>
        </row>
        <row r="232">
          <cell r="B232">
            <v>1000</v>
          </cell>
        </row>
        <row r="233">
          <cell r="B233">
            <v>4.1666666666666663E-8</v>
          </cell>
        </row>
        <row r="238">
          <cell r="B238">
            <v>3.1415926500000002</v>
          </cell>
        </row>
        <row r="322">
          <cell r="B322">
            <v>0.3533676821707753</v>
          </cell>
        </row>
        <row r="343">
          <cell r="B343">
            <v>2</v>
          </cell>
        </row>
        <row r="350">
          <cell r="B350">
            <v>0.5304549448055903</v>
          </cell>
        </row>
        <row r="351">
          <cell r="B351">
            <v>678794.46103719797</v>
          </cell>
        </row>
        <row r="352">
          <cell r="B352">
            <v>795774.71636878187</v>
          </cell>
        </row>
        <row r="356">
          <cell r="B356">
            <v>9000</v>
          </cell>
        </row>
        <row r="357">
          <cell r="B357">
            <v>2337.6417750000005</v>
          </cell>
        </row>
        <row r="358">
          <cell r="B358">
            <v>1.512967707464325E-8</v>
          </cell>
        </row>
        <row r="359">
          <cell r="B359">
            <v>-1.5507080848604372E-11</v>
          </cell>
        </row>
        <row r="362">
          <cell r="B362">
            <v>2320</v>
          </cell>
        </row>
        <row r="363">
          <cell r="B363">
            <v>1.5000000000000002E-8</v>
          </cell>
        </row>
        <row r="364">
          <cell r="B364">
            <v>0</v>
          </cell>
        </row>
        <row r="369">
          <cell r="B369">
            <v>4573.4179101654126</v>
          </cell>
        </row>
        <row r="374">
          <cell r="B374">
            <v>7150</v>
          </cell>
        </row>
        <row r="387">
          <cell r="B387">
            <v>25</v>
          </cell>
        </row>
        <row r="389">
          <cell r="B389">
            <v>4.0000000000000001E-3</v>
          </cell>
        </row>
        <row r="390">
          <cell r="B390">
            <v>20</v>
          </cell>
        </row>
        <row r="393">
          <cell r="B393">
            <v>7.5</v>
          </cell>
        </row>
        <row r="395">
          <cell r="B395">
            <v>1.5</v>
          </cell>
        </row>
        <row r="396">
          <cell r="B396">
            <v>1</v>
          </cell>
        </row>
        <row r="398">
          <cell r="B398">
            <v>1.5</v>
          </cell>
        </row>
        <row r="399">
          <cell r="B399">
            <v>1</v>
          </cell>
        </row>
        <row r="401">
          <cell r="B401">
            <v>4.9999999999999998E-8</v>
          </cell>
        </row>
        <row r="403">
          <cell r="B403">
            <v>3.0000000000000001E-3</v>
          </cell>
        </row>
        <row r="407">
          <cell r="B407">
            <v>4.0000000000000001E-3</v>
          </cell>
        </row>
        <row r="424">
          <cell r="B424">
            <v>4.0000000000000001E-3</v>
          </cell>
        </row>
        <row r="441">
          <cell r="B441">
            <v>0</v>
          </cell>
        </row>
        <row r="444">
          <cell r="B444">
            <v>30.5</v>
          </cell>
        </row>
      </sheetData>
      <sheetData sheetId="4" refreshError="1"/>
      <sheetData sheetId="5">
        <row r="2">
          <cell r="A2" t="str">
            <v>EFF_IOUT</v>
          </cell>
        </row>
      </sheetData>
      <sheetData sheetId="6" refreshError="1"/>
      <sheetData sheetId="7" refreshError="1"/>
      <sheetData sheetId="8">
        <row r="3">
          <cell r="K3">
            <v>795774.71636878187</v>
          </cell>
        </row>
      </sheetData>
      <sheetData sheetId="9">
        <row r="21">
          <cell r="O21">
            <v>0</v>
          </cell>
        </row>
      </sheetData>
      <sheetData sheetId="10" refreshError="1"/>
      <sheetData sheetId="11" refreshError="1"/>
      <sheetData sheetId="1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bwMode="auto">
        <a:noFill/>
        <a:ln w="9525">
          <a:noFill/>
          <a:miter lim="800000"/>
          <a:headEnd/>
          <a:tailEnd/>
        </a:ln>
      </a:spPr>
      <a:bodyPr vertOverflow="clip" wrap="square" lIns="27432" tIns="27432" rIns="0" bIns="0" anchor="t" upright="1"/>
      <a:lstStyle>
        <a:defPPr algn="l" rtl="0">
          <a:defRPr sz="1100" b="0" i="0" strike="noStrike">
            <a:solidFill>
              <a:srgbClr val="000000"/>
            </a:solidFill>
            <a:latin typeface="Calibri"/>
          </a:defRPr>
        </a:defPPr>
      </a:lstStyle>
    </a:tx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3" Type="http://schemas.openxmlformats.org/officeDocument/2006/relationships/drawing" Target="../drawings/drawing1.xml"/><Relationship Id="rId7" Type="http://schemas.openxmlformats.org/officeDocument/2006/relationships/ctrlProp" Target="../ctrlProps/ctrlProp2.xml"/><Relationship Id="rId12" Type="http://schemas.openxmlformats.org/officeDocument/2006/relationships/ctrlProp" Target="../ctrlProps/ctrlProp7.xml"/><Relationship Id="rId2" Type="http://schemas.openxmlformats.org/officeDocument/2006/relationships/printerSettings" Target="../printerSettings/printerSettings1.bin"/><Relationship Id="rId1" Type="http://schemas.openxmlformats.org/officeDocument/2006/relationships/hyperlink" Target="http://www.ti.com/pol" TargetMode="External"/><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vmlDrawing" Target="../drawings/vmlDrawing2.vml"/><Relationship Id="rId10" Type="http://schemas.openxmlformats.org/officeDocument/2006/relationships/ctrlProp" Target="../ctrlProps/ctrlProp5.xml"/><Relationship Id="rId4" Type="http://schemas.openxmlformats.org/officeDocument/2006/relationships/vmlDrawing" Target="../drawings/vmlDrawing1.vml"/><Relationship Id="rId9" Type="http://schemas.openxmlformats.org/officeDocument/2006/relationships/ctrlProp" Target="../ctrlProps/ctrlProp4.xml"/><Relationship Id="rId1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3.xml"/><Relationship Id="rId13" Type="http://schemas.openxmlformats.org/officeDocument/2006/relationships/ctrlProp" Target="../ctrlProps/ctrlProp18.xml"/><Relationship Id="rId18" Type="http://schemas.openxmlformats.org/officeDocument/2006/relationships/ctrlProp" Target="../ctrlProps/ctrlProp23.xml"/><Relationship Id="rId26" Type="http://schemas.openxmlformats.org/officeDocument/2006/relationships/ctrlProp" Target="../ctrlProps/ctrlProp31.xml"/><Relationship Id="rId3" Type="http://schemas.openxmlformats.org/officeDocument/2006/relationships/vmlDrawing" Target="../drawings/vmlDrawing3.vml"/><Relationship Id="rId21" Type="http://schemas.openxmlformats.org/officeDocument/2006/relationships/ctrlProp" Target="../ctrlProps/ctrlProp26.xml"/><Relationship Id="rId7" Type="http://schemas.openxmlformats.org/officeDocument/2006/relationships/ctrlProp" Target="../ctrlProps/ctrlProp12.xml"/><Relationship Id="rId12" Type="http://schemas.openxmlformats.org/officeDocument/2006/relationships/ctrlProp" Target="../ctrlProps/ctrlProp17.xml"/><Relationship Id="rId17" Type="http://schemas.openxmlformats.org/officeDocument/2006/relationships/ctrlProp" Target="../ctrlProps/ctrlProp22.xml"/><Relationship Id="rId25" Type="http://schemas.openxmlformats.org/officeDocument/2006/relationships/ctrlProp" Target="../ctrlProps/ctrlProp30.xml"/><Relationship Id="rId2" Type="http://schemas.openxmlformats.org/officeDocument/2006/relationships/drawing" Target="../drawings/drawing3.xml"/><Relationship Id="rId16" Type="http://schemas.openxmlformats.org/officeDocument/2006/relationships/ctrlProp" Target="../ctrlProps/ctrlProp21.xml"/><Relationship Id="rId20" Type="http://schemas.openxmlformats.org/officeDocument/2006/relationships/ctrlProp" Target="../ctrlProps/ctrlProp25.xml"/><Relationship Id="rId1" Type="http://schemas.openxmlformats.org/officeDocument/2006/relationships/printerSettings" Target="../printerSettings/printerSettings2.bin"/><Relationship Id="rId6" Type="http://schemas.openxmlformats.org/officeDocument/2006/relationships/ctrlProp" Target="../ctrlProps/ctrlProp11.xml"/><Relationship Id="rId11" Type="http://schemas.openxmlformats.org/officeDocument/2006/relationships/ctrlProp" Target="../ctrlProps/ctrlProp16.xml"/><Relationship Id="rId24" Type="http://schemas.openxmlformats.org/officeDocument/2006/relationships/ctrlProp" Target="../ctrlProps/ctrlProp29.xml"/><Relationship Id="rId5" Type="http://schemas.openxmlformats.org/officeDocument/2006/relationships/ctrlProp" Target="../ctrlProps/ctrlProp10.xml"/><Relationship Id="rId15" Type="http://schemas.openxmlformats.org/officeDocument/2006/relationships/ctrlProp" Target="../ctrlProps/ctrlProp20.xml"/><Relationship Id="rId23" Type="http://schemas.openxmlformats.org/officeDocument/2006/relationships/ctrlProp" Target="../ctrlProps/ctrlProp28.xml"/><Relationship Id="rId28" Type="http://schemas.openxmlformats.org/officeDocument/2006/relationships/ctrlProp" Target="../ctrlProps/ctrlProp33.xml"/><Relationship Id="rId10" Type="http://schemas.openxmlformats.org/officeDocument/2006/relationships/ctrlProp" Target="../ctrlProps/ctrlProp15.xml"/><Relationship Id="rId19" Type="http://schemas.openxmlformats.org/officeDocument/2006/relationships/ctrlProp" Target="../ctrlProps/ctrlProp24.xml"/><Relationship Id="rId4" Type="http://schemas.openxmlformats.org/officeDocument/2006/relationships/ctrlProp" Target="../ctrlProps/ctrlProp9.xml"/><Relationship Id="rId9" Type="http://schemas.openxmlformats.org/officeDocument/2006/relationships/ctrlProp" Target="../ctrlProps/ctrlProp14.xml"/><Relationship Id="rId14" Type="http://schemas.openxmlformats.org/officeDocument/2006/relationships/ctrlProp" Target="../ctrlProps/ctrlProp19.xml"/><Relationship Id="rId22" Type="http://schemas.openxmlformats.org/officeDocument/2006/relationships/ctrlProp" Target="../ctrlProps/ctrlProp27.xml"/><Relationship Id="rId27" Type="http://schemas.openxmlformats.org/officeDocument/2006/relationships/ctrlProp" Target="../ctrlProps/ctrlProp3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4.bin"/><Relationship Id="rId5" Type="http://schemas.openxmlformats.org/officeDocument/2006/relationships/image" Target="../media/image11.emf"/><Relationship Id="rId4" Type="http://schemas.openxmlformats.org/officeDocument/2006/relationships/oleObject" Target="../embeddings/oleObject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pageSetUpPr fitToPage="1"/>
  </sheetPr>
  <dimension ref="A1:AI927"/>
  <sheetViews>
    <sheetView tabSelected="1" topLeftCell="A76" zoomScale="50" zoomScaleNormal="100" zoomScaleSheetLayoutView="100" workbookViewId="0">
      <selection activeCell="E62" sqref="E62"/>
    </sheetView>
  </sheetViews>
  <sheetFormatPr defaultColWidth="9.1796875" defaultRowHeight="13" x14ac:dyDescent="0.3"/>
  <cols>
    <col min="1" max="1" width="8.26953125" style="322" customWidth="1"/>
    <col min="2" max="2" width="8.26953125" style="147" customWidth="1"/>
    <col min="3" max="3" width="14.54296875" style="147" customWidth="1"/>
    <col min="4" max="4" width="8" style="147" customWidth="1"/>
    <col min="5" max="5" width="7" style="147" customWidth="1"/>
    <col min="6" max="6" width="8.26953125" style="147" customWidth="1"/>
    <col min="7" max="7" width="9.1796875" style="147" customWidth="1"/>
    <col min="8" max="8" width="11.81640625" style="147" customWidth="1"/>
    <col min="9" max="9" width="9.1796875" style="147"/>
    <col min="10" max="10" width="12.453125" style="147" bestFit="1" customWidth="1"/>
    <col min="11" max="11" width="9.1796875" style="147"/>
    <col min="12" max="12" width="12.453125" style="147" bestFit="1" customWidth="1"/>
    <col min="13" max="15" width="9.1796875" style="147"/>
    <col min="16" max="16" width="10.1796875" style="147" customWidth="1"/>
    <col min="17" max="17" width="41.81640625" style="147" customWidth="1"/>
    <col min="18" max="18" width="3.1796875" style="147" customWidth="1"/>
    <col min="19" max="19" width="10" style="147" bestFit="1" customWidth="1"/>
    <col min="20" max="16384" width="9.1796875" style="147"/>
  </cols>
  <sheetData>
    <row r="1" spans="1:19" ht="50.25" customHeight="1" x14ac:dyDescent="0.3">
      <c r="A1" s="569" t="s">
        <v>749</v>
      </c>
      <c r="B1" s="570"/>
      <c r="C1" s="570"/>
      <c r="D1" s="570"/>
      <c r="E1" s="570"/>
      <c r="F1" s="570"/>
      <c r="G1" s="570"/>
      <c r="H1" s="570"/>
      <c r="I1" s="570"/>
      <c r="J1" s="570"/>
      <c r="K1" s="570"/>
      <c r="L1" s="570"/>
      <c r="M1" s="570"/>
      <c r="N1" s="570"/>
      <c r="O1" s="570"/>
      <c r="P1" s="570"/>
      <c r="Q1" s="570"/>
      <c r="R1" s="418"/>
    </row>
    <row r="2" spans="1:19" ht="13.5" customHeight="1" x14ac:dyDescent="0.65">
      <c r="A2" s="556"/>
      <c r="B2" s="422"/>
      <c r="C2" s="422"/>
      <c r="D2" s="422"/>
      <c r="E2" s="422"/>
      <c r="F2" s="422"/>
      <c r="G2" s="422"/>
      <c r="H2" s="422"/>
      <c r="I2" s="422"/>
      <c r="J2" s="422"/>
      <c r="K2" s="422"/>
      <c r="L2" s="422"/>
      <c r="M2" s="545"/>
      <c r="N2" s="550"/>
      <c r="O2" s="551"/>
      <c r="P2" s="550"/>
      <c r="Q2" s="550"/>
      <c r="R2" s="418"/>
    </row>
    <row r="3" spans="1:19" ht="14.25" customHeight="1" x14ac:dyDescent="0.65">
      <c r="A3" s="432" t="s">
        <v>478</v>
      </c>
      <c r="B3" s="423"/>
      <c r="C3" s="433" t="s">
        <v>479</v>
      </c>
      <c r="D3" s="424"/>
      <c r="E3" s="212"/>
      <c r="F3" s="426" t="s">
        <v>285</v>
      </c>
      <c r="G3" s="425"/>
      <c r="H3" s="422"/>
      <c r="I3" s="422"/>
      <c r="J3" s="425"/>
      <c r="K3" s="427"/>
      <c r="L3" s="428"/>
      <c r="M3" s="546"/>
      <c r="N3" s="554"/>
      <c r="O3" s="568" t="s">
        <v>117</v>
      </c>
      <c r="P3" s="568"/>
      <c r="Q3" s="418" t="s">
        <v>320</v>
      </c>
      <c r="R3" s="418"/>
    </row>
    <row r="4" spans="1:19" ht="13.5" customHeight="1" thickBot="1" x14ac:dyDescent="0.5">
      <c r="A4" s="429"/>
      <c r="B4" s="430"/>
      <c r="C4" s="431"/>
      <c r="D4" s="431"/>
      <c r="E4" s="431"/>
      <c r="F4" s="431"/>
      <c r="G4" s="431"/>
      <c r="H4" s="431"/>
      <c r="I4" s="431"/>
      <c r="J4" s="431"/>
      <c r="K4" s="431"/>
      <c r="L4" s="431"/>
      <c r="M4" s="547"/>
      <c r="N4" s="552"/>
      <c r="O4" s="552"/>
      <c r="P4" s="552"/>
      <c r="Q4" s="553"/>
      <c r="R4" s="418"/>
    </row>
    <row r="5" spans="1:19" ht="20.149999999999999" customHeight="1" thickBot="1" x14ac:dyDescent="0.5">
      <c r="A5" s="253" t="s">
        <v>441</v>
      </c>
      <c r="B5" s="210"/>
      <c r="C5" s="148"/>
      <c r="D5" s="148"/>
      <c r="E5" s="150"/>
      <c r="F5" s="148"/>
      <c r="G5" s="191"/>
      <c r="H5" s="151"/>
      <c r="I5" s="151"/>
      <c r="J5" s="151"/>
      <c r="K5" s="151"/>
      <c r="L5" s="151"/>
      <c r="M5" s="548"/>
      <c r="N5" s="548"/>
      <c r="O5" s="548"/>
      <c r="P5" s="548"/>
      <c r="Q5" s="549"/>
      <c r="R5" s="418"/>
    </row>
    <row r="6" spans="1:19" ht="14.15" customHeight="1" x14ac:dyDescent="0.4">
      <c r="A6" s="316"/>
      <c r="B6" s="263"/>
      <c r="C6" s="264"/>
      <c r="D6" s="265" t="s">
        <v>572</v>
      </c>
      <c r="E6" s="266">
        <v>16</v>
      </c>
      <c r="F6" s="267" t="s">
        <v>0</v>
      </c>
      <c r="G6" s="221"/>
      <c r="H6" s="219"/>
      <c r="I6" s="151"/>
      <c r="J6" s="151"/>
      <c r="K6" s="151"/>
      <c r="L6" s="151"/>
      <c r="M6" s="151"/>
      <c r="N6" s="151"/>
      <c r="O6" s="151"/>
      <c r="P6" s="151"/>
      <c r="Q6" s="190"/>
      <c r="R6" s="418"/>
    </row>
    <row r="7" spans="1:19" ht="14.15" customHeight="1" x14ac:dyDescent="0.4">
      <c r="A7" s="435"/>
      <c r="B7" s="219"/>
      <c r="C7" s="216"/>
      <c r="D7" s="258" t="s">
        <v>573</v>
      </c>
      <c r="E7" s="220">
        <v>24</v>
      </c>
      <c r="F7" s="268" t="s">
        <v>0</v>
      </c>
      <c r="G7" s="221"/>
      <c r="H7" s="219"/>
      <c r="I7" s="151"/>
      <c r="J7" s="151"/>
      <c r="K7" s="151"/>
      <c r="L7" s="151"/>
      <c r="M7" s="151"/>
      <c r="N7" s="151"/>
      <c r="O7" s="151"/>
      <c r="P7" s="151"/>
      <c r="Q7" s="190"/>
      <c r="R7" s="418"/>
    </row>
    <row r="8" spans="1:19" ht="14.15" customHeight="1" x14ac:dyDescent="0.4">
      <c r="A8" s="435"/>
      <c r="B8" s="219"/>
      <c r="C8" s="216"/>
      <c r="D8" s="258" t="s">
        <v>574</v>
      </c>
      <c r="E8" s="220">
        <v>36</v>
      </c>
      <c r="F8" s="268" t="s">
        <v>0</v>
      </c>
      <c r="G8" s="221"/>
      <c r="H8" s="219"/>
      <c r="I8" s="151"/>
      <c r="J8" s="151"/>
      <c r="K8" s="151"/>
      <c r="L8" s="151"/>
      <c r="M8" s="151"/>
      <c r="N8" s="151"/>
      <c r="O8" s="151"/>
      <c r="P8" s="151"/>
      <c r="Q8" s="190"/>
      <c r="R8" s="418"/>
    </row>
    <row r="9" spans="1:19" ht="14.15" customHeight="1" x14ac:dyDescent="0.4">
      <c r="A9" s="218"/>
      <c r="B9" s="219"/>
      <c r="C9" s="216"/>
      <c r="D9" s="258" t="s">
        <v>567</v>
      </c>
      <c r="E9" s="220">
        <v>12</v>
      </c>
      <c r="F9" s="268" t="s">
        <v>0</v>
      </c>
      <c r="G9" s="221"/>
      <c r="H9" s="219"/>
      <c r="I9" s="151"/>
      <c r="J9" s="151"/>
      <c r="K9" s="151"/>
      <c r="L9" s="151"/>
      <c r="M9" s="151"/>
      <c r="N9" s="151"/>
      <c r="O9" s="151"/>
      <c r="P9" s="151"/>
      <c r="Q9" s="190"/>
      <c r="R9" s="418"/>
      <c r="S9" s="146"/>
    </row>
    <row r="10" spans="1:19" ht="14.15" customHeight="1" x14ac:dyDescent="0.4">
      <c r="A10" s="218"/>
      <c r="B10" s="219"/>
      <c r="C10" s="216"/>
      <c r="D10" s="258" t="s">
        <v>566</v>
      </c>
      <c r="E10" s="220">
        <v>9</v>
      </c>
      <c r="F10" s="268" t="s">
        <v>2</v>
      </c>
      <c r="G10" s="221"/>
      <c r="H10" s="219"/>
      <c r="I10" s="151"/>
      <c r="J10" s="151"/>
      <c r="K10" s="151"/>
      <c r="L10" s="151"/>
      <c r="M10" s="151"/>
      <c r="N10" s="151"/>
      <c r="O10" s="151"/>
      <c r="P10" s="151"/>
      <c r="Q10" s="190"/>
      <c r="R10" s="418"/>
      <c r="S10" s="146"/>
    </row>
    <row r="11" spans="1:19" ht="14.15" customHeight="1" x14ac:dyDescent="0.4">
      <c r="A11" s="218"/>
      <c r="B11" s="219"/>
      <c r="C11" s="216"/>
      <c r="D11" s="258" t="s">
        <v>625</v>
      </c>
      <c r="E11" s="222">
        <v>400</v>
      </c>
      <c r="F11" s="268" t="s">
        <v>3</v>
      </c>
      <c r="G11" s="221"/>
      <c r="H11" s="219"/>
      <c r="I11" s="151"/>
      <c r="J11" s="151"/>
      <c r="K11" s="151"/>
      <c r="L11" s="151"/>
      <c r="M11" s="151"/>
      <c r="N11" s="151"/>
      <c r="O11" s="151"/>
      <c r="P11" s="151"/>
      <c r="Q11" s="190"/>
      <c r="R11" s="418"/>
    </row>
    <row r="12" spans="1:19" ht="14.15" customHeight="1" x14ac:dyDescent="0.4">
      <c r="A12" s="218"/>
      <c r="B12" s="219"/>
      <c r="C12" s="216"/>
      <c r="D12" s="258" t="s">
        <v>626</v>
      </c>
      <c r="E12" s="222">
        <v>400</v>
      </c>
      <c r="F12" s="268" t="s">
        <v>3</v>
      </c>
      <c r="G12" s="223"/>
      <c r="H12" s="219"/>
      <c r="I12" s="151"/>
      <c r="J12" s="151"/>
      <c r="K12" s="151"/>
      <c r="L12" s="151"/>
      <c r="M12" s="151"/>
      <c r="N12" s="151"/>
      <c r="O12" s="151"/>
      <c r="P12" s="151"/>
      <c r="Q12" s="190"/>
      <c r="R12" s="418"/>
    </row>
    <row r="13" spans="1:19" ht="16" customHeight="1" thickBot="1" x14ac:dyDescent="0.45">
      <c r="A13" s="269"/>
      <c r="B13" s="270"/>
      <c r="C13" s="217"/>
      <c r="D13" s="217" t="s">
        <v>569</v>
      </c>
      <c r="E13" s="284">
        <f>'Standard Value Calculator'!S4/1000</f>
        <v>24.9</v>
      </c>
      <c r="F13" s="271" t="s">
        <v>116</v>
      </c>
      <c r="G13" s="221"/>
      <c r="H13" s="219"/>
      <c r="I13" s="151"/>
      <c r="J13" s="151"/>
      <c r="K13" s="151"/>
      <c r="L13" s="151"/>
      <c r="M13" s="151"/>
      <c r="N13" s="151"/>
      <c r="O13" s="151"/>
      <c r="P13" s="151"/>
      <c r="Q13" s="190"/>
      <c r="R13" s="418"/>
    </row>
    <row r="14" spans="1:19" ht="14.15" customHeight="1" x14ac:dyDescent="0.3">
      <c r="A14" s="218"/>
      <c r="B14" s="219"/>
      <c r="C14" s="219"/>
      <c r="D14" s="224"/>
      <c r="E14" s="225"/>
      <c r="F14" s="219"/>
      <c r="G14" s="221"/>
      <c r="H14" s="219"/>
      <c r="I14" s="151"/>
      <c r="J14" s="151"/>
      <c r="K14" s="151"/>
      <c r="L14" s="151"/>
      <c r="M14" s="151"/>
      <c r="N14" s="151"/>
      <c r="O14" s="151"/>
      <c r="P14" s="151"/>
      <c r="Q14" s="190"/>
      <c r="R14" s="418"/>
    </row>
    <row r="15" spans="1:19" ht="20.149999999999999" customHeight="1" thickBot="1" x14ac:dyDescent="0.4">
      <c r="A15" s="253" t="s">
        <v>430</v>
      </c>
      <c r="B15" s="226"/>
      <c r="C15" s="227"/>
      <c r="D15" s="227"/>
      <c r="E15" s="228"/>
      <c r="F15" s="227"/>
      <c r="G15" s="221"/>
      <c r="H15" s="219"/>
      <c r="I15" s="151"/>
      <c r="J15" s="151"/>
      <c r="K15" s="151"/>
      <c r="L15" s="151"/>
      <c r="M15" s="151"/>
      <c r="N15" s="151"/>
      <c r="O15" s="151"/>
      <c r="P15" s="151"/>
      <c r="Q15" s="190"/>
      <c r="R15" s="418"/>
    </row>
    <row r="16" spans="1:19" ht="14.15" customHeight="1" x14ac:dyDescent="0.3">
      <c r="A16" s="316"/>
      <c r="B16" s="263"/>
      <c r="C16" s="264"/>
      <c r="D16" s="264" t="s">
        <v>461</v>
      </c>
      <c r="E16" s="523">
        <f>Lout1*1000000</f>
        <v>5.005005005005005</v>
      </c>
      <c r="F16" s="272" t="s">
        <v>413</v>
      </c>
      <c r="G16" s="221"/>
      <c r="H16" s="219"/>
      <c r="I16" s="151"/>
      <c r="J16" s="151"/>
      <c r="K16" s="151"/>
      <c r="L16" s="151"/>
      <c r="M16" s="151"/>
      <c r="N16" s="151"/>
      <c r="O16" s="151"/>
      <c r="P16" s="151"/>
      <c r="Q16" s="190"/>
      <c r="R16" s="418"/>
    </row>
    <row r="17" spans="1:19" ht="14.15" customHeight="1" x14ac:dyDescent="0.4">
      <c r="A17" s="218"/>
      <c r="B17" s="219"/>
      <c r="C17" s="216"/>
      <c r="D17" s="258" t="s">
        <v>568</v>
      </c>
      <c r="E17" s="220">
        <v>6.8</v>
      </c>
      <c r="F17" s="268" t="s">
        <v>413</v>
      </c>
      <c r="G17" s="221"/>
      <c r="H17" s="219"/>
      <c r="I17" s="151"/>
      <c r="J17" s="151"/>
      <c r="K17" s="151"/>
      <c r="L17" s="151"/>
      <c r="M17" s="151"/>
      <c r="N17" s="151"/>
      <c r="O17" s="151"/>
      <c r="P17" s="151"/>
      <c r="Q17" s="190"/>
      <c r="R17" s="418"/>
    </row>
    <row r="18" spans="1:19" ht="14.15" customHeight="1" x14ac:dyDescent="0.3">
      <c r="A18" s="218"/>
      <c r="B18" s="219"/>
      <c r="C18" s="216"/>
      <c r="D18" s="258" t="s">
        <v>462</v>
      </c>
      <c r="E18" s="220">
        <v>12</v>
      </c>
      <c r="F18" s="268" t="s">
        <v>115</v>
      </c>
      <c r="G18" s="221"/>
      <c r="H18" s="219"/>
      <c r="I18" s="151"/>
      <c r="J18" s="151"/>
      <c r="K18" s="151"/>
      <c r="L18" s="151"/>
      <c r="M18" s="151"/>
      <c r="N18" s="151"/>
      <c r="O18" s="151"/>
      <c r="P18" s="151"/>
      <c r="Q18" s="190"/>
      <c r="R18" s="418"/>
    </row>
    <row r="19" spans="1:19" ht="15" customHeight="1" x14ac:dyDescent="0.4">
      <c r="A19" s="218"/>
      <c r="B19" s="219"/>
      <c r="C19" s="216"/>
      <c r="D19" s="434" t="s">
        <v>571</v>
      </c>
      <c r="E19" s="255">
        <f>Iripple1</f>
        <v>2.2524152805270776</v>
      </c>
      <c r="F19" s="273" t="s">
        <v>446</v>
      </c>
      <c r="G19" s="221"/>
      <c r="H19" s="219"/>
      <c r="I19" s="151"/>
      <c r="J19" s="151"/>
      <c r="K19" s="151"/>
      <c r="L19" s="151"/>
      <c r="M19" s="151"/>
      <c r="N19" s="151"/>
      <c r="O19" s="151"/>
      <c r="P19" s="151"/>
      <c r="Q19" s="190"/>
      <c r="R19" s="418"/>
    </row>
    <row r="20" spans="1:19" ht="15" customHeight="1" thickBot="1" x14ac:dyDescent="0.45">
      <c r="A20" s="269"/>
      <c r="B20" s="270"/>
      <c r="C20" s="217"/>
      <c r="D20" s="217" t="s">
        <v>548</v>
      </c>
      <c r="E20" s="274">
        <f>Iripple1/Iout*100</f>
        <v>25.026836450300859</v>
      </c>
      <c r="F20" s="271" t="s">
        <v>300</v>
      </c>
      <c r="G20" s="221"/>
      <c r="H20" s="219"/>
      <c r="I20" s="151"/>
      <c r="J20" s="151"/>
      <c r="K20" s="151"/>
      <c r="L20" s="151"/>
      <c r="M20" s="151"/>
      <c r="N20" s="151"/>
      <c r="O20" s="151"/>
      <c r="P20" s="151"/>
      <c r="Q20" s="190"/>
      <c r="R20" s="418"/>
    </row>
    <row r="21" spans="1:19" ht="14.15" customHeight="1" x14ac:dyDescent="0.3">
      <c r="A21" s="218"/>
      <c r="B21" s="219"/>
      <c r="C21" s="219"/>
      <c r="D21" s="219"/>
      <c r="E21" s="219"/>
      <c r="F21" s="219"/>
      <c r="G21" s="221"/>
      <c r="H21" s="219"/>
      <c r="I21" s="151"/>
      <c r="J21" s="151"/>
      <c r="K21" s="151"/>
      <c r="L21" s="151"/>
      <c r="M21" s="151"/>
      <c r="N21" s="151"/>
      <c r="O21" s="151"/>
      <c r="P21" s="151"/>
      <c r="Q21" s="190"/>
      <c r="R21" s="418"/>
    </row>
    <row r="22" spans="1:19" ht="20.149999999999999" customHeight="1" thickBot="1" x14ac:dyDescent="0.5">
      <c r="A22" s="252" t="s">
        <v>565</v>
      </c>
      <c r="B22" s="229"/>
      <c r="C22" s="219"/>
      <c r="D22" s="219"/>
      <c r="E22" s="219"/>
      <c r="F22" s="219"/>
      <c r="G22" s="221"/>
      <c r="H22" s="219"/>
      <c r="I22" s="151"/>
      <c r="J22" s="151"/>
      <c r="K22" s="151"/>
      <c r="L22" s="151"/>
      <c r="M22" s="151"/>
      <c r="N22" s="151"/>
      <c r="O22" s="151"/>
      <c r="P22" s="151"/>
      <c r="Q22" s="190"/>
      <c r="R22" s="418"/>
    </row>
    <row r="23" spans="1:19" ht="15" customHeight="1" x14ac:dyDescent="0.4">
      <c r="A23" s="453"/>
      <c r="B23" s="324"/>
      <c r="C23" s="454"/>
      <c r="D23" s="458" t="s">
        <v>605</v>
      </c>
      <c r="E23" s="460">
        <v>2</v>
      </c>
      <c r="F23" s="459" t="s">
        <v>115</v>
      </c>
      <c r="G23" s="221"/>
      <c r="H23" s="219"/>
      <c r="I23" s="151"/>
      <c r="J23" s="151"/>
      <c r="K23" s="151"/>
      <c r="L23" s="151"/>
      <c r="M23" s="151"/>
      <c r="N23" s="151"/>
      <c r="O23" s="151"/>
      <c r="P23" s="151"/>
      <c r="Q23" s="190"/>
      <c r="R23" s="418"/>
      <c r="S23" s="147" t="s">
        <v>384</v>
      </c>
    </row>
    <row r="24" spans="1:19" ht="15" customHeight="1" x14ac:dyDescent="0.3">
      <c r="A24" s="218"/>
      <c r="B24" s="219"/>
      <c r="C24" s="219"/>
      <c r="D24" s="258" t="s">
        <v>463</v>
      </c>
      <c r="E24" s="220">
        <v>13</v>
      </c>
      <c r="F24" s="268" t="s">
        <v>2</v>
      </c>
      <c r="G24" s="221"/>
      <c r="H24" s="219"/>
      <c r="I24" s="151"/>
      <c r="J24" s="151"/>
      <c r="K24" s="151"/>
      <c r="L24" s="151"/>
      <c r="M24" s="151"/>
      <c r="N24" s="151"/>
      <c r="O24" s="151"/>
      <c r="P24" s="151"/>
      <c r="Q24" s="190"/>
      <c r="R24" s="418"/>
    </row>
    <row r="25" spans="1:19" ht="15" customHeight="1" x14ac:dyDescent="0.4">
      <c r="A25" s="219"/>
      <c r="B25" s="219"/>
      <c r="C25" s="219"/>
      <c r="D25" s="216" t="s">
        <v>589</v>
      </c>
      <c r="E25" s="256">
        <f>IF(RDSON_sense=1, Rilim_Rdson, Rilim_shunt)</f>
        <v>590</v>
      </c>
      <c r="F25" s="273" t="s">
        <v>274</v>
      </c>
      <c r="G25" s="223"/>
      <c r="H25" s="219"/>
      <c r="I25" s="151"/>
      <c r="J25" s="151"/>
      <c r="K25" s="151"/>
      <c r="L25" s="151"/>
      <c r="M25" s="151"/>
      <c r="N25" s="151"/>
      <c r="O25" s="151"/>
      <c r="P25" s="151"/>
      <c r="Q25" s="190"/>
      <c r="R25" s="418"/>
    </row>
    <row r="26" spans="1:19" ht="14.15" customHeight="1" x14ac:dyDescent="0.4">
      <c r="A26" s="218"/>
      <c r="B26" s="219"/>
      <c r="C26" s="219"/>
      <c r="D26" s="216" t="s">
        <v>570</v>
      </c>
      <c r="E26" s="255">
        <f>'Variable Management'!B51</f>
        <v>16.8</v>
      </c>
      <c r="F26" s="273" t="s">
        <v>2</v>
      </c>
      <c r="G26" s="219"/>
      <c r="H26" s="219"/>
      <c r="I26" s="151"/>
      <c r="J26" s="151"/>
      <c r="K26" s="151"/>
      <c r="L26" s="151"/>
      <c r="M26" s="151"/>
      <c r="N26" s="151"/>
      <c r="O26" s="151"/>
      <c r="P26" s="151"/>
      <c r="Q26" s="190"/>
      <c r="R26" s="418"/>
    </row>
    <row r="27" spans="1:19" ht="14.15" customHeight="1" thickBot="1" x14ac:dyDescent="0.45">
      <c r="A27" s="269"/>
      <c r="B27" s="270"/>
      <c r="C27" s="270"/>
      <c r="D27" s="455" t="s">
        <v>597</v>
      </c>
      <c r="E27" s="456">
        <f>_Rs3</f>
        <v>7.0000000000000007E-2</v>
      </c>
      <c r="F27" s="302" t="s">
        <v>208</v>
      </c>
      <c r="G27" s="219"/>
      <c r="H27" s="219"/>
      <c r="I27" s="151"/>
      <c r="J27" s="151"/>
      <c r="K27" s="151"/>
      <c r="L27" s="151"/>
      <c r="M27" s="151"/>
      <c r="N27" s="151"/>
      <c r="O27" s="151"/>
      <c r="P27" s="151"/>
      <c r="Q27" s="190"/>
      <c r="R27" s="418"/>
    </row>
    <row r="28" spans="1:19" ht="14.15" customHeight="1" x14ac:dyDescent="0.3">
      <c r="A28" s="323"/>
      <c r="B28" s="201"/>
      <c r="C28" s="201"/>
      <c r="D28" s="201"/>
      <c r="E28" s="201"/>
      <c r="F28" s="201"/>
      <c r="G28" s="219"/>
      <c r="H28" s="219"/>
      <c r="I28" s="151"/>
      <c r="J28" s="151"/>
      <c r="K28" s="151"/>
      <c r="L28" s="151"/>
      <c r="M28" s="151"/>
      <c r="N28" s="151"/>
      <c r="O28" s="151"/>
      <c r="P28" s="151"/>
      <c r="Q28" s="190"/>
      <c r="R28" s="418"/>
    </row>
    <row r="29" spans="1:19" ht="18" thickBot="1" x14ac:dyDescent="0.4">
      <c r="A29" s="253" t="s">
        <v>733</v>
      </c>
      <c r="B29" s="226"/>
      <c r="C29" s="227"/>
      <c r="D29" s="227"/>
      <c r="E29" s="228"/>
      <c r="F29" s="227"/>
      <c r="G29" s="219"/>
      <c r="H29" s="219"/>
      <c r="I29" s="151"/>
      <c r="J29" s="151"/>
      <c r="K29" s="151"/>
      <c r="L29" s="151"/>
      <c r="M29" s="151"/>
      <c r="N29" s="151"/>
      <c r="O29" s="151"/>
      <c r="P29" s="151"/>
      <c r="Q29" s="190"/>
      <c r="R29" s="418"/>
    </row>
    <row r="30" spans="1:19" ht="14.15" customHeight="1" x14ac:dyDescent="0.4">
      <c r="A30" s="317"/>
      <c r="B30" s="276"/>
      <c r="C30" s="264"/>
      <c r="D30" s="277" t="s">
        <v>464</v>
      </c>
      <c r="E30" s="278">
        <v>100</v>
      </c>
      <c r="F30" s="267" t="s">
        <v>447</v>
      </c>
      <c r="G30" s="219"/>
      <c r="H30" s="219"/>
      <c r="I30" s="151"/>
      <c r="J30" s="151"/>
      <c r="K30" s="151"/>
      <c r="L30" s="151"/>
      <c r="M30" s="151"/>
      <c r="N30" s="151"/>
      <c r="O30" s="151"/>
      <c r="P30" s="151"/>
      <c r="Q30" s="190"/>
      <c r="R30" s="418"/>
    </row>
    <row r="31" spans="1:19" ht="14.15" customHeight="1" x14ac:dyDescent="0.3">
      <c r="A31" s="218"/>
      <c r="B31" s="219"/>
      <c r="C31" s="216"/>
      <c r="D31" s="216" t="s">
        <v>465</v>
      </c>
      <c r="E31" s="256">
        <f>Coutmin*1000000</f>
        <v>7.0387977516471176</v>
      </c>
      <c r="F31" s="273" t="s">
        <v>414</v>
      </c>
      <c r="G31" s="219"/>
      <c r="H31" s="219"/>
      <c r="I31" s="151"/>
      <c r="J31" s="151"/>
      <c r="K31" s="151"/>
      <c r="L31" s="151"/>
      <c r="M31" s="151"/>
      <c r="N31" s="151"/>
      <c r="O31" s="151"/>
      <c r="P31" s="151"/>
      <c r="Q31" s="190"/>
      <c r="R31" s="418"/>
    </row>
    <row r="32" spans="1:19" ht="14.15" customHeight="1" x14ac:dyDescent="0.4">
      <c r="A32" s="218"/>
      <c r="B32" s="219"/>
      <c r="C32" s="216"/>
      <c r="D32" s="215" t="s">
        <v>739</v>
      </c>
      <c r="E32" s="220">
        <v>50</v>
      </c>
      <c r="F32" s="268" t="s">
        <v>414</v>
      </c>
      <c r="G32" s="221"/>
      <c r="H32" s="219"/>
      <c r="I32" s="151"/>
      <c r="J32" s="151"/>
      <c r="K32" s="151"/>
      <c r="L32" s="151"/>
      <c r="M32" s="151"/>
      <c r="N32" s="151"/>
      <c r="O32" s="151"/>
      <c r="P32" s="151"/>
      <c r="Q32" s="190"/>
      <c r="R32" s="418"/>
    </row>
    <row r="33" spans="1:18" ht="14.15" customHeight="1" x14ac:dyDescent="0.3">
      <c r="A33" s="218"/>
      <c r="B33" s="219"/>
      <c r="C33" s="216"/>
      <c r="D33" s="216" t="s">
        <v>466</v>
      </c>
      <c r="E33" s="257">
        <f>IF(ISERROR(Resrmax*1000),"N/A",Resrmax*1000)</f>
        <v>43.954660036850889</v>
      </c>
      <c r="F33" s="273" t="s">
        <v>115</v>
      </c>
      <c r="G33" s="221"/>
      <c r="H33" s="219"/>
      <c r="I33" s="151"/>
      <c r="J33" s="151"/>
      <c r="K33" s="151"/>
      <c r="L33" s="151"/>
      <c r="M33" s="151"/>
      <c r="N33" s="151"/>
      <c r="O33" s="151"/>
      <c r="P33" s="151"/>
      <c r="Q33" s="190"/>
      <c r="R33" s="418"/>
    </row>
    <row r="34" spans="1:18" ht="14.15" customHeight="1" x14ac:dyDescent="0.3">
      <c r="A34" s="218"/>
      <c r="B34" s="219"/>
      <c r="C34" s="216"/>
      <c r="D34" s="215" t="s">
        <v>467</v>
      </c>
      <c r="E34" s="222">
        <v>1</v>
      </c>
      <c r="F34" s="268" t="s">
        <v>115</v>
      </c>
      <c r="G34" s="221"/>
      <c r="H34" s="219"/>
      <c r="I34" s="151"/>
      <c r="J34" s="151"/>
      <c r="K34" s="151"/>
      <c r="L34" s="151"/>
      <c r="M34" s="151"/>
      <c r="N34" s="151"/>
      <c r="O34" s="151"/>
      <c r="P34" s="151"/>
      <c r="Q34" s="190"/>
      <c r="R34" s="418"/>
    </row>
    <row r="35" spans="1:18" ht="14.15" customHeight="1" x14ac:dyDescent="0.4">
      <c r="A35" s="218"/>
      <c r="B35" s="219"/>
      <c r="C35" s="219"/>
      <c r="D35" s="216" t="s">
        <v>468</v>
      </c>
      <c r="E35" s="256">
        <f>Vripple2*1000</f>
        <v>14.256650018511431</v>
      </c>
      <c r="F35" s="273" t="s">
        <v>457</v>
      </c>
      <c r="G35" s="221"/>
      <c r="H35" s="219"/>
      <c r="I35" s="151"/>
      <c r="J35" s="151"/>
      <c r="K35" s="151"/>
      <c r="L35" s="151"/>
      <c r="M35" s="151"/>
      <c r="N35" s="151"/>
      <c r="O35" s="151"/>
      <c r="P35" s="151"/>
      <c r="Q35" s="190"/>
      <c r="R35" s="418"/>
    </row>
    <row r="36" spans="1:18" ht="14.15" customHeight="1" thickBot="1" x14ac:dyDescent="0.35">
      <c r="A36" s="269"/>
      <c r="B36" s="270"/>
      <c r="C36" s="270"/>
      <c r="D36" s="217" t="s">
        <v>469</v>
      </c>
      <c r="E36" s="275">
        <f>Icoutrms</f>
        <v>0.65021628426956735</v>
      </c>
      <c r="F36" s="271" t="s">
        <v>282</v>
      </c>
      <c r="G36" s="223"/>
      <c r="H36" s="219"/>
      <c r="I36" s="151"/>
      <c r="J36" s="151"/>
      <c r="K36" s="192"/>
      <c r="L36" s="151"/>
      <c r="M36" s="151"/>
      <c r="N36" s="151"/>
      <c r="O36" s="151"/>
      <c r="P36" s="151"/>
      <c r="Q36" s="190"/>
      <c r="R36" s="418"/>
    </row>
    <row r="37" spans="1:18" ht="14.15" customHeight="1" x14ac:dyDescent="0.3">
      <c r="A37" s="318"/>
      <c r="B37" s="230"/>
      <c r="C37" s="230"/>
      <c r="D37" s="230"/>
      <c r="E37" s="230"/>
      <c r="F37" s="230"/>
      <c r="G37" s="219"/>
      <c r="H37" s="219"/>
      <c r="I37" s="151"/>
      <c r="J37" s="151"/>
      <c r="K37" s="151"/>
      <c r="L37" s="151"/>
      <c r="M37" s="151"/>
      <c r="N37" s="151"/>
      <c r="O37" s="151"/>
      <c r="P37" s="151"/>
      <c r="Q37" s="190"/>
      <c r="R37" s="418"/>
    </row>
    <row r="38" spans="1:18" ht="18" thickBot="1" x14ac:dyDescent="0.4">
      <c r="A38" s="252" t="s">
        <v>734</v>
      </c>
      <c r="B38" s="229"/>
      <c r="C38" s="231"/>
      <c r="D38" s="231"/>
      <c r="E38" s="219"/>
      <c r="F38" s="219"/>
      <c r="G38" s="219"/>
      <c r="H38" s="219"/>
      <c r="I38" s="151"/>
      <c r="J38" s="151"/>
      <c r="K38" s="151"/>
      <c r="L38" s="193"/>
      <c r="M38" s="151"/>
      <c r="N38" s="151"/>
      <c r="O38" s="151"/>
      <c r="P38" s="151"/>
      <c r="Q38" s="190"/>
      <c r="R38" s="418"/>
    </row>
    <row r="39" spans="1:18" ht="14.15" customHeight="1" x14ac:dyDescent="0.4">
      <c r="A39" s="295"/>
      <c r="B39" s="279"/>
      <c r="C39" s="263"/>
      <c r="D39" s="265" t="s">
        <v>470</v>
      </c>
      <c r="E39" s="278">
        <v>500</v>
      </c>
      <c r="F39" s="280" t="s">
        <v>447</v>
      </c>
      <c r="G39" s="219"/>
      <c r="H39" s="219"/>
      <c r="I39" s="151"/>
      <c r="J39" s="194"/>
      <c r="K39" s="151"/>
      <c r="L39" s="151"/>
      <c r="M39" s="151"/>
      <c r="N39" s="151"/>
      <c r="O39" s="151"/>
      <c r="P39" s="151"/>
      <c r="Q39" s="190"/>
      <c r="R39" s="418"/>
    </row>
    <row r="40" spans="1:18" ht="14.15" customHeight="1" x14ac:dyDescent="0.3">
      <c r="A40" s="232"/>
      <c r="B40" s="231"/>
      <c r="C40" s="219"/>
      <c r="D40" s="216" t="s">
        <v>471</v>
      </c>
      <c r="E40" s="256">
        <f>'Variable Management'!B80*1000000</f>
        <v>11.244993795535459</v>
      </c>
      <c r="F40" s="273" t="s">
        <v>414</v>
      </c>
      <c r="G40" s="219"/>
      <c r="H40" s="219"/>
      <c r="I40" s="151"/>
      <c r="J40" s="194"/>
      <c r="K40" s="151"/>
      <c r="L40" s="151"/>
      <c r="M40" s="151"/>
      <c r="N40" s="151"/>
      <c r="O40" s="151"/>
      <c r="P40" s="151"/>
      <c r="Q40" s="190"/>
      <c r="R40" s="418"/>
    </row>
    <row r="41" spans="1:18" ht="14.15" customHeight="1" x14ac:dyDescent="0.4">
      <c r="A41" s="218"/>
      <c r="B41" s="219"/>
      <c r="C41" s="231"/>
      <c r="D41" s="258" t="s">
        <v>740</v>
      </c>
      <c r="E41" s="233">
        <v>18</v>
      </c>
      <c r="F41" s="268" t="s">
        <v>414</v>
      </c>
      <c r="G41" s="219"/>
      <c r="H41" s="219"/>
      <c r="I41" s="151"/>
      <c r="J41" s="194"/>
      <c r="K41" s="151"/>
      <c r="L41" s="151"/>
      <c r="M41" s="151"/>
      <c r="N41" s="151"/>
      <c r="O41" s="151"/>
      <c r="P41" s="151"/>
      <c r="Q41" s="190"/>
      <c r="R41" s="418"/>
    </row>
    <row r="42" spans="1:18" ht="14.15" customHeight="1" x14ac:dyDescent="0.3">
      <c r="A42" s="218"/>
      <c r="B42" s="219"/>
      <c r="C42" s="231"/>
      <c r="D42" s="216" t="s">
        <v>466</v>
      </c>
      <c r="E42" s="257">
        <f>IF(CinEsrMax*1000&lt;0,"N/A",CinEsrMax*1000)</f>
        <v>18.530042825612327</v>
      </c>
      <c r="F42" s="273" t="s">
        <v>115</v>
      </c>
      <c r="G42" s="219"/>
      <c r="H42" s="219"/>
      <c r="I42" s="151"/>
      <c r="J42" s="195"/>
      <c r="K42" s="151"/>
      <c r="L42" s="151"/>
      <c r="M42" s="151"/>
      <c r="N42" s="151"/>
      <c r="O42" s="151"/>
      <c r="P42" s="151"/>
      <c r="Q42" s="190" t="s">
        <v>343</v>
      </c>
      <c r="R42" s="418"/>
    </row>
    <row r="43" spans="1:18" ht="14.15" customHeight="1" x14ac:dyDescent="0.3">
      <c r="A43" s="218"/>
      <c r="B43" s="219"/>
      <c r="C43" s="231"/>
      <c r="D43" s="258" t="s">
        <v>472</v>
      </c>
      <c r="E43" s="233">
        <v>1</v>
      </c>
      <c r="F43" s="268" t="s">
        <v>115</v>
      </c>
      <c r="G43" s="219"/>
      <c r="H43" s="219"/>
      <c r="I43" s="151"/>
      <c r="J43" s="195"/>
      <c r="K43" s="151"/>
      <c r="L43" s="151"/>
      <c r="M43" s="151"/>
      <c r="N43" s="151"/>
      <c r="O43" s="151"/>
      <c r="P43" s="151"/>
      <c r="Q43" s="190"/>
      <c r="R43" s="418"/>
    </row>
    <row r="44" spans="1:18" ht="14.15" customHeight="1" x14ac:dyDescent="0.4">
      <c r="A44" s="218"/>
      <c r="B44" s="219"/>
      <c r="C44" s="231"/>
      <c r="D44" s="216" t="s">
        <v>473</v>
      </c>
      <c r="E44" s="256">
        <f>Vinripple2*1000</f>
        <v>322.48714640513742</v>
      </c>
      <c r="F44" s="273" t="s">
        <v>457</v>
      </c>
      <c r="G44" s="219"/>
      <c r="H44" s="219"/>
      <c r="I44" s="151"/>
      <c r="J44" s="195"/>
      <c r="K44" s="151"/>
      <c r="L44" s="151"/>
      <c r="M44" s="151"/>
      <c r="N44" s="151"/>
      <c r="O44" s="151"/>
      <c r="P44" s="151"/>
      <c r="Q44" s="190"/>
      <c r="R44" s="418"/>
    </row>
    <row r="45" spans="1:18" ht="14.15" customHeight="1" thickBot="1" x14ac:dyDescent="0.35">
      <c r="A45" s="269"/>
      <c r="B45" s="270"/>
      <c r="C45" s="270"/>
      <c r="D45" s="217" t="s">
        <v>474</v>
      </c>
      <c r="E45" s="275">
        <f>Icinrms</f>
        <v>4.4989986476952657</v>
      </c>
      <c r="F45" s="281" t="s">
        <v>282</v>
      </c>
      <c r="G45" s="219"/>
      <c r="H45" s="219"/>
      <c r="I45" s="151"/>
      <c r="J45" s="151"/>
      <c r="K45" s="151"/>
      <c r="L45" s="151"/>
      <c r="M45" s="151"/>
      <c r="N45" s="151"/>
      <c r="O45" s="151"/>
      <c r="P45" s="151"/>
      <c r="Q45" s="190"/>
      <c r="R45" s="418"/>
    </row>
    <row r="46" spans="1:18" ht="14.15" customHeight="1" x14ac:dyDescent="0.3">
      <c r="A46" s="218"/>
      <c r="B46" s="219"/>
      <c r="C46" s="219"/>
      <c r="D46" s="216"/>
      <c r="E46" s="219"/>
      <c r="F46" s="219"/>
      <c r="G46" s="219"/>
      <c r="H46" s="219"/>
      <c r="I46" s="151"/>
      <c r="J46" s="151"/>
      <c r="K46" s="151"/>
      <c r="L46" s="151"/>
      <c r="M46" s="151"/>
      <c r="N46" s="151"/>
      <c r="O46" s="151"/>
      <c r="P46" s="151"/>
      <c r="Q46" s="190"/>
      <c r="R46" s="418"/>
    </row>
    <row r="47" spans="1:18" ht="18" thickBot="1" x14ac:dyDescent="0.4">
      <c r="A47" s="252" t="s">
        <v>614</v>
      </c>
      <c r="B47" s="229"/>
      <c r="C47" s="219"/>
      <c r="D47" s="216"/>
      <c r="E47" s="219"/>
      <c r="F47" s="219"/>
      <c r="G47" s="219"/>
      <c r="H47" s="234"/>
      <c r="I47" s="211"/>
      <c r="J47" s="211"/>
      <c r="K47" s="211"/>
      <c r="L47" s="211"/>
      <c r="M47" s="201"/>
      <c r="N47" s="151"/>
      <c r="O47" s="151"/>
      <c r="P47" s="151"/>
      <c r="Q47" s="190"/>
      <c r="R47" s="418"/>
    </row>
    <row r="48" spans="1:18" ht="14.15" customHeight="1" x14ac:dyDescent="0.4">
      <c r="A48" s="316"/>
      <c r="B48" s="263"/>
      <c r="C48" s="263"/>
      <c r="D48" s="282" t="s">
        <v>617</v>
      </c>
      <c r="E48" s="283">
        <v>4</v>
      </c>
      <c r="F48" s="267" t="s">
        <v>291</v>
      </c>
      <c r="G48" s="219"/>
      <c r="H48" s="230"/>
      <c r="I48" s="201"/>
      <c r="J48" s="201"/>
      <c r="K48" s="201"/>
      <c r="L48" s="201"/>
      <c r="M48" s="201"/>
      <c r="N48" s="151"/>
      <c r="O48" s="151"/>
      <c r="P48" s="151"/>
      <c r="Q48" s="190"/>
      <c r="R48" s="418"/>
    </row>
    <row r="49" spans="1:35" ht="14.15" customHeight="1" x14ac:dyDescent="0.4">
      <c r="A49" s="218"/>
      <c r="B49" s="219"/>
      <c r="C49" s="219"/>
      <c r="D49" s="216" t="s">
        <v>618</v>
      </c>
      <c r="E49" s="257">
        <f>Css_u*1000000000</f>
        <v>47</v>
      </c>
      <c r="F49" s="273" t="s">
        <v>278</v>
      </c>
      <c r="G49" s="219"/>
      <c r="H49" s="230"/>
      <c r="I49" s="201"/>
      <c r="J49" s="201"/>
      <c r="K49" s="201"/>
      <c r="L49" s="201"/>
      <c r="M49" s="201"/>
      <c r="N49" s="151"/>
      <c r="O49" s="151"/>
      <c r="P49" s="151"/>
      <c r="Q49" s="190"/>
      <c r="R49" s="418"/>
    </row>
    <row r="50" spans="1:35" ht="14.15" customHeight="1" x14ac:dyDescent="0.3">
      <c r="A50" s="218"/>
      <c r="B50" s="219"/>
      <c r="C50" s="231"/>
      <c r="D50" s="215" t="s">
        <v>615</v>
      </c>
      <c r="E50" s="357">
        <v>14</v>
      </c>
      <c r="F50" s="268" t="s">
        <v>0</v>
      </c>
      <c r="G50" s="219"/>
      <c r="H50" s="219"/>
      <c r="I50" s="151"/>
      <c r="J50" s="149"/>
      <c r="K50" s="214"/>
      <c r="L50" s="151"/>
      <c r="M50" s="201"/>
      <c r="N50" s="151"/>
      <c r="O50" s="151"/>
      <c r="P50" s="151"/>
      <c r="Q50" s="190"/>
      <c r="R50" s="418"/>
    </row>
    <row r="51" spans="1:35" ht="14.15" customHeight="1" x14ac:dyDescent="0.3">
      <c r="A51" s="218"/>
      <c r="B51" s="219"/>
      <c r="C51" s="231"/>
      <c r="D51" s="215" t="s">
        <v>616</v>
      </c>
      <c r="E51" s="357">
        <v>13</v>
      </c>
      <c r="F51" s="268" t="s">
        <v>0</v>
      </c>
      <c r="G51" s="219"/>
      <c r="H51" s="219"/>
      <c r="I51" s="151"/>
      <c r="J51" s="149"/>
      <c r="K51" s="214"/>
      <c r="L51" s="151"/>
      <c r="M51" s="201"/>
      <c r="N51" s="151"/>
      <c r="O51" s="151"/>
      <c r="P51" s="151"/>
      <c r="Q51" s="190"/>
      <c r="R51" s="418"/>
    </row>
    <row r="52" spans="1:35" ht="14.15" customHeight="1" x14ac:dyDescent="0.4">
      <c r="A52" s="218"/>
      <c r="B52" s="219"/>
      <c r="C52" s="219"/>
      <c r="D52" s="216" t="s">
        <v>598</v>
      </c>
      <c r="E52" s="356">
        <f>'Variable Management'!F97</f>
        <v>100</v>
      </c>
      <c r="F52" s="273" t="s">
        <v>116</v>
      </c>
      <c r="G52" s="219"/>
      <c r="H52" s="219"/>
      <c r="I52" s="151"/>
      <c r="J52" s="149"/>
      <c r="K52" s="214"/>
      <c r="L52" s="151"/>
      <c r="M52" s="201"/>
      <c r="N52" s="151"/>
      <c r="O52" s="151"/>
      <c r="P52" s="151"/>
      <c r="Q52" s="190"/>
      <c r="R52" s="418"/>
    </row>
    <row r="53" spans="1:35" ht="14.15" customHeight="1" thickBot="1" x14ac:dyDescent="0.45">
      <c r="A53" s="269"/>
      <c r="B53" s="270"/>
      <c r="C53" s="270"/>
      <c r="D53" s="217" t="s">
        <v>599</v>
      </c>
      <c r="E53" s="284">
        <f>'Variable Management'!F98</f>
        <v>9.31</v>
      </c>
      <c r="F53" s="271" t="s">
        <v>116</v>
      </c>
      <c r="G53" s="219"/>
      <c r="H53" s="219"/>
      <c r="I53" s="151"/>
      <c r="J53" s="149"/>
      <c r="K53" s="214"/>
      <c r="L53" s="151"/>
      <c r="M53" s="201"/>
      <c r="N53" s="151"/>
      <c r="O53" s="151"/>
      <c r="P53" s="151"/>
      <c r="Q53" s="190"/>
      <c r="R53" s="418"/>
    </row>
    <row r="54" spans="1:35" ht="14.15" customHeight="1" x14ac:dyDescent="0.3">
      <c r="A54" s="218" t="s">
        <v>735</v>
      </c>
      <c r="B54" s="219"/>
      <c r="C54" s="219"/>
      <c r="D54" s="216"/>
      <c r="E54" s="235"/>
      <c r="F54" s="219"/>
      <c r="G54" s="219"/>
      <c r="H54" s="219"/>
      <c r="I54" s="151"/>
      <c r="J54" s="149"/>
      <c r="K54" s="214"/>
      <c r="L54" s="151"/>
      <c r="M54" s="201"/>
      <c r="N54" s="151"/>
      <c r="O54" s="151"/>
      <c r="P54" s="151"/>
      <c r="Q54" s="190"/>
      <c r="R54" s="418"/>
    </row>
    <row r="55" spans="1:35" ht="14.15" customHeight="1" x14ac:dyDescent="0.3">
      <c r="A55" s="318" t="s">
        <v>736</v>
      </c>
      <c r="B55" s="201"/>
      <c r="C55" s="201"/>
      <c r="D55" s="201"/>
      <c r="E55" s="201"/>
      <c r="F55" s="201"/>
      <c r="G55" s="219"/>
      <c r="H55" s="219"/>
      <c r="I55" s="151"/>
      <c r="J55" s="149"/>
      <c r="K55" s="214"/>
      <c r="L55" s="151"/>
      <c r="M55" s="201"/>
      <c r="N55" s="151"/>
      <c r="O55" s="151"/>
      <c r="P55" s="151"/>
      <c r="Q55" s="190"/>
      <c r="R55" s="418"/>
    </row>
    <row r="56" spans="1:35" ht="14.15" customHeight="1" x14ac:dyDescent="0.3">
      <c r="A56" s="323"/>
      <c r="B56" s="219"/>
      <c r="C56" s="219"/>
      <c r="D56" s="216"/>
      <c r="E56" s="235"/>
      <c r="F56" s="219"/>
      <c r="G56" s="219"/>
      <c r="H56" s="219"/>
      <c r="I56" s="151"/>
      <c r="J56" s="149"/>
      <c r="K56" s="214"/>
      <c r="L56" s="151"/>
      <c r="M56" s="201"/>
      <c r="N56" s="151"/>
      <c r="O56" s="151"/>
      <c r="P56" s="151"/>
      <c r="Q56" s="190"/>
      <c r="R56" s="418"/>
    </row>
    <row r="57" spans="1:35" ht="25" customHeight="1" thickBot="1" x14ac:dyDescent="0.35">
      <c r="A57" s="315" t="s">
        <v>459</v>
      </c>
      <c r="B57" s="237"/>
      <c r="C57" s="227"/>
      <c r="D57" s="227"/>
      <c r="E57" s="228"/>
      <c r="F57" s="227"/>
      <c r="G57" s="219"/>
      <c r="H57" s="219"/>
      <c r="I57" s="151"/>
      <c r="J57" s="151"/>
      <c r="K57" s="151"/>
      <c r="L57" s="151"/>
      <c r="M57" s="151"/>
      <c r="N57" s="151"/>
      <c r="O57" s="151"/>
      <c r="P57" s="151"/>
      <c r="Q57" s="190"/>
      <c r="R57" s="419"/>
      <c r="S57" s="103"/>
      <c r="T57" s="103"/>
      <c r="W57" s="103"/>
      <c r="X57" s="103"/>
      <c r="Y57" s="103"/>
      <c r="AB57" s="103"/>
      <c r="AC57" s="103"/>
      <c r="AD57" s="103"/>
      <c r="AG57" s="103"/>
      <c r="AH57" s="103"/>
      <c r="AI57" s="103"/>
    </row>
    <row r="58" spans="1:35" ht="14.15" customHeight="1" x14ac:dyDescent="0.3">
      <c r="A58" s="316"/>
      <c r="B58" s="263"/>
      <c r="C58" s="264"/>
      <c r="D58" s="264" t="s">
        <v>475</v>
      </c>
      <c r="E58" s="286">
        <f>Fo/1000</f>
        <v>8.6668955466478614</v>
      </c>
      <c r="F58" s="272" t="s">
        <v>3</v>
      </c>
      <c r="G58" s="219"/>
      <c r="H58" s="219"/>
      <c r="I58" s="151"/>
      <c r="J58" s="151"/>
      <c r="K58" s="151"/>
      <c r="L58" s="151"/>
      <c r="M58" s="151"/>
      <c r="N58" s="151"/>
      <c r="O58" s="151"/>
      <c r="P58" s="151"/>
      <c r="Q58" s="190"/>
      <c r="R58" s="419"/>
      <c r="S58" s="103"/>
      <c r="T58" s="103"/>
      <c r="W58" s="103"/>
      <c r="X58" s="103"/>
      <c r="Y58" s="103"/>
      <c r="AB58" s="103"/>
      <c r="AC58" s="103"/>
      <c r="AD58" s="103"/>
      <c r="AG58" s="103"/>
      <c r="AH58" s="103"/>
      <c r="AI58" s="103"/>
    </row>
    <row r="59" spans="1:35" ht="14.15" customHeight="1" x14ac:dyDescent="0.3">
      <c r="A59" s="218"/>
      <c r="B59" s="219"/>
      <c r="C59" s="216"/>
      <c r="D59" s="216" t="s">
        <v>476</v>
      </c>
      <c r="E59" s="256">
        <f>Fesr/1000</f>
        <v>3183.0988654751277</v>
      </c>
      <c r="F59" s="273" t="s">
        <v>3</v>
      </c>
      <c r="G59" s="219"/>
      <c r="H59" s="219"/>
      <c r="I59" s="151"/>
      <c r="J59" s="151"/>
      <c r="K59" s="151"/>
      <c r="L59" s="151"/>
      <c r="M59" s="151"/>
      <c r="N59" s="151"/>
      <c r="O59" s="151"/>
      <c r="P59" s="151"/>
      <c r="Q59" s="190"/>
      <c r="R59" s="419"/>
      <c r="S59" s="103"/>
      <c r="T59" s="103"/>
      <c r="W59" s="103"/>
      <c r="X59" s="103"/>
      <c r="Y59" s="103"/>
      <c r="AB59" s="103"/>
      <c r="AC59" s="103"/>
      <c r="AD59" s="103"/>
      <c r="AG59" s="103"/>
      <c r="AH59" s="103"/>
      <c r="AI59" s="103"/>
    </row>
    <row r="60" spans="1:35" ht="14.15" customHeight="1" x14ac:dyDescent="0.3">
      <c r="A60" s="218"/>
      <c r="B60" s="219"/>
      <c r="C60" s="216"/>
      <c r="D60" s="215" t="s">
        <v>485</v>
      </c>
      <c r="E60" s="259">
        <v>50</v>
      </c>
      <c r="F60" s="461" t="s">
        <v>613</v>
      </c>
      <c r="G60" s="219"/>
      <c r="H60" s="219"/>
      <c r="I60" s="151"/>
      <c r="J60" s="151"/>
      <c r="K60" s="151"/>
      <c r="L60" s="151"/>
      <c r="M60" s="151"/>
      <c r="N60" s="151"/>
      <c r="O60" s="151"/>
      <c r="P60" s="151"/>
      <c r="Q60" s="190"/>
      <c r="R60" s="419"/>
      <c r="S60" s="103"/>
      <c r="T60" s="103"/>
      <c r="W60" s="103"/>
      <c r="X60" s="103"/>
      <c r="Y60" s="103"/>
      <c r="AB60" s="103"/>
      <c r="AC60" s="103"/>
      <c r="AD60" s="103"/>
      <c r="AG60" s="103"/>
      <c r="AH60" s="103"/>
      <c r="AI60" s="103"/>
    </row>
    <row r="61" spans="1:35" ht="14.15" customHeight="1" x14ac:dyDescent="0.3">
      <c r="A61" s="218"/>
      <c r="B61" s="219"/>
      <c r="C61" s="216"/>
      <c r="D61" s="216" t="s">
        <v>477</v>
      </c>
      <c r="E61" s="254">
        <f>Kmidband</f>
        <v>0.38460522748801135</v>
      </c>
      <c r="F61" s="273" t="s">
        <v>49</v>
      </c>
      <c r="G61" s="219"/>
      <c r="H61" s="219"/>
      <c r="I61" s="151"/>
      <c r="J61" s="151"/>
      <c r="K61" s="151"/>
      <c r="L61" s="151"/>
      <c r="M61" s="151"/>
      <c r="N61" s="151"/>
      <c r="O61" s="151"/>
      <c r="P61" s="151"/>
      <c r="Q61" s="190"/>
      <c r="R61" s="419"/>
      <c r="S61" s="103"/>
      <c r="T61" s="103"/>
      <c r="W61" s="103"/>
      <c r="X61" s="103"/>
      <c r="Y61" s="103"/>
      <c r="AB61" s="103"/>
      <c r="AC61" s="103"/>
      <c r="AD61" s="103"/>
      <c r="AG61" s="103"/>
      <c r="AH61" s="103"/>
      <c r="AI61" s="103"/>
    </row>
    <row r="62" spans="1:35" ht="16" customHeight="1" x14ac:dyDescent="0.4">
      <c r="A62" s="218"/>
      <c r="B62" s="219"/>
      <c r="C62" s="216"/>
      <c r="D62" s="215" t="s">
        <v>600</v>
      </c>
      <c r="E62" s="260">
        <v>21</v>
      </c>
      <c r="F62" s="268" t="s">
        <v>116</v>
      </c>
      <c r="G62" s="219"/>
      <c r="H62" s="219"/>
      <c r="I62" s="151"/>
      <c r="J62" s="151"/>
      <c r="K62" s="151"/>
      <c r="L62" s="151"/>
      <c r="M62" s="151"/>
      <c r="N62" s="151"/>
      <c r="O62" s="151"/>
      <c r="P62" s="151"/>
      <c r="Q62" s="190"/>
      <c r="R62" s="419"/>
      <c r="S62" s="103"/>
      <c r="T62" s="103"/>
      <c r="W62" s="103"/>
      <c r="X62" s="103"/>
      <c r="Y62" s="103"/>
      <c r="AB62" s="103"/>
      <c r="AC62" s="103"/>
      <c r="AD62" s="103"/>
      <c r="AG62" s="103"/>
      <c r="AH62" s="103"/>
      <c r="AI62" s="103"/>
    </row>
    <row r="63" spans="1:35" ht="16" customHeight="1" x14ac:dyDescent="0.4">
      <c r="A63" s="435"/>
      <c r="B63" s="219"/>
      <c r="C63" s="216"/>
      <c r="D63" s="216" t="s">
        <v>601</v>
      </c>
      <c r="E63" s="356">
        <f>IF(Vout=Vref,"OPEN",Rfb2_u/1000)</f>
        <v>1.5</v>
      </c>
      <c r="F63" s="273" t="str">
        <f>IF(Vout=Vref,"","kΩ")</f>
        <v>kΩ</v>
      </c>
      <c r="G63" s="219"/>
      <c r="H63" s="219"/>
      <c r="I63" s="151"/>
      <c r="J63" s="151"/>
      <c r="K63" s="151"/>
      <c r="L63" s="151"/>
      <c r="M63" s="151"/>
      <c r="N63" s="151"/>
      <c r="O63" s="151"/>
      <c r="P63" s="151"/>
      <c r="Q63" s="190"/>
      <c r="R63" s="419"/>
      <c r="S63" s="103"/>
      <c r="T63" s="103"/>
      <c r="W63" s="103"/>
      <c r="X63" s="103"/>
      <c r="Y63" s="103"/>
      <c r="AB63" s="103"/>
      <c r="AC63" s="103"/>
      <c r="AD63" s="103"/>
      <c r="AG63" s="103"/>
      <c r="AH63" s="103"/>
      <c r="AI63" s="103"/>
    </row>
    <row r="64" spans="1:35" ht="16" customHeight="1" thickBot="1" x14ac:dyDescent="0.45">
      <c r="A64" s="269"/>
      <c r="B64" s="326"/>
      <c r="C64" s="326"/>
      <c r="D64" s="455" t="s">
        <v>708</v>
      </c>
      <c r="E64" s="555">
        <f>'Variable Management'!B129</f>
        <v>12</v>
      </c>
      <c r="F64" s="302" t="s">
        <v>0</v>
      </c>
      <c r="G64" s="219"/>
      <c r="H64" s="219"/>
      <c r="I64" s="151"/>
      <c r="J64" s="151"/>
      <c r="K64" s="151"/>
      <c r="L64" s="151"/>
      <c r="M64" s="151"/>
      <c r="N64" s="151"/>
      <c r="O64" s="151"/>
      <c r="P64" s="151"/>
      <c r="Q64" s="190"/>
      <c r="R64" s="419"/>
      <c r="S64" s="103"/>
      <c r="T64" s="103"/>
      <c r="W64" s="103"/>
      <c r="X64" s="103"/>
      <c r="Y64" s="103"/>
      <c r="AB64" s="103"/>
      <c r="AC64" s="103"/>
      <c r="AD64" s="103"/>
      <c r="AG64" s="103"/>
      <c r="AH64" s="103"/>
      <c r="AI64" s="103"/>
    </row>
    <row r="65" spans="1:35" ht="13.5" thickBot="1" x14ac:dyDescent="0.35">
      <c r="A65" s="218"/>
      <c r="B65" s="219"/>
      <c r="C65" s="216"/>
      <c r="D65" s="238"/>
      <c r="E65" s="239"/>
      <c r="F65" s="240"/>
      <c r="G65" s="219"/>
      <c r="H65" s="219"/>
      <c r="I65" s="151"/>
      <c r="J65" s="151"/>
      <c r="K65" s="151"/>
      <c r="L65" s="151"/>
      <c r="M65" s="151"/>
      <c r="N65" s="151"/>
      <c r="O65" s="151"/>
      <c r="P65" s="151"/>
      <c r="Q65" s="190"/>
      <c r="R65" s="419"/>
      <c r="S65" s="103"/>
      <c r="T65" s="103"/>
      <c r="W65" s="103"/>
      <c r="X65" s="103"/>
      <c r="Y65" s="103"/>
      <c r="AB65" s="103"/>
      <c r="AC65" s="103"/>
      <c r="AD65" s="103"/>
      <c r="AG65" s="103"/>
      <c r="AH65" s="103"/>
      <c r="AI65" s="103"/>
    </row>
    <row r="66" spans="1:35" ht="16" customHeight="1" x14ac:dyDescent="0.3">
      <c r="A66" s="398" t="s">
        <v>737</v>
      </c>
      <c r="B66" s="324"/>
      <c r="C66" s="324"/>
      <c r="D66" s="327" t="s">
        <v>537</v>
      </c>
      <c r="E66" s="328">
        <f>Fo/1000*0.7</f>
        <v>6.066826882653503</v>
      </c>
      <c r="F66" s="330" t="str">
        <f>"      kHz  "</f>
        <v xml:space="preserve">      kHz  </v>
      </c>
      <c r="G66" s="242"/>
      <c r="H66" s="243"/>
      <c r="I66" s="151"/>
      <c r="J66" s="151"/>
      <c r="K66" s="151"/>
      <c r="L66" s="151"/>
      <c r="M66" s="151"/>
      <c r="N66" s="151"/>
      <c r="O66" s="151"/>
      <c r="P66" s="151"/>
      <c r="Q66" s="190"/>
      <c r="R66" s="419"/>
      <c r="S66" s="103"/>
      <c r="T66" s="103"/>
      <c r="W66" s="103"/>
      <c r="X66" s="103"/>
      <c r="Y66" s="103"/>
      <c r="AB66" s="103"/>
      <c r="AC66" s="103"/>
      <c r="AD66" s="103"/>
      <c r="AG66" s="103"/>
      <c r="AH66" s="103"/>
      <c r="AI66" s="103"/>
    </row>
    <row r="67" spans="1:35" ht="16" customHeight="1" x14ac:dyDescent="0.3">
      <c r="A67" s="407" t="str">
        <f>" Baseline P/Z Frequencies:"</f>
        <v xml:space="preserve"> Baseline P/Z Frequencies:</v>
      </c>
      <c r="B67" s="211"/>
      <c r="C67" s="211"/>
      <c r="D67" s="241" t="s">
        <v>538</v>
      </c>
      <c r="E67" s="261">
        <f>Fo/1000*0.9</f>
        <v>7.8002059919830753</v>
      </c>
      <c r="F67" s="285" t="str">
        <f>"      kHz"</f>
        <v xml:space="preserve">      kHz</v>
      </c>
      <c r="G67" s="242"/>
      <c r="H67" s="243"/>
      <c r="I67" s="151"/>
      <c r="J67" s="151"/>
      <c r="K67" s="151"/>
      <c r="L67" s="151"/>
      <c r="M67" s="151"/>
      <c r="N67" s="151"/>
      <c r="O67" s="151"/>
      <c r="P67" s="151"/>
      <c r="Q67" s="190"/>
      <c r="R67" s="419"/>
      <c r="S67" s="103"/>
      <c r="T67" s="103"/>
      <c r="W67" s="103"/>
      <c r="X67" s="103"/>
      <c r="Y67" s="103"/>
      <c r="AB67" s="103"/>
      <c r="AC67" s="103"/>
      <c r="AD67" s="103"/>
      <c r="AG67" s="103"/>
      <c r="AH67" s="103"/>
      <c r="AI67" s="103"/>
    </row>
    <row r="68" spans="1:35" ht="16" customHeight="1" x14ac:dyDescent="0.3">
      <c r="A68" s="323"/>
      <c r="B68" s="211"/>
      <c r="C68" s="211"/>
      <c r="D68" s="244" t="s">
        <v>535</v>
      </c>
      <c r="E68" s="262">
        <f>Fesr/1000</f>
        <v>3183.0988654751277</v>
      </c>
      <c r="F68" s="285" t="str">
        <f>"      kHz"</f>
        <v xml:space="preserve">      kHz</v>
      </c>
      <c r="G68" s="245"/>
      <c r="H68" s="243"/>
      <c r="I68" s="151"/>
      <c r="J68" s="151"/>
      <c r="K68" s="151"/>
      <c r="L68" s="151"/>
      <c r="M68" s="151"/>
      <c r="N68" s="151"/>
      <c r="O68" s="151"/>
      <c r="P68" s="151"/>
      <c r="Q68" s="190"/>
      <c r="R68" s="419"/>
      <c r="S68" s="103"/>
      <c r="T68" s="103"/>
      <c r="W68" s="103"/>
      <c r="X68" s="103"/>
      <c r="Y68" s="103"/>
      <c r="AB68" s="103"/>
      <c r="AC68" s="103"/>
      <c r="AD68" s="103"/>
      <c r="AG68" s="103"/>
      <c r="AH68" s="103"/>
      <c r="AI68" s="103"/>
    </row>
    <row r="69" spans="1:35" ht="16" customHeight="1" thickBot="1" x14ac:dyDescent="0.35">
      <c r="A69" s="325"/>
      <c r="B69" s="326"/>
      <c r="C69" s="326"/>
      <c r="D69" s="312" t="s">
        <v>536</v>
      </c>
      <c r="E69" s="313">
        <f>Fsw/2000</f>
        <v>200</v>
      </c>
      <c r="F69" s="314" t="str">
        <f>"      kHz"</f>
        <v xml:space="preserve">      kHz</v>
      </c>
      <c r="G69" s="245"/>
      <c r="H69" s="243"/>
      <c r="I69" s="151"/>
      <c r="J69" s="151"/>
      <c r="K69" s="151"/>
      <c r="L69" s="151"/>
      <c r="M69" s="151"/>
      <c r="N69" s="151"/>
      <c r="O69" s="151"/>
      <c r="P69" s="151"/>
      <c r="Q69" s="190"/>
      <c r="R69" s="419"/>
      <c r="S69" s="103"/>
      <c r="T69" s="103"/>
      <c r="W69" s="103"/>
      <c r="X69" s="103"/>
      <c r="Y69" s="103"/>
      <c r="AB69" s="103"/>
      <c r="AC69" s="103"/>
      <c r="AD69" s="103"/>
      <c r="AG69" s="103"/>
      <c r="AH69" s="103"/>
      <c r="AI69" s="103"/>
    </row>
    <row r="70" spans="1:35" ht="15.75" customHeight="1" x14ac:dyDescent="0.3">
      <c r="A70" s="319"/>
      <c r="B70" s="246"/>
      <c r="C70" s="247"/>
      <c r="D70" s="230"/>
      <c r="E70" s="230"/>
      <c r="F70" s="230"/>
      <c r="G70" s="245"/>
      <c r="H70" s="243"/>
      <c r="I70" s="151"/>
      <c r="J70" s="151"/>
      <c r="K70" s="151"/>
      <c r="L70" s="151"/>
      <c r="M70" s="151"/>
      <c r="N70" s="151"/>
      <c r="O70" s="151"/>
      <c r="P70" s="151"/>
      <c r="Q70" s="190"/>
      <c r="R70" s="419"/>
      <c r="S70" s="103"/>
      <c r="T70" s="103"/>
      <c r="W70" s="103"/>
      <c r="X70" s="103"/>
      <c r="Y70" s="103"/>
      <c r="AB70" s="103"/>
      <c r="AC70" s="103"/>
      <c r="AD70" s="103"/>
      <c r="AG70" s="103"/>
      <c r="AH70" s="103"/>
      <c r="AI70" s="103"/>
    </row>
    <row r="71" spans="1:35" ht="18" customHeight="1" x14ac:dyDescent="0.3">
      <c r="A71" s="232" t="s">
        <v>444</v>
      </c>
      <c r="B71" s="248"/>
      <c r="C71" s="216"/>
      <c r="D71" s="238"/>
      <c r="E71" s="239"/>
      <c r="F71" s="240"/>
      <c r="G71" s="249"/>
      <c r="H71" s="219"/>
      <c r="I71" s="151"/>
      <c r="J71" s="151"/>
      <c r="K71" s="151"/>
      <c r="L71" s="151"/>
      <c r="M71" s="151"/>
      <c r="N71" s="151"/>
      <c r="O71" s="151"/>
      <c r="P71" s="151"/>
      <c r="Q71" s="190"/>
      <c r="R71" s="419"/>
      <c r="S71" s="331"/>
      <c r="T71" s="331"/>
      <c r="U71" s="332"/>
      <c r="V71" s="332"/>
      <c r="W71" s="331"/>
      <c r="X71" s="331"/>
      <c r="Y71" s="331"/>
      <c r="Z71" s="332"/>
      <c r="AA71" s="332"/>
      <c r="AB71" s="331"/>
      <c r="AC71" s="331"/>
      <c r="AD71" s="331"/>
      <c r="AE71" s="332"/>
      <c r="AF71" s="332"/>
      <c r="AG71" s="103"/>
      <c r="AH71" s="103"/>
      <c r="AI71" s="103"/>
    </row>
    <row r="72" spans="1:35" s="345" customFormat="1" ht="13.5" customHeight="1" thickBot="1" x14ac:dyDescent="0.35">
      <c r="A72" s="347"/>
      <c r="B72" s="348" t="s">
        <v>460</v>
      </c>
      <c r="C72" s="351" t="s">
        <v>443</v>
      </c>
      <c r="D72" s="349" t="str">
        <f>"    Selected"</f>
        <v xml:space="preserve">    Selected</v>
      </c>
      <c r="E72" s="350"/>
      <c r="F72" s="567" t="s">
        <v>445</v>
      </c>
      <c r="G72" s="567"/>
      <c r="H72" s="567"/>
      <c r="I72" s="340"/>
      <c r="J72" s="340"/>
      <c r="K72" s="340"/>
      <c r="L72" s="340"/>
      <c r="M72" s="340"/>
      <c r="N72" s="340"/>
      <c r="O72" s="340"/>
      <c r="P72" s="340"/>
      <c r="Q72" s="341"/>
      <c r="R72" s="420"/>
      <c r="S72" s="342"/>
      <c r="T72" s="342"/>
      <c r="U72" s="343"/>
      <c r="V72" s="343"/>
      <c r="W72" s="342"/>
      <c r="X72" s="342"/>
      <c r="Y72" s="342"/>
      <c r="Z72" s="343"/>
      <c r="AA72" s="343"/>
      <c r="AB72" s="342"/>
      <c r="AC72" s="342"/>
      <c r="AD72" s="342"/>
      <c r="AE72" s="343"/>
      <c r="AF72" s="343"/>
      <c r="AG72" s="344"/>
      <c r="AH72" s="344"/>
      <c r="AI72" s="344"/>
    </row>
    <row r="73" spans="1:35" ht="15" x14ac:dyDescent="0.4">
      <c r="A73" s="293" t="s">
        <v>448</v>
      </c>
      <c r="B73" s="309">
        <f>Rcea1/1000</f>
        <v>8.0767097772482384</v>
      </c>
      <c r="C73" s="287">
        <f>'Standard Value Calculator'!S27</f>
        <v>8.06</v>
      </c>
      <c r="D73" s="288">
        <f>C73</f>
        <v>8.06</v>
      </c>
      <c r="E73" s="289" t="s">
        <v>116</v>
      </c>
      <c r="F73" s="291">
        <f>Fz1_u/1000</f>
        <v>2.9038633643584215</v>
      </c>
      <c r="G73" s="308" t="s">
        <v>449</v>
      </c>
      <c r="H73" s="230"/>
      <c r="I73" s="151"/>
      <c r="J73" s="151"/>
      <c r="K73" s="151"/>
      <c r="L73" s="151"/>
      <c r="M73" s="151"/>
      <c r="N73" s="151"/>
      <c r="O73" s="151"/>
      <c r="P73" s="151"/>
      <c r="Q73" s="190"/>
      <c r="R73" s="419"/>
      <c r="S73" s="331"/>
      <c r="T73" s="331"/>
      <c r="U73" s="332"/>
      <c r="V73" s="332"/>
      <c r="W73" s="331"/>
      <c r="X73" s="331"/>
      <c r="Y73" s="331"/>
      <c r="Z73" s="332"/>
      <c r="AA73" s="332"/>
      <c r="AB73" s="331"/>
      <c r="AC73" s="331"/>
      <c r="AD73" s="331"/>
      <c r="AE73" s="332"/>
      <c r="AF73" s="332"/>
      <c r="AG73" s="103"/>
      <c r="AH73" s="103"/>
      <c r="AI73" s="103"/>
    </row>
    <row r="74" spans="1:35" ht="15" x14ac:dyDescent="0.4">
      <c r="A74" s="294" t="s">
        <v>450</v>
      </c>
      <c r="B74" s="310">
        <f>Cc1ea*1000000000000</f>
        <v>3248.0600668113543</v>
      </c>
      <c r="C74" s="243">
        <f>'Standard Value Calculator'!S28</f>
        <v>3300</v>
      </c>
      <c r="D74" s="250">
        <v>6800</v>
      </c>
      <c r="E74" s="290" t="s">
        <v>53</v>
      </c>
      <c r="F74" s="292">
        <f>Fz2_u/1000</f>
        <v>7.560409825318219</v>
      </c>
      <c r="G74" s="285" t="s">
        <v>451</v>
      </c>
      <c r="H74" s="230"/>
      <c r="I74" s="151"/>
      <c r="J74" s="151"/>
      <c r="K74" s="151"/>
      <c r="L74" s="151"/>
      <c r="M74" s="151"/>
      <c r="N74" s="151"/>
      <c r="O74" s="151"/>
      <c r="P74" s="151"/>
      <c r="Q74" s="190"/>
      <c r="R74" s="419"/>
      <c r="S74" s="331"/>
      <c r="T74" s="331"/>
      <c r="U74" s="332"/>
      <c r="V74" s="332"/>
      <c r="W74" s="331"/>
      <c r="X74" s="331"/>
      <c r="Y74" s="331"/>
      <c r="Z74" s="332"/>
      <c r="AA74" s="332"/>
      <c r="AB74" s="331"/>
      <c r="AC74" s="331"/>
      <c r="AD74" s="331"/>
      <c r="AE74" s="332"/>
      <c r="AF74" s="332"/>
      <c r="AG74" s="103"/>
      <c r="AH74" s="103"/>
      <c r="AI74" s="103"/>
    </row>
    <row r="75" spans="1:35" ht="15" x14ac:dyDescent="0.4">
      <c r="A75" s="294" t="s">
        <v>452</v>
      </c>
      <c r="B75" s="310">
        <f>Cc2ea*1000000000000</f>
        <v>101.60932146395071</v>
      </c>
      <c r="C75" s="243">
        <f>'Standard Value Calculator'!S29</f>
        <v>100</v>
      </c>
      <c r="D75" s="250">
        <f>C75</f>
        <v>100</v>
      </c>
      <c r="E75" s="290" t="s">
        <v>53</v>
      </c>
      <c r="F75" s="481">
        <f>Fp1_u/1000</f>
        <v>3114.5781462574628</v>
      </c>
      <c r="G75" s="285" t="s">
        <v>453</v>
      </c>
      <c r="H75" s="230"/>
      <c r="I75" s="151"/>
      <c r="J75" s="151"/>
      <c r="K75" s="151"/>
      <c r="L75" s="151"/>
      <c r="M75" s="151"/>
      <c r="N75" s="151"/>
      <c r="O75" s="151"/>
      <c r="P75" s="151"/>
      <c r="Q75" s="190"/>
      <c r="R75" s="419"/>
      <c r="S75" s="331"/>
      <c r="T75" s="331"/>
      <c r="U75" s="332"/>
      <c r="V75" s="332"/>
      <c r="W75" s="331"/>
      <c r="X75" s="331"/>
      <c r="Y75" s="331"/>
      <c r="Z75" s="332"/>
      <c r="AA75" s="332"/>
      <c r="AB75" s="331"/>
      <c r="AC75" s="331"/>
      <c r="AD75" s="331"/>
      <c r="AE75" s="332"/>
      <c r="AF75" s="332"/>
      <c r="AG75" s="103"/>
      <c r="AH75" s="103"/>
      <c r="AI75" s="103"/>
    </row>
    <row r="76" spans="1:35" ht="15" x14ac:dyDescent="0.4">
      <c r="A76" s="294" t="s">
        <v>454</v>
      </c>
      <c r="B76" s="310">
        <f>Rcea2</f>
        <v>51.587061060362629</v>
      </c>
      <c r="C76" s="243">
        <f>'Standard Value Calculator'!S30</f>
        <v>51.1</v>
      </c>
      <c r="D76" s="250">
        <f>C76</f>
        <v>51.1</v>
      </c>
      <c r="E76" s="290" t="s">
        <v>274</v>
      </c>
      <c r="F76" s="481">
        <f>Fp2_u/1000</f>
        <v>200.36657214073108</v>
      </c>
      <c r="G76" s="285" t="s">
        <v>455</v>
      </c>
      <c r="H76" s="230"/>
      <c r="I76" s="151"/>
      <c r="J76" s="151"/>
      <c r="K76" s="151"/>
      <c r="L76" s="151"/>
      <c r="M76" s="151"/>
      <c r="N76" s="151"/>
      <c r="O76" s="151"/>
      <c r="P76" s="151"/>
      <c r="Q76" s="190"/>
      <c r="R76" s="419"/>
      <c r="S76" s="331"/>
      <c r="T76" s="331"/>
      <c r="U76" s="332"/>
      <c r="V76" s="332"/>
      <c r="W76" s="331"/>
      <c r="X76" s="331"/>
      <c r="Y76" s="331"/>
      <c r="Z76" s="332"/>
      <c r="AA76" s="332"/>
      <c r="AB76" s="331"/>
      <c r="AC76" s="331"/>
      <c r="AD76" s="331"/>
      <c r="AE76" s="332"/>
      <c r="AF76" s="332"/>
      <c r="AG76" s="103"/>
      <c r="AH76" s="103"/>
      <c r="AI76" s="103"/>
    </row>
    <row r="77" spans="1:35" ht="15" customHeight="1" thickBot="1" x14ac:dyDescent="0.45">
      <c r="A77" s="320" t="s">
        <v>456</v>
      </c>
      <c r="B77" s="311">
        <f>Cc3ea*1000000000000</f>
        <v>969.2352883118192</v>
      </c>
      <c r="C77" s="303">
        <f>'Standard Value Calculator'!S31</f>
        <v>1000.0000000000001</v>
      </c>
      <c r="D77" s="304">
        <f>C77</f>
        <v>1000.0000000000001</v>
      </c>
      <c r="E77" s="305" t="s">
        <v>53</v>
      </c>
      <c r="F77" s="306"/>
      <c r="G77" s="307"/>
      <c r="H77" s="230"/>
      <c r="I77" s="151"/>
      <c r="J77" s="151"/>
      <c r="K77" s="151"/>
      <c r="L77" s="215" t="s">
        <v>746</v>
      </c>
      <c r="M77" s="233">
        <v>0.4</v>
      </c>
      <c r="N77" s="231" t="s">
        <v>208</v>
      </c>
      <c r="O77" s="151"/>
      <c r="P77" s="151"/>
      <c r="Q77" s="190"/>
      <c r="R77" s="419"/>
      <c r="S77" s="331"/>
      <c r="T77" s="331"/>
      <c r="U77" s="332"/>
      <c r="V77" s="332"/>
      <c r="W77" s="331"/>
      <c r="X77" s="331"/>
      <c r="Y77" s="331"/>
      <c r="Z77" s="332"/>
      <c r="AA77" s="332"/>
      <c r="AB77" s="331"/>
      <c r="AC77" s="331"/>
      <c r="AD77" s="331"/>
      <c r="AE77" s="332"/>
      <c r="AF77" s="332"/>
      <c r="AG77" s="103"/>
      <c r="AH77" s="103"/>
      <c r="AI77" s="103"/>
    </row>
    <row r="78" spans="1:35" ht="13.5" thickBot="1" x14ac:dyDescent="0.35">
      <c r="A78" s="218"/>
      <c r="B78" s="216"/>
      <c r="C78" s="216"/>
      <c r="D78" s="219"/>
      <c r="E78" s="219"/>
      <c r="F78" s="219"/>
      <c r="G78" s="219"/>
      <c r="H78" s="219"/>
      <c r="I78" s="151"/>
      <c r="J78" s="151"/>
      <c r="K78" s="151"/>
      <c r="L78" s="151"/>
      <c r="M78" s="151"/>
      <c r="N78" s="151"/>
      <c r="O78" s="151"/>
      <c r="P78" s="151"/>
      <c r="Q78" s="190"/>
      <c r="R78" s="419"/>
      <c r="S78" s="331"/>
      <c r="T78" s="331"/>
      <c r="U78" s="332"/>
      <c r="V78" s="332"/>
      <c r="W78" s="331"/>
      <c r="X78" s="331"/>
      <c r="Y78" s="331"/>
      <c r="Z78" s="332"/>
      <c r="AA78" s="332"/>
      <c r="AB78" s="331"/>
      <c r="AC78" s="331"/>
      <c r="AD78" s="331"/>
      <c r="AE78" s="332"/>
      <c r="AF78" s="332"/>
      <c r="AG78" s="103"/>
      <c r="AH78" s="103"/>
      <c r="AI78" s="103"/>
    </row>
    <row r="79" spans="1:35" s="154" customFormat="1" ht="18.5" thickBot="1" x14ac:dyDescent="0.45">
      <c r="A79" s="321" t="s">
        <v>458</v>
      </c>
      <c r="B79" s="236"/>
      <c r="C79" s="251"/>
      <c r="D79" s="251"/>
      <c r="E79" s="251"/>
      <c r="F79" s="251"/>
      <c r="G79" s="251"/>
      <c r="H79" s="251"/>
      <c r="I79" s="152"/>
      <c r="J79" s="152"/>
      <c r="K79" s="152"/>
      <c r="L79" s="152"/>
      <c r="M79" s="152"/>
      <c r="N79" s="152"/>
      <c r="O79" s="152"/>
      <c r="P79" s="152"/>
      <c r="Q79" s="153"/>
      <c r="R79" s="421"/>
      <c r="S79" s="333"/>
      <c r="T79" s="333"/>
      <c r="U79" s="334"/>
      <c r="V79" s="334"/>
      <c r="W79" s="333"/>
      <c r="X79" s="333"/>
      <c r="Y79" s="333"/>
      <c r="Z79" s="334"/>
      <c r="AA79" s="334"/>
      <c r="AB79" s="333"/>
      <c r="AC79" s="333"/>
      <c r="AD79" s="333"/>
      <c r="AE79" s="334"/>
      <c r="AF79" s="334"/>
      <c r="AG79" s="104"/>
      <c r="AH79" s="104"/>
      <c r="AI79" s="104"/>
    </row>
    <row r="80" spans="1:35" x14ac:dyDescent="0.3">
      <c r="A80" s="318"/>
      <c r="B80" s="230"/>
      <c r="C80" s="219"/>
      <c r="D80" s="219"/>
      <c r="E80" s="219"/>
      <c r="F80" s="219"/>
      <c r="G80" s="219"/>
      <c r="H80" s="219"/>
      <c r="I80" s="151"/>
      <c r="J80" s="151"/>
      <c r="K80" s="151"/>
      <c r="L80" s="151"/>
      <c r="M80" s="151"/>
      <c r="N80" s="151"/>
      <c r="O80" s="151"/>
      <c r="P80" s="151"/>
      <c r="Q80" s="190"/>
      <c r="R80" s="419"/>
      <c r="S80" s="331"/>
      <c r="T80" s="331"/>
      <c r="U80" s="332"/>
      <c r="V80" s="332"/>
      <c r="W80" s="331"/>
      <c r="X80" s="331"/>
      <c r="Y80" s="331"/>
      <c r="Z80" s="332"/>
      <c r="AA80" s="332"/>
      <c r="AB80" s="331"/>
      <c r="AC80" s="331"/>
      <c r="AD80" s="331"/>
      <c r="AE80" s="332"/>
      <c r="AF80" s="332"/>
      <c r="AG80" s="103"/>
      <c r="AH80" s="103"/>
      <c r="AI80" s="103"/>
    </row>
    <row r="81" spans="1:35" ht="17.5" x14ac:dyDescent="0.35">
      <c r="A81" s="253" t="s">
        <v>362</v>
      </c>
      <c r="B81" s="226"/>
      <c r="C81" s="219"/>
      <c r="D81" s="219"/>
      <c r="E81" s="219"/>
      <c r="F81" s="219"/>
      <c r="G81" s="219"/>
      <c r="H81" s="219"/>
      <c r="I81" s="151"/>
      <c r="J81" s="151"/>
      <c r="K81" s="151"/>
      <c r="L81" s="151"/>
      <c r="M81" s="151"/>
      <c r="N81" s="151"/>
      <c r="O81" s="151"/>
      <c r="P81" s="151"/>
      <c r="Q81" s="190"/>
      <c r="R81" s="419"/>
      <c r="S81" s="331"/>
      <c r="T81" s="331"/>
      <c r="U81" s="332"/>
      <c r="V81" s="332"/>
      <c r="W81" s="331"/>
      <c r="X81" s="331"/>
      <c r="Y81" s="331"/>
      <c r="Z81" s="332"/>
      <c r="AA81" s="332"/>
      <c r="AB81" s="331"/>
      <c r="AC81" s="331"/>
      <c r="AD81" s="331"/>
      <c r="AE81" s="332"/>
      <c r="AF81" s="332"/>
      <c r="AG81" s="103"/>
      <c r="AH81" s="103"/>
      <c r="AI81" s="103"/>
    </row>
    <row r="82" spans="1:35" ht="13.5" customHeight="1" thickBot="1" x14ac:dyDescent="0.35">
      <c r="A82" s="218"/>
      <c r="B82" s="219"/>
      <c r="C82" s="219"/>
      <c r="D82" s="219"/>
      <c r="E82" s="219"/>
      <c r="F82" s="219"/>
      <c r="G82" s="219"/>
      <c r="H82" s="219"/>
      <c r="I82" s="151"/>
      <c r="J82" s="151"/>
      <c r="K82" s="151"/>
      <c r="L82" s="151"/>
      <c r="M82" s="151"/>
      <c r="N82" s="151"/>
      <c r="O82" s="151"/>
      <c r="P82" s="151"/>
      <c r="Q82" s="190"/>
      <c r="R82" s="419"/>
      <c r="S82" s="331"/>
      <c r="T82" s="213"/>
      <c r="U82" s="213"/>
      <c r="V82" s="332"/>
      <c r="W82" s="331"/>
      <c r="X82" s="331"/>
      <c r="Y82" s="331"/>
      <c r="Z82" s="332"/>
      <c r="AA82" s="332"/>
      <c r="AB82" s="331"/>
      <c r="AC82" s="331"/>
      <c r="AD82" s="331"/>
      <c r="AE82" s="332"/>
      <c r="AF82" s="332"/>
      <c r="AG82" s="103"/>
      <c r="AH82" s="103"/>
      <c r="AI82" s="103"/>
    </row>
    <row r="83" spans="1:35" ht="18" customHeight="1" x14ac:dyDescent="0.4">
      <c r="A83" s="295"/>
      <c r="B83" s="296"/>
      <c r="C83" s="297"/>
      <c r="D83" s="346" t="s">
        <v>533</v>
      </c>
      <c r="E83" s="405" t="s">
        <v>752</v>
      </c>
      <c r="F83" s="298"/>
      <c r="G83" s="219"/>
      <c r="H83" s="219"/>
      <c r="I83" s="151"/>
      <c r="J83" s="151"/>
      <c r="K83" s="151"/>
      <c r="L83" s="151"/>
      <c r="M83" s="151"/>
      <c r="N83" s="151"/>
      <c r="O83" s="151"/>
      <c r="P83" s="151"/>
      <c r="Q83" s="190"/>
      <c r="R83" s="419"/>
      <c r="S83" s="331"/>
      <c r="T83" s="213"/>
      <c r="U83" s="213"/>
      <c r="V83" s="332"/>
      <c r="W83" s="331"/>
      <c r="X83" s="331"/>
      <c r="Y83" s="331"/>
      <c r="Z83" s="332"/>
      <c r="AA83" s="332"/>
      <c r="AB83" s="331"/>
      <c r="AC83" s="331"/>
      <c r="AD83" s="331"/>
      <c r="AE83" s="332"/>
      <c r="AF83" s="332"/>
      <c r="AG83" s="103"/>
      <c r="AH83" s="103"/>
      <c r="AI83" s="103"/>
    </row>
    <row r="84" spans="1:35" ht="14.5" customHeight="1" x14ac:dyDescent="0.4">
      <c r="A84" s="218"/>
      <c r="B84" s="219"/>
      <c r="C84" s="231"/>
      <c r="D84" s="215" t="s">
        <v>549</v>
      </c>
      <c r="E84" s="220">
        <v>22</v>
      </c>
      <c r="F84" s="273" t="s">
        <v>115</v>
      </c>
      <c r="G84" s="219"/>
      <c r="H84" s="219"/>
      <c r="I84" s="151"/>
      <c r="J84" s="151"/>
      <c r="K84" s="151"/>
      <c r="L84" s="151"/>
      <c r="M84" s="151"/>
      <c r="N84" s="151"/>
      <c r="O84" s="151"/>
      <c r="P84" s="151"/>
      <c r="Q84" s="190"/>
      <c r="R84" s="419"/>
      <c r="S84" s="331"/>
      <c r="T84" s="213"/>
      <c r="U84" s="213"/>
      <c r="V84" s="332"/>
      <c r="W84" s="331"/>
      <c r="X84" s="331"/>
      <c r="Y84" s="331"/>
      <c r="Z84" s="332"/>
      <c r="AA84" s="332"/>
      <c r="AB84" s="331"/>
      <c r="AC84" s="331"/>
      <c r="AD84" s="331"/>
      <c r="AE84" s="332"/>
      <c r="AF84" s="332"/>
      <c r="AG84" s="103"/>
      <c r="AH84" s="103"/>
      <c r="AI84" s="103"/>
    </row>
    <row r="85" spans="1:35" ht="14.5" customHeight="1" x14ac:dyDescent="0.4">
      <c r="A85" s="218"/>
      <c r="B85" s="219"/>
      <c r="C85" s="231"/>
      <c r="D85" s="215" t="s">
        <v>550</v>
      </c>
      <c r="E85" s="220">
        <v>10.5</v>
      </c>
      <c r="F85" s="273" t="s">
        <v>136</v>
      </c>
      <c r="G85" s="219"/>
      <c r="H85" s="219"/>
      <c r="I85" s="151"/>
      <c r="J85" s="151"/>
      <c r="K85" s="151"/>
      <c r="L85" s="151"/>
      <c r="M85" s="151"/>
      <c r="N85" s="151"/>
      <c r="O85" s="151"/>
      <c r="P85" s="151"/>
      <c r="Q85" s="190"/>
      <c r="R85" s="419"/>
      <c r="S85" s="331"/>
      <c r="T85" s="213"/>
      <c r="U85" s="213"/>
      <c r="V85" s="332"/>
      <c r="W85" s="331"/>
      <c r="X85" s="331"/>
      <c r="Y85" s="331"/>
      <c r="Z85" s="332"/>
      <c r="AA85" s="332"/>
      <c r="AB85" s="331"/>
      <c r="AC85" s="331"/>
      <c r="AD85" s="331"/>
      <c r="AE85" s="332"/>
      <c r="AF85" s="332"/>
      <c r="AG85" s="103"/>
      <c r="AH85" s="103"/>
      <c r="AI85" s="103"/>
    </row>
    <row r="86" spans="1:35" ht="14.5" customHeight="1" x14ac:dyDescent="0.4">
      <c r="A86" s="218"/>
      <c r="B86" s="219"/>
      <c r="C86" s="231"/>
      <c r="D86" s="215" t="s">
        <v>551</v>
      </c>
      <c r="E86" s="233">
        <v>1.8</v>
      </c>
      <c r="F86" s="273" t="s">
        <v>136</v>
      </c>
      <c r="G86" s="219"/>
      <c r="H86" s="219"/>
      <c r="I86" s="151"/>
      <c r="J86" s="151"/>
      <c r="K86" s="151"/>
      <c r="L86" s="151"/>
      <c r="M86" s="151"/>
      <c r="N86" s="151"/>
      <c r="O86" s="151"/>
      <c r="P86" s="151"/>
      <c r="Q86" s="190"/>
      <c r="R86" s="419"/>
      <c r="S86" s="331"/>
      <c r="T86" s="213"/>
      <c r="U86" s="213"/>
      <c r="V86" s="332"/>
      <c r="W86" s="331"/>
      <c r="X86" s="331"/>
      <c r="Y86" s="331"/>
      <c r="Z86" s="332"/>
      <c r="AA86" s="332"/>
      <c r="AB86" s="331"/>
      <c r="AC86" s="331"/>
      <c r="AD86" s="331"/>
      <c r="AE86" s="332"/>
      <c r="AF86" s="332"/>
      <c r="AG86" s="103"/>
      <c r="AH86" s="103"/>
      <c r="AI86" s="103"/>
    </row>
    <row r="87" spans="1:35" ht="14.5" customHeight="1" x14ac:dyDescent="0.4">
      <c r="A87" s="218"/>
      <c r="B87" s="219"/>
      <c r="C87" s="231"/>
      <c r="D87" s="215" t="s">
        <v>552</v>
      </c>
      <c r="E87" s="233">
        <v>3.6</v>
      </c>
      <c r="F87" s="273" t="s">
        <v>136</v>
      </c>
      <c r="G87" s="219"/>
      <c r="H87" s="219"/>
      <c r="I87" s="151"/>
      <c r="J87" s="151"/>
      <c r="K87" s="151"/>
      <c r="L87" s="151"/>
      <c r="M87" s="151"/>
      <c r="N87" s="151"/>
      <c r="O87" s="151"/>
      <c r="P87" s="151"/>
      <c r="Q87" s="190"/>
      <c r="R87" s="419"/>
      <c r="S87" s="331"/>
      <c r="T87" s="213"/>
      <c r="U87" s="213"/>
      <c r="V87" s="332"/>
      <c r="W87" s="331"/>
      <c r="X87" s="331"/>
      <c r="Y87" s="331"/>
      <c r="Z87" s="332"/>
      <c r="AA87" s="332"/>
      <c r="AB87" s="331"/>
      <c r="AC87" s="331"/>
      <c r="AD87" s="331"/>
      <c r="AE87" s="332"/>
      <c r="AF87" s="332"/>
      <c r="AG87" s="103"/>
      <c r="AH87" s="103"/>
      <c r="AI87" s="103"/>
    </row>
    <row r="88" spans="1:35" ht="14.5" customHeight="1" x14ac:dyDescent="0.4">
      <c r="A88" s="218"/>
      <c r="B88" s="219"/>
      <c r="C88" s="231"/>
      <c r="D88" s="215" t="s">
        <v>726</v>
      </c>
      <c r="E88" s="233">
        <v>302</v>
      </c>
      <c r="F88" s="273" t="s">
        <v>53</v>
      </c>
      <c r="G88" s="219"/>
      <c r="H88" s="219"/>
      <c r="I88" s="151"/>
      <c r="J88" s="151"/>
      <c r="K88" s="151"/>
      <c r="L88" s="151"/>
      <c r="M88" s="151"/>
      <c r="N88" s="151"/>
      <c r="O88" s="151"/>
      <c r="P88" s="151"/>
      <c r="Q88" s="190"/>
      <c r="R88" s="419"/>
      <c r="S88" s="331"/>
      <c r="T88" s="213"/>
      <c r="U88" s="213"/>
      <c r="V88" s="332"/>
      <c r="W88" s="331"/>
      <c r="X88" s="331"/>
      <c r="Y88" s="331"/>
      <c r="Z88" s="332"/>
      <c r="AA88" s="332"/>
      <c r="AB88" s="331"/>
      <c r="AC88" s="331"/>
      <c r="AD88" s="331"/>
      <c r="AE88" s="332"/>
      <c r="AF88" s="332"/>
      <c r="AG88" s="103"/>
      <c r="AH88" s="103"/>
      <c r="AI88" s="103"/>
    </row>
    <row r="89" spans="1:35" ht="14.5" customHeight="1" x14ac:dyDescent="0.4">
      <c r="A89" s="218"/>
      <c r="B89" s="219"/>
      <c r="C89" s="231"/>
      <c r="D89" s="215" t="s">
        <v>553</v>
      </c>
      <c r="E89" s="233">
        <v>2</v>
      </c>
      <c r="F89" s="273" t="s">
        <v>274</v>
      </c>
      <c r="G89" s="219"/>
      <c r="H89" s="219"/>
      <c r="I89" s="151"/>
      <c r="J89" s="151"/>
      <c r="K89" s="151"/>
      <c r="L89" s="151"/>
      <c r="M89" s="151"/>
      <c r="N89" s="151"/>
      <c r="O89" s="151"/>
      <c r="P89" s="151"/>
      <c r="Q89" s="190"/>
      <c r="R89" s="419"/>
      <c r="S89" s="331"/>
      <c r="T89" s="213"/>
      <c r="U89" s="213"/>
      <c r="V89" s="332"/>
      <c r="W89" s="331"/>
      <c r="X89" s="331"/>
      <c r="Y89" s="331"/>
      <c r="Z89" s="332"/>
      <c r="AA89" s="332"/>
      <c r="AB89" s="331"/>
      <c r="AC89" s="331"/>
      <c r="AD89" s="331"/>
      <c r="AE89" s="332"/>
      <c r="AF89" s="332"/>
      <c r="AG89" s="103"/>
      <c r="AH89" s="103"/>
      <c r="AI89" s="103"/>
    </row>
    <row r="90" spans="1:35" ht="14.5" customHeight="1" x14ac:dyDescent="0.4">
      <c r="A90" s="218"/>
      <c r="B90" s="219"/>
      <c r="C90" s="231"/>
      <c r="D90" s="215" t="s">
        <v>554</v>
      </c>
      <c r="E90" s="233">
        <v>10</v>
      </c>
      <c r="F90" s="273" t="s">
        <v>137</v>
      </c>
      <c r="G90" s="219"/>
      <c r="H90" s="219"/>
      <c r="I90" s="151"/>
      <c r="J90" s="151"/>
      <c r="K90" s="151"/>
      <c r="L90" s="151"/>
      <c r="M90" s="151"/>
      <c r="N90" s="151"/>
      <c r="O90" s="151"/>
      <c r="P90" s="151"/>
      <c r="Q90" s="190"/>
      <c r="R90" s="419"/>
      <c r="S90" s="331"/>
      <c r="T90" s="213"/>
      <c r="U90" s="213"/>
      <c r="V90" s="332"/>
      <c r="W90" s="331"/>
      <c r="X90" s="331"/>
      <c r="Y90" s="331"/>
      <c r="Z90" s="332"/>
      <c r="AA90" s="332"/>
      <c r="AB90" s="331"/>
      <c r="AC90" s="331"/>
      <c r="AD90" s="331"/>
      <c r="AE90" s="332"/>
      <c r="AF90" s="332"/>
      <c r="AG90" s="103"/>
      <c r="AH90" s="103"/>
      <c r="AI90" s="103"/>
    </row>
    <row r="91" spans="1:35" ht="14.5" customHeight="1" x14ac:dyDescent="0.4">
      <c r="A91" s="218"/>
      <c r="B91" s="219"/>
      <c r="C91" s="231"/>
      <c r="D91" s="215" t="s">
        <v>555</v>
      </c>
      <c r="E91" s="233">
        <v>3.7</v>
      </c>
      <c r="F91" s="273" t="s">
        <v>0</v>
      </c>
      <c r="G91" s="219"/>
      <c r="H91" s="219"/>
      <c r="I91" s="151"/>
      <c r="J91" s="151"/>
      <c r="K91" s="151"/>
      <c r="L91" s="151"/>
      <c r="M91" s="151"/>
      <c r="N91" s="151"/>
      <c r="O91" s="151"/>
      <c r="P91" s="151"/>
      <c r="Q91" s="190"/>
      <c r="R91" s="419"/>
      <c r="S91" s="331"/>
      <c r="T91" s="213"/>
      <c r="U91" s="213"/>
      <c r="V91" s="332"/>
      <c r="W91" s="331"/>
      <c r="X91" s="331"/>
      <c r="Y91" s="331"/>
      <c r="Z91" s="332"/>
      <c r="AA91" s="332"/>
      <c r="AB91" s="331"/>
      <c r="AC91" s="331"/>
      <c r="AD91" s="331"/>
      <c r="AE91" s="332"/>
      <c r="AF91" s="332"/>
      <c r="AG91" s="103"/>
      <c r="AH91" s="103"/>
      <c r="AI91" s="103"/>
    </row>
    <row r="92" spans="1:35" ht="14.5" customHeight="1" x14ac:dyDescent="0.4">
      <c r="A92" s="218"/>
      <c r="B92" s="219"/>
      <c r="C92" s="231"/>
      <c r="D92" s="215" t="s">
        <v>561</v>
      </c>
      <c r="E92" s="233">
        <v>0.8</v>
      </c>
      <c r="F92" s="273" t="s">
        <v>0</v>
      </c>
      <c r="G92" s="219"/>
      <c r="H92" s="219"/>
      <c r="I92" s="151"/>
      <c r="J92" s="151"/>
      <c r="K92" s="151"/>
      <c r="L92" s="151"/>
      <c r="M92" s="151"/>
      <c r="N92" s="151"/>
      <c r="O92" s="151"/>
      <c r="P92" s="151"/>
      <c r="Q92" s="190"/>
      <c r="R92" s="419"/>
      <c r="S92" s="331"/>
      <c r="T92" s="213"/>
      <c r="U92" s="213"/>
      <c r="V92" s="332"/>
      <c r="W92" s="331"/>
      <c r="X92" s="331"/>
      <c r="Y92" s="331"/>
      <c r="Z92" s="332"/>
      <c r="AA92" s="332"/>
      <c r="AB92" s="331"/>
      <c r="AC92" s="331"/>
      <c r="AD92" s="331"/>
      <c r="AE92" s="332"/>
      <c r="AF92" s="332"/>
      <c r="AG92" s="103"/>
      <c r="AH92" s="103"/>
      <c r="AI92" s="103"/>
    </row>
    <row r="93" spans="1:35" ht="14.5" customHeight="1" thickBot="1" x14ac:dyDescent="0.45">
      <c r="A93" s="336"/>
      <c r="B93" s="300"/>
      <c r="C93" s="337"/>
      <c r="D93" s="301" t="s">
        <v>556</v>
      </c>
      <c r="E93" s="399">
        <v>42</v>
      </c>
      <c r="F93" s="302" t="s">
        <v>381</v>
      </c>
      <c r="G93" s="219"/>
      <c r="H93" s="219"/>
      <c r="I93" s="151"/>
      <c r="J93" s="151"/>
      <c r="K93" s="151"/>
      <c r="L93" s="151"/>
      <c r="M93" s="151"/>
      <c r="N93" s="151"/>
      <c r="O93" s="151"/>
      <c r="P93" s="151"/>
      <c r="Q93" s="190"/>
      <c r="R93" s="419"/>
      <c r="S93" s="331"/>
      <c r="T93" s="213"/>
      <c r="U93" s="213"/>
      <c r="V93" s="332"/>
      <c r="W93" s="331"/>
      <c r="X93" s="331"/>
      <c r="Y93" s="331"/>
      <c r="Z93" s="332"/>
      <c r="AA93" s="332"/>
      <c r="AB93" s="331"/>
      <c r="AC93" s="331"/>
      <c r="AD93" s="331"/>
      <c r="AE93" s="332"/>
      <c r="AF93" s="332"/>
      <c r="AG93" s="103"/>
      <c r="AH93" s="103"/>
      <c r="AI93" s="103"/>
    </row>
    <row r="94" spans="1:35" ht="18" customHeight="1" thickBot="1" x14ac:dyDescent="0.35">
      <c r="A94" s="218"/>
      <c r="B94" s="219"/>
      <c r="C94" s="231"/>
      <c r="D94" s="215"/>
      <c r="E94" s="335"/>
      <c r="F94" s="338"/>
      <c r="G94" s="219"/>
      <c r="H94" s="219"/>
      <c r="I94" s="151"/>
      <c r="J94" s="151"/>
      <c r="K94" s="151"/>
      <c r="L94" s="151"/>
      <c r="M94" s="151"/>
      <c r="N94" s="151"/>
      <c r="O94" s="151"/>
      <c r="P94" s="151"/>
      <c r="Q94" s="190"/>
      <c r="R94" s="419"/>
      <c r="S94" s="331"/>
      <c r="T94" s="213"/>
      <c r="U94" s="213"/>
      <c r="V94" s="332"/>
      <c r="W94" s="331"/>
      <c r="X94" s="331"/>
      <c r="Y94" s="331"/>
      <c r="Z94" s="332"/>
      <c r="AA94" s="332"/>
      <c r="AB94" s="331"/>
      <c r="AC94" s="331"/>
      <c r="AD94" s="331"/>
      <c r="AE94" s="332"/>
      <c r="AF94" s="332"/>
      <c r="AG94" s="103"/>
      <c r="AH94" s="103"/>
      <c r="AI94" s="103"/>
    </row>
    <row r="95" spans="1:35" ht="18" customHeight="1" x14ac:dyDescent="0.4">
      <c r="A95" s="295"/>
      <c r="B95" s="296"/>
      <c r="C95" s="299"/>
      <c r="D95" s="346" t="s">
        <v>534</v>
      </c>
      <c r="E95" s="405" t="s">
        <v>751</v>
      </c>
      <c r="F95" s="298"/>
      <c r="G95" s="219"/>
      <c r="H95" s="219"/>
      <c r="I95" s="151"/>
      <c r="J95" s="151"/>
      <c r="K95" s="151"/>
      <c r="L95" s="151"/>
      <c r="M95" s="151"/>
      <c r="N95" s="151"/>
      <c r="O95" s="151"/>
      <c r="P95" s="151"/>
      <c r="Q95" s="190"/>
      <c r="R95" s="419"/>
      <c r="S95" s="331"/>
      <c r="T95" s="213"/>
      <c r="U95" s="213"/>
      <c r="V95" s="332"/>
      <c r="W95" s="331"/>
      <c r="X95" s="331"/>
      <c r="Y95" s="331"/>
      <c r="Z95" s="332"/>
      <c r="AA95" s="332"/>
      <c r="AB95" s="331"/>
      <c r="AC95" s="331"/>
      <c r="AD95" s="331"/>
      <c r="AE95" s="332"/>
      <c r="AF95" s="332"/>
      <c r="AG95" s="103"/>
      <c r="AH95" s="103"/>
      <c r="AI95" s="103"/>
    </row>
    <row r="96" spans="1:35" ht="14.5" customHeight="1" x14ac:dyDescent="0.4">
      <c r="A96" s="218"/>
      <c r="B96" s="219"/>
      <c r="C96" s="219"/>
      <c r="D96" s="215" t="s">
        <v>549</v>
      </c>
      <c r="E96" s="233">
        <v>10</v>
      </c>
      <c r="F96" s="273" t="s">
        <v>115</v>
      </c>
      <c r="G96" s="219"/>
      <c r="H96" s="219"/>
      <c r="I96" s="151"/>
      <c r="J96" s="151"/>
      <c r="K96" s="151"/>
      <c r="L96" s="151"/>
      <c r="M96" s="151"/>
      <c r="N96" s="151"/>
      <c r="O96" s="151"/>
      <c r="P96" s="151"/>
      <c r="Q96" s="190"/>
      <c r="R96" s="419"/>
      <c r="S96" s="331"/>
      <c r="T96" s="213"/>
      <c r="U96" s="213"/>
      <c r="V96" s="332"/>
      <c r="W96" s="331"/>
      <c r="X96" s="331"/>
      <c r="Y96" s="331"/>
      <c r="Z96" s="332"/>
      <c r="AA96" s="332"/>
      <c r="AB96" s="331"/>
      <c r="AC96" s="331"/>
      <c r="AD96" s="331"/>
      <c r="AE96" s="332"/>
      <c r="AF96" s="332"/>
      <c r="AG96" s="103"/>
      <c r="AH96" s="103"/>
      <c r="AI96" s="103"/>
    </row>
    <row r="97" spans="1:35" ht="14.5" customHeight="1" x14ac:dyDescent="0.4">
      <c r="A97" s="218"/>
      <c r="B97" s="219"/>
      <c r="C97" s="219"/>
      <c r="D97" s="215" t="s">
        <v>550</v>
      </c>
      <c r="E97" s="233">
        <v>13</v>
      </c>
      <c r="F97" s="273" t="s">
        <v>136</v>
      </c>
      <c r="G97" s="219"/>
      <c r="H97" s="219"/>
      <c r="I97" s="151"/>
      <c r="J97" s="151"/>
      <c r="K97" s="151"/>
      <c r="L97" s="151"/>
      <c r="M97" s="151"/>
      <c r="N97" s="151"/>
      <c r="O97" s="151"/>
      <c r="P97" s="151"/>
      <c r="Q97" s="190"/>
      <c r="R97" s="419"/>
      <c r="S97" s="103"/>
      <c r="T97" s="6"/>
      <c r="U97" s="6"/>
      <c r="W97" s="103"/>
      <c r="X97" s="103"/>
      <c r="Y97" s="103"/>
      <c r="AB97" s="103"/>
      <c r="AC97" s="103"/>
      <c r="AD97" s="103"/>
      <c r="AG97" s="103"/>
      <c r="AH97" s="103"/>
      <c r="AI97" s="103"/>
    </row>
    <row r="98" spans="1:35" ht="14.5" customHeight="1" x14ac:dyDescent="0.4">
      <c r="A98" s="218"/>
      <c r="B98" s="219"/>
      <c r="C98" s="219"/>
      <c r="D98" s="215" t="s">
        <v>719</v>
      </c>
      <c r="E98" s="233">
        <v>20</v>
      </c>
      <c r="F98" s="273" t="s">
        <v>136</v>
      </c>
      <c r="G98" s="219"/>
      <c r="H98" s="219"/>
      <c r="I98" s="151"/>
      <c r="J98" s="151"/>
      <c r="K98" s="151"/>
      <c r="L98" s="151"/>
      <c r="M98" s="151"/>
      <c r="N98" s="151"/>
      <c r="O98" s="151"/>
      <c r="P98" s="151"/>
      <c r="Q98" s="190"/>
      <c r="R98" s="419"/>
      <c r="S98" s="103"/>
      <c r="T98" s="103"/>
      <c r="W98" s="103"/>
      <c r="X98" s="103"/>
      <c r="Y98" s="103"/>
      <c r="AB98" s="103"/>
      <c r="AC98" s="103"/>
      <c r="AD98" s="103"/>
      <c r="AG98" s="103"/>
      <c r="AH98" s="103"/>
      <c r="AI98" s="103"/>
    </row>
    <row r="99" spans="1:35" ht="14.5" customHeight="1" x14ac:dyDescent="0.4">
      <c r="A99" s="218"/>
      <c r="B99" s="219"/>
      <c r="C99" s="219"/>
      <c r="D99" s="215" t="s">
        <v>726</v>
      </c>
      <c r="E99" s="233">
        <v>580</v>
      </c>
      <c r="F99" s="273" t="s">
        <v>53</v>
      </c>
      <c r="G99" s="219"/>
      <c r="H99" s="219"/>
      <c r="I99" s="151"/>
      <c r="J99" s="151"/>
      <c r="K99" s="151"/>
      <c r="L99" s="151"/>
      <c r="M99" s="151"/>
      <c r="N99" s="151"/>
      <c r="O99" s="151"/>
      <c r="P99" s="151"/>
      <c r="Q99" s="190"/>
      <c r="R99" s="419"/>
      <c r="S99" s="103"/>
      <c r="T99" s="103"/>
      <c r="W99" s="103"/>
      <c r="X99" s="103"/>
      <c r="Y99" s="103"/>
      <c r="AB99" s="103"/>
      <c r="AC99" s="103"/>
      <c r="AD99" s="103"/>
      <c r="AG99" s="103"/>
      <c r="AH99" s="103"/>
      <c r="AI99" s="103"/>
    </row>
    <row r="100" spans="1:35" ht="14.25" customHeight="1" x14ac:dyDescent="0.4">
      <c r="A100" s="218"/>
      <c r="B100" s="219"/>
      <c r="C100" s="219"/>
      <c r="D100" s="215" t="s">
        <v>559</v>
      </c>
      <c r="E100" s="233">
        <v>0.9</v>
      </c>
      <c r="F100" s="273" t="s">
        <v>0</v>
      </c>
      <c r="G100" s="219"/>
      <c r="H100" s="219"/>
      <c r="I100" s="151"/>
      <c r="J100" s="151"/>
      <c r="K100" s="151"/>
      <c r="L100" s="151"/>
      <c r="M100" s="151"/>
      <c r="N100" s="151"/>
      <c r="O100" s="151"/>
      <c r="P100" s="151"/>
      <c r="Q100" s="190"/>
      <c r="R100" s="419"/>
      <c r="S100" s="103"/>
      <c r="T100" s="103"/>
      <c r="W100" s="103"/>
      <c r="X100" s="103"/>
      <c r="Y100" s="103"/>
      <c r="AB100" s="103"/>
      <c r="AC100" s="103"/>
      <c r="AD100" s="103"/>
      <c r="AG100" s="103"/>
      <c r="AH100" s="103"/>
      <c r="AI100" s="103"/>
    </row>
    <row r="101" spans="1:35" ht="14.5" customHeight="1" x14ac:dyDescent="0.4">
      <c r="A101" s="218"/>
      <c r="B101" s="219"/>
      <c r="C101" s="219"/>
      <c r="D101" s="215" t="s">
        <v>557</v>
      </c>
      <c r="E101" s="233">
        <v>50</v>
      </c>
      <c r="F101" s="273" t="s">
        <v>136</v>
      </c>
      <c r="G101" s="219"/>
      <c r="H101" s="219"/>
      <c r="I101" s="155"/>
      <c r="J101" s="156"/>
      <c r="K101" s="151"/>
      <c r="L101" s="151"/>
      <c r="M101" s="151"/>
      <c r="N101" s="151"/>
      <c r="O101" s="151"/>
      <c r="P101" s="151"/>
      <c r="Q101" s="190"/>
      <c r="R101" s="419"/>
      <c r="S101" s="103"/>
      <c r="T101" s="103"/>
      <c r="W101" s="103"/>
      <c r="X101" s="103"/>
      <c r="Y101" s="103"/>
      <c r="AB101" s="103"/>
      <c r="AC101" s="103"/>
      <c r="AD101" s="103"/>
      <c r="AG101" s="103"/>
      <c r="AH101" s="103"/>
      <c r="AI101" s="103"/>
    </row>
    <row r="102" spans="1:35" ht="14.5" customHeight="1" x14ac:dyDescent="0.4">
      <c r="A102" s="218"/>
      <c r="B102" s="219"/>
      <c r="C102" s="219"/>
      <c r="D102" s="215" t="s">
        <v>556</v>
      </c>
      <c r="E102" s="233">
        <v>40</v>
      </c>
      <c r="F102" s="273" t="s">
        <v>381</v>
      </c>
      <c r="G102" s="219"/>
      <c r="H102" s="219"/>
      <c r="I102" s="151"/>
      <c r="J102" s="151"/>
      <c r="K102" s="151"/>
      <c r="L102" s="151"/>
      <c r="M102" s="151"/>
      <c r="N102" s="151"/>
      <c r="O102" s="151"/>
      <c r="P102" s="151"/>
      <c r="Q102" s="190"/>
      <c r="R102" s="419"/>
      <c r="S102" s="103"/>
      <c r="T102" s="103"/>
      <c r="W102" s="103"/>
      <c r="X102" s="103"/>
      <c r="Y102" s="103"/>
      <c r="AB102" s="103"/>
      <c r="AC102" s="103"/>
      <c r="AD102" s="103"/>
      <c r="AG102" s="103"/>
      <c r="AH102" s="103"/>
      <c r="AI102" s="103"/>
    </row>
    <row r="103" spans="1:35" ht="18" customHeight="1" x14ac:dyDescent="0.3">
      <c r="A103" s="232"/>
      <c r="B103" s="231"/>
      <c r="C103" s="219"/>
      <c r="D103" s="339" t="s">
        <v>738</v>
      </c>
      <c r="E103" s="248"/>
      <c r="F103" s="273"/>
      <c r="G103" s="219"/>
      <c r="H103" s="219"/>
      <c r="I103" s="151"/>
      <c r="J103" s="151"/>
      <c r="K103" s="151"/>
      <c r="L103" s="151"/>
      <c r="M103" s="151"/>
      <c r="N103" s="151"/>
      <c r="O103" s="151"/>
      <c r="P103" s="151"/>
      <c r="Q103" s="190"/>
      <c r="R103" s="419"/>
      <c r="S103" s="103"/>
      <c r="T103" s="103"/>
      <c r="W103" s="103"/>
      <c r="X103" s="103"/>
      <c r="Y103" s="103"/>
      <c r="AB103" s="103"/>
      <c r="AC103" s="103"/>
      <c r="AD103" s="103"/>
      <c r="AG103" s="103"/>
      <c r="AH103" s="103"/>
      <c r="AI103" s="103"/>
    </row>
    <row r="104" spans="1:35" ht="14.5" customHeight="1" x14ac:dyDescent="0.4">
      <c r="A104" s="218"/>
      <c r="B104" s="219"/>
      <c r="C104" s="219"/>
      <c r="D104" s="215" t="s">
        <v>560</v>
      </c>
      <c r="E104" s="400">
        <v>0</v>
      </c>
      <c r="F104" s="273" t="s">
        <v>0</v>
      </c>
      <c r="G104" s="219"/>
      <c r="H104" s="219"/>
      <c r="I104" s="151"/>
      <c r="J104" s="151"/>
      <c r="K104" s="151"/>
      <c r="L104" s="151"/>
      <c r="M104" s="151"/>
      <c r="N104" s="151"/>
      <c r="O104" s="151"/>
      <c r="P104" s="151"/>
      <c r="Q104" s="190"/>
      <c r="R104" s="419"/>
      <c r="S104" s="103"/>
      <c r="T104" s="103"/>
      <c r="W104" s="103"/>
      <c r="X104" s="103"/>
      <c r="Y104" s="103"/>
      <c r="AB104" s="103"/>
      <c r="AC104" s="103"/>
      <c r="AD104" s="103"/>
      <c r="AG104" s="103"/>
      <c r="AH104" s="103"/>
      <c r="AI104" s="103"/>
    </row>
    <row r="105" spans="1:35" ht="14.5" customHeight="1" thickBot="1" x14ac:dyDescent="0.45">
      <c r="A105" s="269"/>
      <c r="B105" s="300"/>
      <c r="C105" s="300"/>
      <c r="D105" s="301" t="s">
        <v>558</v>
      </c>
      <c r="E105" s="401">
        <v>0</v>
      </c>
      <c r="F105" s="302" t="s">
        <v>136</v>
      </c>
      <c r="G105" s="219"/>
      <c r="H105" s="219"/>
      <c r="I105" s="151"/>
      <c r="J105" s="151"/>
      <c r="K105" s="151"/>
      <c r="L105" s="151"/>
      <c r="M105" s="151"/>
      <c r="N105" s="151"/>
      <c r="O105" s="151"/>
      <c r="P105" s="151"/>
      <c r="Q105" s="190"/>
      <c r="R105" s="419"/>
      <c r="S105" s="103"/>
      <c r="T105" s="103"/>
      <c r="W105" s="103"/>
      <c r="X105" s="103"/>
      <c r="Y105" s="103"/>
      <c r="AB105" s="103"/>
      <c r="AC105" s="103"/>
      <c r="AD105" s="103"/>
      <c r="AG105" s="103"/>
      <c r="AH105" s="103"/>
      <c r="AI105" s="103"/>
    </row>
    <row r="106" spans="1:35" ht="24" customHeight="1" thickBot="1" x14ac:dyDescent="0.35">
      <c r="A106" s="218"/>
      <c r="B106" s="219"/>
      <c r="C106" s="219"/>
      <c r="D106" s="215"/>
      <c r="E106" s="329"/>
      <c r="F106" s="219"/>
      <c r="G106" s="219"/>
      <c r="H106" s="219"/>
      <c r="I106" s="151"/>
      <c r="J106" s="151"/>
      <c r="K106" s="151"/>
      <c r="L106" s="151"/>
      <c r="M106" s="151"/>
      <c r="N106" s="151"/>
      <c r="O106" s="151"/>
      <c r="P106" s="151"/>
      <c r="Q106" s="190"/>
      <c r="R106" s="419"/>
      <c r="S106" s="103"/>
      <c r="T106" s="103"/>
      <c r="W106" s="103"/>
      <c r="X106" s="103"/>
      <c r="Y106" s="103"/>
      <c r="AB106" s="103"/>
      <c r="AC106" s="103"/>
      <c r="AD106" s="103"/>
      <c r="AG106" s="103"/>
      <c r="AH106" s="103"/>
      <c r="AI106" s="103"/>
    </row>
    <row r="107" spans="1:35" ht="13.5" thickBot="1" x14ac:dyDescent="0.35">
      <c r="A107" s="414"/>
      <c r="B107" s="415"/>
      <c r="C107" s="416"/>
      <c r="D107" s="416"/>
      <c r="E107" s="416"/>
      <c r="F107" s="416"/>
      <c r="G107" s="416"/>
      <c r="H107" s="416"/>
      <c r="I107" s="416"/>
      <c r="J107" s="416"/>
      <c r="K107" s="416"/>
      <c r="L107" s="416"/>
      <c r="M107" s="416"/>
      <c r="N107" s="416"/>
      <c r="O107" s="416"/>
      <c r="P107" s="416"/>
      <c r="Q107" s="416"/>
      <c r="R107" s="417"/>
      <c r="S107" s="103"/>
      <c r="T107" s="103"/>
      <c r="W107" s="103"/>
      <c r="X107" s="103"/>
      <c r="Y107" s="103"/>
      <c r="AB107" s="103"/>
      <c r="AC107" s="103"/>
      <c r="AD107" s="103"/>
      <c r="AG107" s="103"/>
      <c r="AH107" s="103"/>
      <c r="AI107" s="103"/>
    </row>
    <row r="108" spans="1:35" x14ac:dyDescent="0.3">
      <c r="B108" s="146"/>
      <c r="C108" s="146"/>
      <c r="D108" s="146"/>
      <c r="E108" s="146"/>
      <c r="F108" s="146"/>
      <c r="G108" s="146"/>
      <c r="H108" s="146"/>
      <c r="I108" s="146"/>
      <c r="J108" s="146"/>
      <c r="K108" s="146"/>
      <c r="L108" s="146"/>
      <c r="R108" s="103"/>
      <c r="S108" s="103"/>
      <c r="T108" s="103"/>
      <c r="W108" s="103"/>
      <c r="X108" s="103"/>
      <c r="Y108" s="103"/>
      <c r="AB108" s="103"/>
      <c r="AC108" s="103"/>
      <c r="AD108" s="103"/>
      <c r="AG108" s="103"/>
      <c r="AH108" s="103"/>
      <c r="AI108" s="103"/>
    </row>
    <row r="109" spans="1:35" x14ac:dyDescent="0.3">
      <c r="B109" s="146"/>
      <c r="C109" s="146"/>
      <c r="D109" s="146"/>
      <c r="E109" s="146"/>
      <c r="F109" s="146"/>
      <c r="G109" s="146"/>
      <c r="H109" s="146"/>
      <c r="I109" s="146"/>
      <c r="J109" s="146"/>
      <c r="K109" s="146"/>
      <c r="L109" s="146"/>
      <c r="R109" s="103"/>
      <c r="S109" s="103"/>
      <c r="T109" s="103"/>
      <c r="W109" s="103"/>
      <c r="X109" s="103"/>
      <c r="Y109" s="103"/>
      <c r="AB109" s="103"/>
      <c r="AC109" s="103"/>
      <c r="AD109" s="103"/>
      <c r="AG109" s="103"/>
      <c r="AH109" s="103"/>
      <c r="AI109" s="103"/>
    </row>
    <row r="110" spans="1:35" x14ac:dyDescent="0.3">
      <c r="B110" s="146"/>
      <c r="C110" s="146"/>
      <c r="D110" s="146"/>
      <c r="E110" s="146"/>
      <c r="F110" s="146"/>
      <c r="G110" s="146"/>
      <c r="H110" s="146"/>
      <c r="I110" s="146"/>
      <c r="J110" s="146"/>
      <c r="K110" s="146"/>
      <c r="L110" s="146"/>
      <c r="R110" s="103"/>
      <c r="S110" s="103"/>
      <c r="T110" s="103"/>
      <c r="W110" s="103"/>
      <c r="X110" s="103"/>
      <c r="Y110" s="103"/>
      <c r="AB110" s="103"/>
      <c r="AC110" s="103"/>
      <c r="AD110" s="103"/>
      <c r="AG110" s="103"/>
      <c r="AH110" s="103"/>
      <c r="AI110" s="103"/>
    </row>
    <row r="111" spans="1:35" x14ac:dyDescent="0.3">
      <c r="B111" s="146"/>
      <c r="C111" s="146"/>
      <c r="D111" s="146"/>
      <c r="E111" s="146"/>
      <c r="F111" s="146"/>
      <c r="G111" s="146"/>
      <c r="H111" s="146"/>
      <c r="I111" s="146"/>
      <c r="J111" s="146"/>
      <c r="K111" s="146"/>
      <c r="L111" s="146"/>
      <c r="R111" s="103"/>
      <c r="S111" s="103"/>
      <c r="T111" s="103"/>
      <c r="W111" s="103"/>
      <c r="X111" s="103"/>
      <c r="Y111" s="103"/>
      <c r="AB111" s="103"/>
      <c r="AC111" s="103"/>
      <c r="AD111" s="103"/>
      <c r="AG111" s="103"/>
      <c r="AH111" s="103"/>
      <c r="AI111" s="103"/>
    </row>
    <row r="112" spans="1:35" x14ac:dyDescent="0.3">
      <c r="B112" s="146"/>
      <c r="C112" s="146"/>
      <c r="D112" s="146"/>
      <c r="E112" s="146"/>
      <c r="F112" s="146"/>
      <c r="G112" s="146"/>
      <c r="H112" s="146"/>
      <c r="I112" s="146"/>
      <c r="J112" s="146"/>
      <c r="K112" s="146"/>
      <c r="L112" s="146"/>
      <c r="R112" s="103"/>
      <c r="S112" s="103"/>
      <c r="T112" s="103"/>
      <c r="W112" s="103"/>
      <c r="X112" s="103"/>
      <c r="Y112" s="103"/>
      <c r="AB112" s="103"/>
      <c r="AC112" s="103"/>
      <c r="AD112" s="103"/>
      <c r="AG112" s="103"/>
      <c r="AH112" s="103"/>
      <c r="AI112" s="103"/>
    </row>
    <row r="113" spans="2:35" x14ac:dyDescent="0.3">
      <c r="B113" s="146"/>
      <c r="C113" s="146"/>
      <c r="D113" s="146"/>
      <c r="E113" s="146"/>
      <c r="F113" s="146"/>
      <c r="G113" s="146"/>
      <c r="H113" s="146"/>
      <c r="I113" s="146"/>
      <c r="J113" s="146"/>
      <c r="K113" s="146"/>
      <c r="L113" s="146"/>
      <c r="R113" s="103"/>
      <c r="S113" s="103"/>
      <c r="T113" s="103"/>
      <c r="W113" s="103"/>
      <c r="X113" s="103"/>
      <c r="Y113" s="103"/>
      <c r="AB113" s="103"/>
      <c r="AC113" s="103"/>
      <c r="AD113" s="103"/>
      <c r="AG113" s="103"/>
      <c r="AH113" s="103"/>
      <c r="AI113" s="103"/>
    </row>
    <row r="114" spans="2:35" x14ac:dyDescent="0.3">
      <c r="B114" s="146"/>
      <c r="C114" s="146"/>
      <c r="D114" s="146"/>
      <c r="E114" s="146"/>
      <c r="F114" s="146"/>
      <c r="G114" s="146"/>
      <c r="H114" s="146"/>
      <c r="I114" s="146"/>
      <c r="J114" s="146"/>
      <c r="K114" s="146"/>
      <c r="L114" s="146"/>
      <c r="R114" s="103"/>
      <c r="S114" s="103"/>
      <c r="T114" s="103"/>
      <c r="W114" s="103"/>
      <c r="X114" s="103"/>
      <c r="Y114" s="103"/>
      <c r="AB114" s="103"/>
      <c r="AC114" s="103"/>
      <c r="AD114" s="103"/>
      <c r="AG114" s="103"/>
      <c r="AH114" s="103"/>
      <c r="AI114" s="103"/>
    </row>
    <row r="115" spans="2:35" x14ac:dyDescent="0.3">
      <c r="B115" s="146"/>
      <c r="C115" s="146"/>
      <c r="D115" s="146"/>
      <c r="E115" s="146"/>
      <c r="F115" s="146"/>
      <c r="G115" s="146"/>
      <c r="H115" s="146"/>
      <c r="I115" s="146"/>
      <c r="J115" s="146"/>
      <c r="K115" s="146"/>
      <c r="L115" s="146"/>
      <c r="R115" s="103"/>
      <c r="S115" s="103"/>
      <c r="T115" s="103"/>
      <c r="W115" s="103"/>
      <c r="X115" s="103"/>
      <c r="Y115" s="103"/>
      <c r="AB115" s="103"/>
      <c r="AC115" s="103"/>
      <c r="AD115" s="103"/>
      <c r="AG115" s="103"/>
      <c r="AH115" s="103"/>
      <c r="AI115" s="103"/>
    </row>
    <row r="116" spans="2:35" x14ac:dyDescent="0.3">
      <c r="B116" s="146"/>
      <c r="C116" s="146"/>
      <c r="D116" s="146"/>
      <c r="E116" s="146"/>
      <c r="F116" s="146"/>
      <c r="G116" s="146"/>
      <c r="H116" s="146"/>
      <c r="I116" s="146"/>
      <c r="J116" s="146"/>
      <c r="K116" s="146"/>
      <c r="L116" s="146"/>
      <c r="R116" s="103"/>
      <c r="S116" s="103"/>
      <c r="T116" s="103"/>
      <c r="W116" s="103"/>
      <c r="X116" s="103"/>
      <c r="Y116" s="103"/>
      <c r="AB116" s="103"/>
      <c r="AC116" s="103"/>
      <c r="AD116" s="103"/>
      <c r="AG116" s="103"/>
      <c r="AH116" s="103"/>
      <c r="AI116" s="103"/>
    </row>
    <row r="117" spans="2:35" x14ac:dyDescent="0.3">
      <c r="B117" s="146"/>
      <c r="C117" s="146"/>
      <c r="D117" s="146"/>
      <c r="E117" s="146"/>
      <c r="F117" s="146"/>
      <c r="G117" s="146"/>
      <c r="H117" s="146"/>
      <c r="I117" s="146"/>
      <c r="J117" s="146"/>
      <c r="K117" s="146"/>
      <c r="L117" s="146"/>
      <c r="R117" s="103"/>
      <c r="S117" s="103"/>
      <c r="T117" s="103"/>
      <c r="W117" s="103"/>
      <c r="X117" s="103"/>
      <c r="Y117" s="103"/>
      <c r="AB117" s="103"/>
      <c r="AC117" s="103"/>
      <c r="AD117" s="103"/>
      <c r="AG117" s="103"/>
      <c r="AH117" s="103"/>
      <c r="AI117" s="103"/>
    </row>
    <row r="118" spans="2:35" x14ac:dyDescent="0.3">
      <c r="B118" s="146"/>
      <c r="C118" s="146"/>
      <c r="D118" s="146"/>
      <c r="E118" s="146"/>
      <c r="F118" s="146"/>
      <c r="G118" s="146"/>
      <c r="H118" s="146"/>
      <c r="I118" s="146"/>
      <c r="J118" s="146"/>
      <c r="K118" s="146"/>
      <c r="L118" s="146"/>
      <c r="R118" s="157"/>
      <c r="S118" s="157"/>
      <c r="T118" s="157"/>
      <c r="W118" s="157"/>
      <c r="X118" s="157"/>
      <c r="Y118" s="157"/>
      <c r="AB118" s="157"/>
      <c r="AC118" s="157"/>
      <c r="AD118" s="157"/>
      <c r="AG118" s="157"/>
      <c r="AH118" s="157"/>
      <c r="AI118" s="157"/>
    </row>
    <row r="119" spans="2:35" x14ac:dyDescent="0.3">
      <c r="B119" s="146"/>
      <c r="C119" s="146"/>
      <c r="D119" s="146"/>
      <c r="E119" s="146"/>
      <c r="F119" s="146"/>
      <c r="G119" s="146"/>
      <c r="H119" s="146"/>
      <c r="I119" s="146"/>
      <c r="J119" s="146"/>
      <c r="K119" s="146"/>
      <c r="L119" s="146"/>
      <c r="R119" s="157"/>
      <c r="S119" s="157"/>
      <c r="T119" s="157"/>
      <c r="W119" s="157"/>
      <c r="X119" s="157"/>
      <c r="Y119" s="157"/>
      <c r="AB119" s="157"/>
      <c r="AC119" s="157"/>
      <c r="AD119" s="157"/>
      <c r="AG119" s="157"/>
      <c r="AH119" s="157"/>
      <c r="AI119" s="157"/>
    </row>
    <row r="120" spans="2:35" x14ac:dyDescent="0.3">
      <c r="B120" s="146"/>
      <c r="C120" s="146"/>
      <c r="D120" s="146"/>
      <c r="E120" s="146"/>
      <c r="F120" s="146"/>
      <c r="G120" s="146"/>
      <c r="H120" s="146"/>
      <c r="I120" s="146"/>
      <c r="J120" s="146"/>
      <c r="K120" s="146"/>
      <c r="L120" s="146"/>
      <c r="R120" s="157"/>
      <c r="S120" s="103"/>
      <c r="T120" s="103"/>
      <c r="W120" s="157"/>
      <c r="X120" s="103"/>
      <c r="Y120" s="103"/>
      <c r="AB120" s="157"/>
      <c r="AC120" s="103"/>
      <c r="AD120" s="103"/>
      <c r="AG120" s="157"/>
      <c r="AH120" s="103"/>
      <c r="AI120" s="103"/>
    </row>
    <row r="121" spans="2:35" x14ac:dyDescent="0.3">
      <c r="B121" s="146"/>
      <c r="C121" s="146"/>
      <c r="D121" s="146"/>
      <c r="E121" s="146"/>
      <c r="F121" s="146"/>
      <c r="G121" s="146"/>
      <c r="H121" s="146"/>
      <c r="I121" s="146"/>
      <c r="J121" s="146"/>
      <c r="K121" s="146"/>
      <c r="L121" s="146"/>
      <c r="R121" s="103"/>
      <c r="S121" s="103"/>
      <c r="T121" s="103"/>
      <c r="W121" s="103"/>
      <c r="X121" s="103"/>
      <c r="Y121" s="103"/>
      <c r="AB121" s="103"/>
      <c r="AC121" s="103"/>
      <c r="AD121" s="103"/>
      <c r="AG121" s="103"/>
      <c r="AH121" s="103"/>
      <c r="AI121" s="103"/>
    </row>
    <row r="122" spans="2:35" x14ac:dyDescent="0.3">
      <c r="B122" s="146"/>
      <c r="C122" s="146"/>
      <c r="D122" s="146"/>
      <c r="E122" s="146"/>
      <c r="F122" s="146"/>
      <c r="G122" s="146"/>
      <c r="H122" s="146"/>
      <c r="I122" s="146"/>
      <c r="J122" s="146"/>
      <c r="K122" s="146"/>
      <c r="L122" s="146"/>
      <c r="R122" s="103"/>
      <c r="S122" s="103"/>
      <c r="T122" s="103"/>
      <c r="W122" s="103"/>
      <c r="X122" s="103"/>
      <c r="Y122" s="103"/>
      <c r="AB122" s="103"/>
      <c r="AC122" s="103"/>
      <c r="AD122" s="103"/>
      <c r="AG122" s="103"/>
      <c r="AH122" s="103"/>
      <c r="AI122" s="103"/>
    </row>
    <row r="123" spans="2:35" x14ac:dyDescent="0.3">
      <c r="B123" s="146"/>
      <c r="C123" s="146"/>
      <c r="D123" s="146"/>
      <c r="E123" s="146"/>
      <c r="F123" s="146"/>
      <c r="G123" s="146"/>
      <c r="H123" s="146"/>
      <c r="I123" s="146"/>
      <c r="J123" s="146"/>
      <c r="K123" s="146"/>
      <c r="L123" s="146"/>
      <c r="R123" s="157"/>
      <c r="S123" s="157"/>
      <c r="T123" s="157"/>
      <c r="W123" s="157"/>
      <c r="X123" s="157"/>
      <c r="Y123" s="157"/>
      <c r="AB123" s="157"/>
      <c r="AC123" s="157"/>
      <c r="AD123" s="157"/>
      <c r="AG123" s="157"/>
      <c r="AH123" s="157"/>
      <c r="AI123" s="157"/>
    </row>
    <row r="124" spans="2:35" x14ac:dyDescent="0.3">
      <c r="B124" s="146"/>
      <c r="C124" s="146"/>
      <c r="D124" s="146"/>
      <c r="E124" s="146"/>
      <c r="F124" s="146"/>
      <c r="G124" s="146"/>
      <c r="H124" s="146"/>
      <c r="I124" s="146"/>
      <c r="J124" s="146"/>
      <c r="K124" s="146"/>
      <c r="L124" s="146"/>
      <c r="R124" s="157"/>
      <c r="S124" s="157"/>
      <c r="T124" s="157"/>
      <c r="W124" s="157"/>
      <c r="X124" s="157"/>
      <c r="Y124" s="157"/>
      <c r="AB124" s="157"/>
      <c r="AC124" s="157"/>
      <c r="AD124" s="157"/>
      <c r="AG124" s="157"/>
      <c r="AH124" s="157"/>
      <c r="AI124" s="157"/>
    </row>
    <row r="125" spans="2:35" x14ac:dyDescent="0.3">
      <c r="B125" s="146"/>
      <c r="C125" s="146"/>
      <c r="D125" s="146"/>
      <c r="E125" s="146"/>
      <c r="F125" s="146"/>
      <c r="G125" s="146"/>
      <c r="H125" s="146"/>
      <c r="I125" s="146"/>
      <c r="J125" s="146"/>
      <c r="K125" s="146"/>
      <c r="L125" s="146"/>
      <c r="R125" s="157"/>
      <c r="S125" s="157"/>
      <c r="T125" s="157"/>
      <c r="W125" s="157"/>
      <c r="X125" s="157"/>
      <c r="Y125" s="157"/>
      <c r="AB125" s="157"/>
      <c r="AC125" s="157"/>
      <c r="AD125" s="157"/>
      <c r="AG125" s="157"/>
      <c r="AH125" s="157"/>
      <c r="AI125" s="157"/>
    </row>
    <row r="126" spans="2:35" x14ac:dyDescent="0.3">
      <c r="B126" s="146"/>
      <c r="C126" s="146"/>
      <c r="D126" s="146"/>
      <c r="E126" s="146"/>
      <c r="F126" s="146"/>
      <c r="G126" s="146"/>
      <c r="H126" s="146"/>
      <c r="I126" s="146"/>
      <c r="J126" s="146"/>
      <c r="K126" s="146"/>
      <c r="L126" s="146"/>
      <c r="R126" s="157"/>
      <c r="S126" s="157"/>
      <c r="T126" s="157"/>
      <c r="W126" s="157"/>
      <c r="X126" s="157"/>
      <c r="Y126" s="157"/>
      <c r="AB126" s="157"/>
      <c r="AC126" s="157"/>
      <c r="AD126" s="157"/>
      <c r="AG126" s="157"/>
      <c r="AH126" s="157"/>
      <c r="AI126" s="157"/>
    </row>
    <row r="127" spans="2:35" x14ac:dyDescent="0.3">
      <c r="B127" s="146"/>
      <c r="C127" s="146"/>
      <c r="D127" s="146"/>
      <c r="E127" s="146"/>
      <c r="F127" s="146"/>
      <c r="G127" s="146"/>
      <c r="H127" s="146"/>
      <c r="I127" s="146"/>
      <c r="J127" s="146"/>
      <c r="K127" s="146"/>
      <c r="L127" s="146"/>
      <c r="R127" s="157"/>
      <c r="S127" s="157"/>
      <c r="T127" s="157"/>
      <c r="W127" s="157"/>
      <c r="X127" s="157"/>
      <c r="Y127" s="157"/>
      <c r="AB127" s="157"/>
      <c r="AC127" s="157"/>
      <c r="AD127" s="157"/>
      <c r="AG127" s="157"/>
      <c r="AH127" s="157"/>
      <c r="AI127" s="157"/>
    </row>
    <row r="128" spans="2:35" x14ac:dyDescent="0.3">
      <c r="B128" s="146"/>
      <c r="C128" s="146"/>
      <c r="D128" s="146"/>
      <c r="E128" s="146"/>
      <c r="F128" s="146"/>
      <c r="G128" s="146"/>
      <c r="H128" s="146"/>
      <c r="I128" s="146"/>
      <c r="J128" s="146"/>
      <c r="K128" s="146"/>
      <c r="L128" s="146"/>
      <c r="R128" s="157"/>
      <c r="S128" s="157"/>
      <c r="T128" s="157"/>
      <c r="W128" s="157"/>
      <c r="X128" s="157"/>
      <c r="Y128" s="157"/>
      <c r="AB128" s="157"/>
      <c r="AC128" s="157"/>
      <c r="AD128" s="157"/>
      <c r="AG128" s="157"/>
      <c r="AH128" s="157"/>
      <c r="AI128" s="157"/>
    </row>
    <row r="129" spans="2:35" x14ac:dyDescent="0.3">
      <c r="B129" s="146"/>
      <c r="C129" s="146"/>
      <c r="D129" s="146"/>
      <c r="E129" s="146"/>
      <c r="F129" s="146"/>
      <c r="G129" s="146"/>
      <c r="H129" s="146"/>
      <c r="I129" s="146"/>
      <c r="J129" s="146"/>
      <c r="K129" s="146"/>
      <c r="L129" s="146"/>
      <c r="R129" s="157"/>
      <c r="S129" s="157"/>
      <c r="T129" s="157"/>
      <c r="W129" s="157"/>
      <c r="X129" s="157"/>
      <c r="Y129" s="157"/>
      <c r="AB129" s="157"/>
      <c r="AC129" s="157"/>
      <c r="AD129" s="157"/>
      <c r="AG129" s="157"/>
      <c r="AH129" s="157"/>
      <c r="AI129" s="157"/>
    </row>
    <row r="130" spans="2:35" x14ac:dyDescent="0.3">
      <c r="B130" s="146"/>
      <c r="C130" s="146"/>
      <c r="D130" s="146"/>
      <c r="E130" s="146"/>
      <c r="F130" s="146"/>
      <c r="G130" s="146"/>
      <c r="H130" s="146"/>
      <c r="I130" s="146"/>
      <c r="J130" s="146"/>
      <c r="K130" s="146"/>
      <c r="L130" s="146"/>
      <c r="R130" s="157"/>
      <c r="S130" s="157"/>
      <c r="T130" s="157"/>
      <c r="W130" s="157"/>
      <c r="X130" s="157"/>
      <c r="Y130" s="157"/>
      <c r="AB130" s="157"/>
      <c r="AC130" s="157"/>
      <c r="AD130" s="157"/>
      <c r="AG130" s="157"/>
      <c r="AH130" s="157"/>
      <c r="AI130" s="157"/>
    </row>
    <row r="131" spans="2:35" x14ac:dyDescent="0.3">
      <c r="B131" s="146"/>
      <c r="C131" s="146"/>
      <c r="D131" s="146"/>
      <c r="E131" s="146"/>
      <c r="F131" s="146"/>
      <c r="G131" s="146"/>
      <c r="H131" s="146"/>
      <c r="I131" s="146"/>
      <c r="J131" s="146"/>
      <c r="K131" s="146"/>
      <c r="L131" s="146"/>
      <c r="R131" s="157"/>
      <c r="S131" s="157"/>
      <c r="T131" s="157"/>
      <c r="W131" s="157"/>
      <c r="X131" s="157"/>
      <c r="Y131" s="157"/>
      <c r="AB131" s="157"/>
      <c r="AC131" s="157"/>
      <c r="AD131" s="157"/>
      <c r="AG131" s="157"/>
      <c r="AH131" s="157"/>
      <c r="AI131" s="157"/>
    </row>
    <row r="132" spans="2:35" x14ac:dyDescent="0.3">
      <c r="B132" s="146"/>
      <c r="C132" s="146"/>
      <c r="D132" s="146"/>
      <c r="E132" s="146"/>
      <c r="F132" s="146"/>
      <c r="G132" s="146"/>
      <c r="H132" s="146"/>
      <c r="I132" s="146"/>
      <c r="J132" s="146"/>
      <c r="K132" s="146"/>
      <c r="L132" s="146"/>
      <c r="R132" s="157"/>
      <c r="S132" s="157"/>
      <c r="T132" s="157"/>
      <c r="W132" s="157"/>
      <c r="X132" s="157"/>
      <c r="Y132" s="157"/>
      <c r="AB132" s="157"/>
      <c r="AC132" s="157"/>
      <c r="AD132" s="157"/>
      <c r="AG132" s="157"/>
      <c r="AH132" s="157"/>
      <c r="AI132" s="157"/>
    </row>
    <row r="133" spans="2:35" x14ac:dyDescent="0.3">
      <c r="B133" s="146"/>
      <c r="C133" s="146"/>
      <c r="D133" s="146"/>
      <c r="E133" s="146"/>
      <c r="F133" s="146"/>
      <c r="G133" s="146"/>
      <c r="H133" s="146"/>
      <c r="I133" s="146"/>
      <c r="J133" s="146"/>
      <c r="K133" s="146"/>
      <c r="L133" s="146"/>
      <c r="R133" s="157"/>
      <c r="S133" s="157"/>
      <c r="T133" s="157"/>
      <c r="W133" s="157"/>
      <c r="X133" s="157"/>
      <c r="Y133" s="157"/>
      <c r="AB133" s="157"/>
      <c r="AC133" s="157"/>
      <c r="AD133" s="157"/>
      <c r="AG133" s="157"/>
      <c r="AH133" s="157"/>
      <c r="AI133" s="157"/>
    </row>
    <row r="134" spans="2:35" x14ac:dyDescent="0.3">
      <c r="B134" s="146"/>
      <c r="C134" s="146"/>
      <c r="D134" s="146"/>
      <c r="E134" s="146"/>
      <c r="F134" s="146"/>
      <c r="G134" s="146"/>
      <c r="H134" s="146"/>
      <c r="I134" s="146"/>
      <c r="J134" s="146"/>
      <c r="K134" s="146"/>
      <c r="L134" s="146"/>
      <c r="R134" s="157"/>
      <c r="S134" s="157"/>
      <c r="T134" s="157"/>
      <c r="W134" s="157"/>
      <c r="X134" s="157"/>
      <c r="Y134" s="157"/>
      <c r="AB134" s="157"/>
      <c r="AC134" s="157"/>
      <c r="AD134" s="157"/>
      <c r="AG134" s="157"/>
      <c r="AH134" s="157"/>
      <c r="AI134" s="157"/>
    </row>
    <row r="135" spans="2:35" x14ac:dyDescent="0.3">
      <c r="B135" s="146"/>
      <c r="C135" s="146"/>
      <c r="D135" s="146"/>
      <c r="E135" s="146"/>
      <c r="F135" s="146"/>
      <c r="G135" s="146"/>
      <c r="H135" s="146"/>
      <c r="I135" s="146"/>
      <c r="J135" s="146"/>
      <c r="K135" s="146"/>
      <c r="L135" s="146"/>
      <c r="R135" s="157"/>
      <c r="S135" s="157"/>
      <c r="T135" s="157"/>
      <c r="W135" s="157"/>
      <c r="X135" s="157"/>
      <c r="Y135" s="157"/>
      <c r="AB135" s="157"/>
      <c r="AC135" s="157"/>
      <c r="AD135" s="157"/>
      <c r="AG135" s="157"/>
      <c r="AH135" s="157"/>
      <c r="AI135" s="157"/>
    </row>
    <row r="136" spans="2:35" x14ac:dyDescent="0.3">
      <c r="B136" s="146"/>
      <c r="C136" s="146"/>
      <c r="D136" s="146"/>
      <c r="E136" s="146"/>
      <c r="F136" s="146"/>
      <c r="G136" s="146"/>
      <c r="H136" s="146"/>
      <c r="I136" s="146"/>
      <c r="J136" s="146"/>
      <c r="K136" s="146"/>
      <c r="L136" s="146"/>
      <c r="R136" s="157"/>
      <c r="S136" s="157"/>
      <c r="T136" s="157"/>
      <c r="W136" s="157"/>
      <c r="X136" s="157"/>
      <c r="Y136" s="157"/>
      <c r="AB136" s="157"/>
      <c r="AC136" s="157"/>
      <c r="AD136" s="157"/>
      <c r="AG136" s="157"/>
      <c r="AH136" s="157"/>
      <c r="AI136" s="157"/>
    </row>
    <row r="137" spans="2:35" x14ac:dyDescent="0.3">
      <c r="B137" s="146"/>
      <c r="C137" s="146"/>
      <c r="D137" s="146"/>
      <c r="E137" s="146"/>
      <c r="F137" s="146"/>
      <c r="G137" s="146"/>
      <c r="H137" s="146"/>
      <c r="I137" s="146"/>
      <c r="J137" s="146"/>
      <c r="K137" s="146"/>
      <c r="L137" s="146"/>
      <c r="R137" s="157"/>
      <c r="S137" s="157"/>
      <c r="T137" s="157"/>
      <c r="W137" s="157"/>
      <c r="X137" s="157"/>
      <c r="Y137" s="157"/>
      <c r="AB137" s="157"/>
      <c r="AC137" s="157"/>
      <c r="AD137" s="157"/>
      <c r="AG137" s="157"/>
      <c r="AH137" s="157"/>
      <c r="AI137" s="157"/>
    </row>
    <row r="138" spans="2:35" x14ac:dyDescent="0.3">
      <c r="B138" s="146"/>
      <c r="C138" s="146"/>
      <c r="D138" s="146"/>
      <c r="E138" s="146"/>
      <c r="F138" s="146"/>
      <c r="G138" s="146"/>
      <c r="H138" s="146"/>
      <c r="I138" s="146"/>
      <c r="J138" s="146"/>
      <c r="K138" s="146"/>
      <c r="L138" s="146"/>
      <c r="R138" s="157"/>
      <c r="S138" s="157"/>
      <c r="T138" s="157"/>
      <c r="W138" s="157"/>
      <c r="X138" s="157"/>
      <c r="Y138" s="157"/>
      <c r="AB138" s="157"/>
      <c r="AC138" s="157"/>
      <c r="AD138" s="157"/>
      <c r="AG138" s="157"/>
      <c r="AH138" s="157"/>
      <c r="AI138" s="157"/>
    </row>
    <row r="139" spans="2:35" x14ac:dyDescent="0.3">
      <c r="B139" s="146"/>
      <c r="C139" s="146"/>
      <c r="D139" s="146"/>
      <c r="E139" s="146"/>
      <c r="F139" s="146"/>
      <c r="G139" s="146"/>
      <c r="H139" s="146"/>
      <c r="I139" s="146"/>
      <c r="J139" s="146"/>
      <c r="K139" s="146"/>
      <c r="L139" s="146"/>
      <c r="R139" s="157"/>
      <c r="S139" s="157"/>
      <c r="T139" s="157"/>
      <c r="W139" s="157"/>
      <c r="X139" s="157"/>
      <c r="Y139" s="157"/>
      <c r="AB139" s="157"/>
      <c r="AC139" s="157"/>
      <c r="AD139" s="157"/>
      <c r="AG139" s="157"/>
      <c r="AH139" s="157"/>
      <c r="AI139" s="157"/>
    </row>
    <row r="140" spans="2:35" x14ac:dyDescent="0.3">
      <c r="B140" s="146"/>
      <c r="C140" s="146"/>
      <c r="D140" s="146"/>
      <c r="E140" s="146"/>
      <c r="F140" s="146"/>
      <c r="G140" s="146"/>
      <c r="H140" s="146"/>
      <c r="I140" s="146"/>
      <c r="J140" s="146"/>
      <c r="K140" s="146"/>
      <c r="L140" s="146"/>
      <c r="R140" s="157"/>
      <c r="S140" s="157"/>
      <c r="T140" s="157"/>
      <c r="W140" s="157"/>
      <c r="X140" s="157"/>
      <c r="Y140" s="157"/>
      <c r="AB140" s="157"/>
      <c r="AC140" s="157"/>
      <c r="AD140" s="157"/>
      <c r="AG140" s="157"/>
      <c r="AH140" s="157"/>
      <c r="AI140" s="157"/>
    </row>
    <row r="141" spans="2:35" x14ac:dyDescent="0.3">
      <c r="B141" s="146"/>
      <c r="C141" s="146"/>
      <c r="D141" s="146"/>
      <c r="E141" s="146"/>
      <c r="F141" s="146"/>
      <c r="G141" s="146"/>
      <c r="H141" s="146"/>
      <c r="I141" s="146"/>
      <c r="J141" s="146"/>
      <c r="K141" s="146"/>
      <c r="L141" s="146"/>
      <c r="R141" s="157"/>
      <c r="S141" s="157"/>
      <c r="T141" s="157"/>
      <c r="W141" s="157"/>
      <c r="X141" s="157"/>
      <c r="Y141" s="157"/>
      <c r="AB141" s="157"/>
      <c r="AC141" s="157"/>
      <c r="AD141" s="157"/>
      <c r="AG141" s="157"/>
      <c r="AH141" s="157"/>
      <c r="AI141" s="157"/>
    </row>
    <row r="142" spans="2:35" x14ac:dyDescent="0.3">
      <c r="B142" s="146"/>
      <c r="C142" s="146"/>
      <c r="D142" s="146"/>
      <c r="E142" s="146"/>
      <c r="F142" s="146"/>
      <c r="G142" s="146"/>
      <c r="H142" s="146"/>
      <c r="I142" s="146"/>
      <c r="J142" s="146"/>
      <c r="K142" s="146"/>
      <c r="L142" s="146"/>
      <c r="R142" s="157"/>
      <c r="S142" s="157"/>
      <c r="T142" s="157"/>
      <c r="W142" s="157"/>
      <c r="X142" s="157"/>
      <c r="Y142" s="157"/>
      <c r="AB142" s="157"/>
      <c r="AC142" s="157"/>
      <c r="AD142" s="157"/>
      <c r="AG142" s="157"/>
      <c r="AH142" s="157"/>
      <c r="AI142" s="157"/>
    </row>
    <row r="143" spans="2:35" x14ac:dyDescent="0.3">
      <c r="B143" s="146"/>
      <c r="C143" s="146"/>
      <c r="D143" s="146"/>
      <c r="E143" s="146"/>
      <c r="F143" s="146"/>
      <c r="G143" s="146"/>
      <c r="H143" s="146"/>
      <c r="I143" s="146"/>
      <c r="J143" s="146"/>
      <c r="K143" s="146"/>
      <c r="L143" s="146"/>
      <c r="R143" s="157"/>
      <c r="S143" s="157"/>
      <c r="T143" s="157"/>
      <c r="W143" s="157"/>
      <c r="X143" s="157"/>
      <c r="Y143" s="157"/>
      <c r="AB143" s="157"/>
      <c r="AC143" s="157"/>
      <c r="AD143" s="157"/>
      <c r="AG143" s="157"/>
      <c r="AH143" s="157"/>
      <c r="AI143" s="157"/>
    </row>
    <row r="144" spans="2:35" x14ac:dyDescent="0.3">
      <c r="B144" s="146"/>
      <c r="C144" s="146"/>
      <c r="D144" s="146"/>
      <c r="E144" s="146"/>
      <c r="F144" s="146"/>
      <c r="G144" s="146"/>
      <c r="H144" s="146"/>
      <c r="I144" s="146"/>
      <c r="J144" s="146"/>
      <c r="K144" s="146"/>
      <c r="L144" s="146"/>
      <c r="R144" s="157"/>
      <c r="S144" s="157"/>
      <c r="T144" s="157"/>
      <c r="W144" s="157"/>
      <c r="X144" s="157"/>
      <c r="Y144" s="157"/>
      <c r="AB144" s="157"/>
      <c r="AC144" s="157"/>
      <c r="AD144" s="157"/>
      <c r="AG144" s="157"/>
      <c r="AH144" s="157"/>
      <c r="AI144" s="157"/>
    </row>
    <row r="145" spans="2:35" x14ac:dyDescent="0.3">
      <c r="B145" s="146"/>
      <c r="C145" s="146"/>
      <c r="D145" s="146"/>
      <c r="E145" s="146"/>
      <c r="F145" s="146"/>
      <c r="G145" s="146"/>
      <c r="H145" s="146"/>
      <c r="I145" s="146"/>
      <c r="J145" s="146"/>
      <c r="K145" s="146"/>
      <c r="L145" s="146"/>
      <c r="R145" s="157"/>
      <c r="S145" s="157"/>
      <c r="T145" s="157"/>
      <c r="W145" s="157"/>
      <c r="X145" s="157"/>
      <c r="Y145" s="157"/>
      <c r="AB145" s="157"/>
      <c r="AC145" s="157"/>
      <c r="AD145" s="157"/>
      <c r="AG145" s="157"/>
      <c r="AH145" s="157"/>
      <c r="AI145" s="157"/>
    </row>
    <row r="146" spans="2:35" x14ac:dyDescent="0.3">
      <c r="B146" s="146"/>
      <c r="C146" s="146"/>
      <c r="D146" s="146"/>
      <c r="E146" s="146"/>
      <c r="F146" s="146"/>
      <c r="G146" s="146"/>
      <c r="H146" s="146"/>
      <c r="I146" s="146"/>
      <c r="J146" s="146"/>
      <c r="K146" s="146"/>
      <c r="L146" s="146"/>
      <c r="R146" s="157"/>
      <c r="S146" s="157"/>
      <c r="T146" s="157"/>
      <c r="W146" s="157"/>
      <c r="X146" s="157"/>
      <c r="Y146" s="157"/>
      <c r="AB146" s="157"/>
      <c r="AC146" s="157"/>
      <c r="AD146" s="157"/>
      <c r="AG146" s="157"/>
      <c r="AH146" s="157"/>
      <c r="AI146" s="157"/>
    </row>
    <row r="147" spans="2:35" x14ac:dyDescent="0.3">
      <c r="B147" s="146"/>
      <c r="C147" s="146"/>
      <c r="D147" s="146"/>
      <c r="E147" s="146"/>
      <c r="F147" s="146"/>
      <c r="G147" s="146"/>
      <c r="H147" s="146"/>
      <c r="I147" s="146"/>
      <c r="J147" s="146"/>
      <c r="K147" s="146"/>
      <c r="L147" s="146"/>
      <c r="R147" s="157"/>
      <c r="S147" s="157"/>
      <c r="T147" s="157"/>
      <c r="W147" s="157"/>
      <c r="X147" s="157"/>
      <c r="Y147" s="157"/>
      <c r="AB147" s="157"/>
      <c r="AC147" s="157"/>
      <c r="AD147" s="157"/>
      <c r="AG147" s="157"/>
      <c r="AH147" s="157"/>
      <c r="AI147" s="157"/>
    </row>
    <row r="148" spans="2:35" x14ac:dyDescent="0.3">
      <c r="B148" s="146"/>
      <c r="C148" s="146"/>
      <c r="D148" s="146"/>
      <c r="E148" s="146"/>
      <c r="F148" s="146"/>
      <c r="G148" s="146"/>
      <c r="H148" s="146"/>
      <c r="I148" s="146"/>
      <c r="J148" s="146"/>
      <c r="K148" s="146"/>
      <c r="L148" s="146"/>
      <c r="R148" s="157"/>
      <c r="S148" s="157"/>
      <c r="T148" s="157"/>
      <c r="W148" s="157"/>
      <c r="X148" s="157"/>
      <c r="Y148" s="157"/>
      <c r="AB148" s="157"/>
      <c r="AC148" s="157"/>
      <c r="AD148" s="157"/>
      <c r="AG148" s="157"/>
      <c r="AH148" s="157"/>
      <c r="AI148" s="157"/>
    </row>
    <row r="149" spans="2:35" x14ac:dyDescent="0.3">
      <c r="B149" s="146"/>
      <c r="C149" s="146"/>
      <c r="D149" s="146"/>
      <c r="E149" s="146"/>
      <c r="F149" s="146"/>
      <c r="G149" s="146"/>
      <c r="H149" s="146"/>
      <c r="I149" s="146"/>
      <c r="J149" s="146"/>
      <c r="K149" s="146"/>
      <c r="L149" s="146"/>
      <c r="R149" s="157"/>
      <c r="S149" s="157"/>
      <c r="T149" s="157"/>
      <c r="W149" s="157"/>
      <c r="X149" s="157"/>
      <c r="Y149" s="157"/>
      <c r="AB149" s="157"/>
      <c r="AC149" s="157"/>
      <c r="AD149" s="157"/>
      <c r="AG149" s="157"/>
      <c r="AH149" s="157"/>
      <c r="AI149" s="157"/>
    </row>
    <row r="150" spans="2:35" x14ac:dyDescent="0.3">
      <c r="B150" s="146"/>
      <c r="C150" s="146"/>
      <c r="D150" s="146"/>
      <c r="E150" s="146"/>
      <c r="F150" s="146"/>
      <c r="G150" s="146"/>
      <c r="H150" s="146"/>
      <c r="I150" s="146"/>
      <c r="J150" s="146"/>
      <c r="K150" s="146"/>
      <c r="L150" s="146"/>
      <c r="R150" s="157"/>
      <c r="S150" s="157"/>
      <c r="T150" s="157"/>
      <c r="W150" s="157"/>
      <c r="X150" s="157"/>
      <c r="Y150" s="157"/>
      <c r="AB150" s="157"/>
      <c r="AC150" s="157"/>
      <c r="AD150" s="157"/>
      <c r="AG150" s="157"/>
      <c r="AH150" s="157"/>
      <c r="AI150" s="157"/>
    </row>
    <row r="151" spans="2:35" x14ac:dyDescent="0.3">
      <c r="B151" s="146"/>
      <c r="C151" s="146"/>
      <c r="D151" s="146"/>
      <c r="E151" s="146"/>
      <c r="F151" s="146"/>
      <c r="G151" s="146"/>
      <c r="H151" s="146"/>
      <c r="I151" s="146"/>
      <c r="J151" s="146"/>
      <c r="K151" s="146"/>
      <c r="L151" s="146"/>
      <c r="R151" s="157"/>
      <c r="S151" s="157"/>
      <c r="T151" s="157"/>
      <c r="W151" s="157"/>
      <c r="X151" s="157"/>
      <c r="Y151" s="157"/>
      <c r="AB151" s="157"/>
      <c r="AC151" s="157"/>
      <c r="AD151" s="157"/>
      <c r="AG151" s="157"/>
      <c r="AH151" s="157"/>
      <c r="AI151" s="157"/>
    </row>
    <row r="152" spans="2:35" x14ac:dyDescent="0.3">
      <c r="B152" s="146"/>
      <c r="C152" s="146"/>
      <c r="D152" s="146"/>
      <c r="E152" s="146"/>
      <c r="F152" s="146"/>
      <c r="G152" s="146"/>
      <c r="H152" s="146"/>
      <c r="I152" s="146"/>
      <c r="J152" s="146"/>
      <c r="K152" s="146"/>
      <c r="L152" s="146"/>
      <c r="R152" s="157"/>
      <c r="S152" s="157"/>
      <c r="T152" s="157"/>
      <c r="W152" s="157"/>
      <c r="X152" s="157"/>
      <c r="Y152" s="157"/>
      <c r="AB152" s="157"/>
      <c r="AC152" s="157"/>
      <c r="AD152" s="157"/>
      <c r="AG152" s="157"/>
      <c r="AH152" s="157"/>
      <c r="AI152" s="157"/>
    </row>
    <row r="153" spans="2:35" x14ac:dyDescent="0.3">
      <c r="B153" s="146"/>
      <c r="C153" s="146"/>
      <c r="D153" s="146"/>
      <c r="E153" s="146"/>
      <c r="F153" s="146"/>
      <c r="G153" s="146"/>
      <c r="H153" s="146"/>
      <c r="I153" s="146"/>
      <c r="J153" s="146"/>
      <c r="K153" s="146"/>
      <c r="L153" s="146"/>
      <c r="R153" s="157"/>
      <c r="S153" s="157"/>
      <c r="T153" s="157"/>
      <c r="W153" s="157"/>
      <c r="X153" s="157"/>
      <c r="Y153" s="157"/>
      <c r="AB153" s="157"/>
      <c r="AC153" s="157"/>
      <c r="AD153" s="157"/>
      <c r="AG153" s="157"/>
      <c r="AH153" s="157"/>
      <c r="AI153" s="157"/>
    </row>
    <row r="154" spans="2:35" x14ac:dyDescent="0.3">
      <c r="B154" s="146"/>
      <c r="C154" s="146"/>
      <c r="D154" s="146"/>
      <c r="E154" s="146"/>
      <c r="F154" s="146"/>
      <c r="G154" s="146"/>
      <c r="H154" s="146"/>
      <c r="I154" s="146"/>
      <c r="J154" s="146"/>
      <c r="K154" s="146"/>
      <c r="L154" s="146"/>
      <c r="R154" s="157"/>
      <c r="S154" s="157"/>
      <c r="T154" s="157"/>
      <c r="W154" s="157"/>
      <c r="X154" s="157"/>
      <c r="Y154" s="157"/>
      <c r="AB154" s="157"/>
      <c r="AC154" s="157"/>
      <c r="AD154" s="157"/>
      <c r="AG154" s="157"/>
      <c r="AH154" s="157"/>
      <c r="AI154" s="157"/>
    </row>
    <row r="155" spans="2:35" x14ac:dyDescent="0.3">
      <c r="B155" s="146"/>
      <c r="C155" s="146"/>
      <c r="D155" s="146"/>
      <c r="E155" s="146"/>
      <c r="F155" s="146"/>
      <c r="G155" s="146"/>
      <c r="H155" s="146"/>
      <c r="I155" s="146"/>
      <c r="J155" s="146"/>
      <c r="K155" s="146"/>
      <c r="L155" s="146"/>
      <c r="R155" s="157"/>
      <c r="S155" s="157"/>
      <c r="T155" s="157"/>
      <c r="W155" s="157"/>
      <c r="X155" s="157"/>
      <c r="Y155" s="157"/>
      <c r="AB155" s="157"/>
      <c r="AC155" s="157"/>
      <c r="AD155" s="157"/>
      <c r="AG155" s="157"/>
      <c r="AH155" s="157"/>
      <c r="AI155" s="157"/>
    </row>
    <row r="156" spans="2:35" x14ac:dyDescent="0.3">
      <c r="B156" s="146"/>
      <c r="C156" s="146"/>
      <c r="D156" s="146"/>
      <c r="E156" s="146"/>
      <c r="F156" s="146"/>
      <c r="G156" s="146"/>
      <c r="H156" s="146"/>
      <c r="I156" s="146"/>
      <c r="J156" s="146"/>
      <c r="K156" s="146"/>
      <c r="L156" s="146"/>
      <c r="R156" s="157"/>
      <c r="S156" s="157"/>
      <c r="T156" s="157"/>
      <c r="W156" s="157"/>
      <c r="X156" s="157"/>
      <c r="Y156" s="157"/>
      <c r="AB156" s="157"/>
      <c r="AC156" s="157"/>
      <c r="AD156" s="157"/>
      <c r="AG156" s="157"/>
      <c r="AH156" s="157"/>
      <c r="AI156" s="157"/>
    </row>
    <row r="157" spans="2:35" x14ac:dyDescent="0.3">
      <c r="B157" s="146"/>
      <c r="C157" s="146"/>
      <c r="D157" s="146"/>
      <c r="E157" s="146"/>
      <c r="F157" s="146"/>
      <c r="G157" s="146"/>
      <c r="H157" s="146"/>
      <c r="I157" s="146"/>
      <c r="J157" s="146"/>
      <c r="K157" s="146"/>
      <c r="L157" s="146"/>
      <c r="R157" s="157"/>
      <c r="S157" s="157"/>
      <c r="T157" s="157"/>
      <c r="W157" s="157"/>
      <c r="X157" s="157"/>
      <c r="Y157" s="157"/>
      <c r="AB157" s="157"/>
      <c r="AC157" s="157"/>
      <c r="AD157" s="157"/>
      <c r="AG157" s="157"/>
      <c r="AH157" s="157"/>
      <c r="AI157" s="157"/>
    </row>
    <row r="158" spans="2:35" x14ac:dyDescent="0.3">
      <c r="B158" s="146"/>
      <c r="C158" s="146"/>
      <c r="D158" s="146"/>
      <c r="E158" s="146"/>
      <c r="F158" s="146"/>
      <c r="G158" s="146"/>
      <c r="H158" s="146"/>
      <c r="I158" s="146"/>
      <c r="J158" s="146"/>
      <c r="K158" s="146"/>
      <c r="L158" s="146"/>
      <c r="R158" s="157"/>
      <c r="S158" s="157"/>
      <c r="T158" s="157"/>
      <c r="W158" s="157"/>
      <c r="X158" s="157"/>
      <c r="Y158" s="157"/>
      <c r="AB158" s="157"/>
      <c r="AC158" s="157"/>
      <c r="AD158" s="157"/>
      <c r="AG158" s="157"/>
      <c r="AH158" s="157"/>
      <c r="AI158" s="157"/>
    </row>
    <row r="159" spans="2:35" x14ac:dyDescent="0.3">
      <c r="B159" s="146"/>
      <c r="C159" s="146"/>
      <c r="D159" s="146"/>
      <c r="E159" s="146"/>
      <c r="F159" s="146"/>
      <c r="G159" s="146"/>
      <c r="H159" s="146"/>
      <c r="I159" s="146"/>
      <c r="J159" s="146"/>
      <c r="K159" s="146"/>
      <c r="L159" s="146"/>
      <c r="R159" s="157"/>
      <c r="S159" s="157"/>
      <c r="T159" s="157"/>
      <c r="W159" s="157"/>
      <c r="X159" s="157"/>
      <c r="Y159" s="157"/>
      <c r="AB159" s="157"/>
      <c r="AC159" s="157"/>
      <c r="AD159" s="157"/>
      <c r="AG159" s="157"/>
      <c r="AH159" s="157"/>
      <c r="AI159" s="157"/>
    </row>
    <row r="160" spans="2:35" x14ac:dyDescent="0.3">
      <c r="B160" s="146"/>
      <c r="C160" s="146"/>
      <c r="D160" s="146"/>
      <c r="E160" s="146"/>
      <c r="F160" s="146"/>
      <c r="G160" s="146"/>
      <c r="H160" s="146"/>
      <c r="I160" s="146"/>
      <c r="J160" s="146"/>
      <c r="K160" s="146"/>
      <c r="L160" s="146"/>
      <c r="R160" s="157"/>
      <c r="S160" s="157"/>
      <c r="T160" s="157"/>
      <c r="W160" s="157"/>
      <c r="X160" s="157"/>
      <c r="Y160" s="157"/>
      <c r="AB160" s="157"/>
      <c r="AC160" s="157"/>
      <c r="AD160" s="157"/>
      <c r="AG160" s="157"/>
      <c r="AH160" s="157"/>
      <c r="AI160" s="157"/>
    </row>
    <row r="161" spans="2:35" x14ac:dyDescent="0.3">
      <c r="B161" s="146"/>
      <c r="C161" s="146"/>
      <c r="D161" s="146"/>
      <c r="E161" s="146"/>
      <c r="F161" s="146"/>
      <c r="G161" s="146"/>
      <c r="H161" s="146"/>
      <c r="I161" s="146"/>
      <c r="J161" s="146"/>
      <c r="K161" s="146"/>
      <c r="L161" s="146"/>
      <c r="R161" s="157"/>
      <c r="S161" s="157"/>
      <c r="T161" s="157"/>
      <c r="W161" s="157"/>
      <c r="X161" s="157"/>
      <c r="Y161" s="157"/>
      <c r="AB161" s="157"/>
      <c r="AC161" s="157"/>
      <c r="AD161" s="157"/>
      <c r="AG161" s="157"/>
      <c r="AH161" s="157"/>
      <c r="AI161" s="157"/>
    </row>
    <row r="162" spans="2:35" x14ac:dyDescent="0.3">
      <c r="B162" s="146"/>
      <c r="C162" s="146"/>
      <c r="D162" s="146"/>
      <c r="E162" s="146"/>
      <c r="F162" s="146"/>
      <c r="G162" s="146"/>
      <c r="H162" s="146"/>
      <c r="I162" s="146"/>
      <c r="J162" s="146"/>
      <c r="K162" s="146"/>
      <c r="L162" s="146"/>
      <c r="R162" s="157"/>
      <c r="S162" s="157"/>
      <c r="T162" s="157"/>
      <c r="W162" s="157"/>
      <c r="X162" s="157"/>
      <c r="Y162" s="157"/>
      <c r="AB162" s="157"/>
      <c r="AC162" s="157"/>
      <c r="AD162" s="157"/>
      <c r="AG162" s="157"/>
      <c r="AH162" s="157"/>
      <c r="AI162" s="157"/>
    </row>
    <row r="163" spans="2:35" x14ac:dyDescent="0.3">
      <c r="B163" s="146"/>
      <c r="C163" s="146"/>
      <c r="D163" s="146"/>
      <c r="E163" s="146"/>
      <c r="F163" s="146"/>
      <c r="G163" s="146"/>
      <c r="H163" s="146"/>
      <c r="I163" s="146"/>
      <c r="J163" s="146"/>
      <c r="K163" s="146"/>
      <c r="L163" s="146"/>
      <c r="R163" s="157"/>
      <c r="S163" s="157"/>
      <c r="T163" s="157"/>
      <c r="W163" s="157"/>
      <c r="X163" s="157"/>
      <c r="Y163" s="157"/>
      <c r="AB163" s="157"/>
      <c r="AC163" s="157"/>
      <c r="AD163" s="157"/>
      <c r="AG163" s="157"/>
      <c r="AH163" s="157"/>
      <c r="AI163" s="157"/>
    </row>
    <row r="164" spans="2:35" x14ac:dyDescent="0.3">
      <c r="B164" s="146"/>
      <c r="C164" s="146"/>
      <c r="D164" s="146"/>
      <c r="E164" s="146"/>
      <c r="F164" s="146"/>
      <c r="G164" s="146"/>
      <c r="H164" s="146"/>
      <c r="I164" s="146"/>
      <c r="J164" s="146"/>
      <c r="K164" s="146"/>
      <c r="L164" s="146"/>
      <c r="R164" s="157"/>
      <c r="S164" s="157"/>
      <c r="T164" s="157"/>
      <c r="W164" s="157"/>
      <c r="X164" s="157"/>
      <c r="Y164" s="157"/>
      <c r="AB164" s="157"/>
      <c r="AC164" s="157"/>
      <c r="AD164" s="157"/>
      <c r="AG164" s="157"/>
      <c r="AH164" s="157"/>
      <c r="AI164" s="157"/>
    </row>
    <row r="165" spans="2:35" x14ac:dyDescent="0.3">
      <c r="B165" s="146"/>
      <c r="C165" s="146"/>
      <c r="D165" s="146"/>
      <c r="E165" s="146"/>
      <c r="F165" s="146"/>
      <c r="G165" s="146"/>
      <c r="H165" s="146"/>
      <c r="I165" s="146"/>
      <c r="J165" s="146"/>
      <c r="K165" s="146"/>
      <c r="L165" s="146"/>
      <c r="R165" s="157"/>
      <c r="S165" s="157"/>
      <c r="T165" s="157"/>
      <c r="W165" s="157"/>
      <c r="X165" s="157"/>
      <c r="Y165" s="157"/>
      <c r="AB165" s="157"/>
      <c r="AC165" s="157"/>
      <c r="AD165" s="157"/>
      <c r="AG165" s="157"/>
      <c r="AH165" s="157"/>
      <c r="AI165" s="157"/>
    </row>
    <row r="166" spans="2:35" x14ac:dyDescent="0.3">
      <c r="B166" s="146"/>
      <c r="C166" s="146"/>
      <c r="D166" s="146"/>
      <c r="E166" s="146"/>
      <c r="F166" s="146"/>
      <c r="G166" s="146"/>
      <c r="H166" s="146"/>
      <c r="I166" s="146"/>
      <c r="J166" s="146"/>
      <c r="K166" s="146"/>
      <c r="L166" s="146"/>
      <c r="R166" s="157"/>
      <c r="S166" s="157"/>
      <c r="T166" s="157"/>
      <c r="W166" s="157"/>
      <c r="X166" s="157"/>
      <c r="Y166" s="157"/>
      <c r="AB166" s="157"/>
      <c r="AC166" s="157"/>
      <c r="AD166" s="157"/>
      <c r="AG166" s="157"/>
      <c r="AH166" s="157"/>
      <c r="AI166" s="157"/>
    </row>
    <row r="167" spans="2:35" x14ac:dyDescent="0.3">
      <c r="B167" s="146"/>
      <c r="C167" s="146"/>
      <c r="D167" s="146"/>
      <c r="E167" s="146"/>
      <c r="F167" s="146"/>
      <c r="G167" s="146"/>
      <c r="H167" s="146"/>
      <c r="I167" s="146"/>
      <c r="J167" s="146"/>
      <c r="K167" s="146"/>
      <c r="L167" s="146"/>
      <c r="R167" s="157"/>
      <c r="S167" s="157"/>
      <c r="T167" s="157"/>
      <c r="W167" s="157"/>
      <c r="X167" s="157"/>
      <c r="Y167" s="157"/>
      <c r="AB167" s="157"/>
      <c r="AC167" s="157"/>
      <c r="AD167" s="157"/>
      <c r="AG167" s="157"/>
      <c r="AH167" s="157"/>
      <c r="AI167" s="157"/>
    </row>
    <row r="168" spans="2:35" x14ac:dyDescent="0.3">
      <c r="B168" s="146"/>
      <c r="C168" s="146"/>
      <c r="D168" s="146"/>
      <c r="E168" s="146"/>
      <c r="F168" s="146"/>
      <c r="G168" s="146"/>
      <c r="H168" s="146"/>
      <c r="I168" s="146"/>
      <c r="J168" s="146"/>
      <c r="K168" s="146"/>
      <c r="L168" s="146"/>
      <c r="R168" s="157"/>
      <c r="S168" s="157"/>
      <c r="T168" s="157"/>
      <c r="W168" s="157"/>
      <c r="X168" s="157"/>
      <c r="Y168" s="157"/>
      <c r="AB168" s="157"/>
      <c r="AC168" s="157"/>
      <c r="AD168" s="157"/>
      <c r="AG168" s="157"/>
      <c r="AH168" s="157"/>
      <c r="AI168" s="157"/>
    </row>
    <row r="169" spans="2:35" x14ac:dyDescent="0.3">
      <c r="B169" s="146"/>
      <c r="C169" s="146"/>
      <c r="D169" s="146"/>
      <c r="E169" s="146"/>
      <c r="F169" s="146"/>
      <c r="G169" s="146"/>
      <c r="H169" s="146"/>
      <c r="I169" s="146"/>
      <c r="J169" s="146"/>
      <c r="K169" s="146"/>
      <c r="L169" s="146"/>
      <c r="R169" s="157"/>
      <c r="S169" s="157"/>
      <c r="T169" s="157"/>
      <c r="W169" s="157"/>
      <c r="X169" s="157"/>
      <c r="Y169" s="157"/>
      <c r="AB169" s="157"/>
      <c r="AC169" s="157"/>
      <c r="AD169" s="157"/>
      <c r="AG169" s="157"/>
      <c r="AH169" s="157"/>
      <c r="AI169" s="157"/>
    </row>
    <row r="170" spans="2:35" x14ac:dyDescent="0.3">
      <c r="B170" s="146"/>
      <c r="C170" s="146"/>
      <c r="D170" s="146"/>
      <c r="E170" s="146"/>
      <c r="F170" s="146"/>
      <c r="G170" s="146"/>
      <c r="H170" s="146"/>
      <c r="I170" s="146"/>
      <c r="J170" s="146"/>
      <c r="K170" s="146"/>
      <c r="L170" s="146"/>
      <c r="R170" s="157"/>
      <c r="S170" s="157"/>
      <c r="T170" s="157"/>
      <c r="W170" s="157"/>
      <c r="X170" s="157"/>
      <c r="Y170" s="157"/>
      <c r="AB170" s="157"/>
      <c r="AC170" s="157"/>
      <c r="AD170" s="157"/>
      <c r="AG170" s="157"/>
      <c r="AH170" s="157"/>
      <c r="AI170" s="157"/>
    </row>
    <row r="171" spans="2:35" x14ac:dyDescent="0.3">
      <c r="B171" s="146"/>
      <c r="C171" s="146"/>
      <c r="D171" s="146"/>
      <c r="E171" s="146"/>
      <c r="F171" s="146"/>
      <c r="G171" s="146"/>
      <c r="H171" s="146"/>
      <c r="I171" s="146"/>
      <c r="J171" s="146"/>
      <c r="K171" s="146"/>
      <c r="L171" s="146"/>
      <c r="R171" s="157"/>
      <c r="S171" s="157"/>
      <c r="T171" s="157"/>
      <c r="W171" s="157"/>
      <c r="X171" s="157"/>
      <c r="Y171" s="157"/>
      <c r="AB171" s="157"/>
      <c r="AC171" s="157"/>
      <c r="AD171" s="157"/>
      <c r="AG171" s="157"/>
      <c r="AH171" s="157"/>
      <c r="AI171" s="157"/>
    </row>
    <row r="172" spans="2:35" x14ac:dyDescent="0.3">
      <c r="B172" s="146"/>
      <c r="C172" s="146"/>
      <c r="D172" s="146"/>
      <c r="E172" s="146"/>
      <c r="F172" s="146"/>
      <c r="G172" s="146"/>
      <c r="H172" s="146"/>
      <c r="I172" s="146"/>
      <c r="J172" s="146"/>
      <c r="K172" s="146"/>
      <c r="L172" s="146"/>
      <c r="R172" s="157"/>
      <c r="S172" s="157"/>
      <c r="T172" s="157"/>
      <c r="W172" s="157"/>
      <c r="X172" s="157"/>
      <c r="Y172" s="157"/>
      <c r="AB172" s="157"/>
      <c r="AC172" s="157"/>
      <c r="AD172" s="157"/>
      <c r="AG172" s="157"/>
      <c r="AH172" s="157"/>
      <c r="AI172" s="157"/>
    </row>
    <row r="173" spans="2:35" x14ac:dyDescent="0.3">
      <c r="B173" s="146"/>
      <c r="C173" s="146"/>
      <c r="D173" s="146"/>
      <c r="E173" s="146"/>
      <c r="F173" s="146"/>
      <c r="G173" s="146"/>
      <c r="H173" s="146"/>
      <c r="I173" s="146"/>
      <c r="J173" s="146"/>
      <c r="K173" s="146"/>
      <c r="L173" s="146"/>
      <c r="R173" s="157"/>
      <c r="S173" s="157"/>
      <c r="T173" s="157"/>
      <c r="W173" s="157"/>
      <c r="X173" s="157"/>
      <c r="Y173" s="157"/>
      <c r="AB173" s="157"/>
      <c r="AC173" s="157"/>
      <c r="AD173" s="157"/>
      <c r="AG173" s="157"/>
      <c r="AH173" s="157"/>
      <c r="AI173" s="157"/>
    </row>
    <row r="174" spans="2:35" x14ac:dyDescent="0.3">
      <c r="B174" s="146"/>
      <c r="C174" s="146"/>
      <c r="D174" s="146"/>
      <c r="E174" s="146"/>
      <c r="F174" s="146"/>
      <c r="G174" s="146"/>
      <c r="H174" s="146"/>
      <c r="I174" s="146"/>
      <c r="J174" s="146"/>
      <c r="K174" s="146"/>
      <c r="L174" s="146"/>
      <c r="R174" s="157"/>
      <c r="S174" s="157"/>
      <c r="T174" s="157"/>
      <c r="W174" s="157"/>
      <c r="X174" s="157"/>
      <c r="Y174" s="157"/>
      <c r="AB174" s="157"/>
      <c r="AC174" s="157"/>
      <c r="AD174" s="157"/>
      <c r="AG174" s="157"/>
      <c r="AH174" s="157"/>
      <c r="AI174" s="157"/>
    </row>
    <row r="175" spans="2:35" x14ac:dyDescent="0.3">
      <c r="B175" s="146"/>
      <c r="C175" s="146"/>
      <c r="D175" s="146"/>
      <c r="E175" s="146"/>
      <c r="F175" s="146"/>
      <c r="G175" s="146"/>
      <c r="H175" s="146"/>
      <c r="I175" s="146"/>
      <c r="J175" s="146"/>
      <c r="K175" s="146"/>
      <c r="L175" s="146"/>
      <c r="R175" s="157"/>
      <c r="S175" s="157"/>
      <c r="T175" s="157"/>
      <c r="W175" s="157"/>
      <c r="X175" s="157"/>
      <c r="Y175" s="157"/>
      <c r="AB175" s="157"/>
      <c r="AC175" s="157"/>
      <c r="AD175" s="157"/>
      <c r="AG175" s="157"/>
      <c r="AH175" s="157"/>
      <c r="AI175" s="157"/>
    </row>
    <row r="176" spans="2:35" x14ac:dyDescent="0.3">
      <c r="B176" s="146"/>
      <c r="C176" s="146"/>
      <c r="D176" s="146"/>
      <c r="E176" s="146"/>
      <c r="F176" s="146"/>
      <c r="G176" s="146"/>
      <c r="H176" s="146"/>
      <c r="I176" s="146"/>
      <c r="J176" s="146"/>
      <c r="K176" s="146"/>
      <c r="L176" s="146"/>
      <c r="R176" s="157"/>
      <c r="S176" s="157"/>
      <c r="T176" s="157"/>
      <c r="W176" s="157"/>
      <c r="X176" s="157"/>
      <c r="Y176" s="157"/>
      <c r="AB176" s="157"/>
      <c r="AC176" s="157"/>
      <c r="AD176" s="157"/>
      <c r="AG176" s="157"/>
      <c r="AH176" s="157"/>
      <c r="AI176" s="157"/>
    </row>
    <row r="177" spans="2:35" x14ac:dyDescent="0.3">
      <c r="B177" s="146"/>
      <c r="C177" s="146"/>
      <c r="D177" s="146"/>
      <c r="E177" s="146"/>
      <c r="F177" s="146"/>
      <c r="G177" s="146"/>
      <c r="H177" s="146"/>
      <c r="I177" s="146"/>
      <c r="J177" s="146"/>
      <c r="K177" s="146"/>
      <c r="L177" s="146"/>
      <c r="R177" s="157"/>
      <c r="S177" s="157"/>
      <c r="T177" s="157"/>
      <c r="W177" s="157"/>
      <c r="X177" s="157"/>
      <c r="Y177" s="157"/>
      <c r="AB177" s="157"/>
      <c r="AC177" s="157"/>
      <c r="AD177" s="157"/>
      <c r="AG177" s="157"/>
      <c r="AH177" s="157"/>
      <c r="AI177" s="157"/>
    </row>
    <row r="178" spans="2:35" x14ac:dyDescent="0.3">
      <c r="B178" s="146"/>
      <c r="C178" s="146"/>
      <c r="D178" s="146"/>
      <c r="E178" s="146"/>
      <c r="F178" s="146"/>
      <c r="G178" s="146"/>
      <c r="H178" s="146"/>
      <c r="I178" s="146"/>
      <c r="J178" s="146"/>
      <c r="K178" s="146"/>
      <c r="L178" s="146"/>
      <c r="R178" s="157"/>
      <c r="S178" s="157"/>
      <c r="T178" s="157"/>
      <c r="W178" s="157"/>
      <c r="X178" s="157"/>
      <c r="Y178" s="157"/>
      <c r="AB178" s="157"/>
      <c r="AC178" s="157"/>
      <c r="AD178" s="157"/>
      <c r="AG178" s="157"/>
      <c r="AH178" s="157"/>
      <c r="AI178" s="157"/>
    </row>
    <row r="179" spans="2:35" x14ac:dyDescent="0.3">
      <c r="B179" s="146"/>
      <c r="C179" s="146"/>
      <c r="D179" s="146"/>
      <c r="E179" s="146"/>
      <c r="F179" s="146"/>
      <c r="G179" s="146"/>
      <c r="H179" s="146"/>
      <c r="I179" s="146"/>
      <c r="J179" s="146"/>
      <c r="K179" s="146"/>
      <c r="L179" s="146"/>
      <c r="R179" s="157"/>
      <c r="S179" s="157"/>
      <c r="T179" s="157"/>
      <c r="W179" s="157"/>
      <c r="X179" s="157"/>
      <c r="Y179" s="157"/>
      <c r="AB179" s="157"/>
      <c r="AC179" s="157"/>
      <c r="AD179" s="157"/>
      <c r="AG179" s="157"/>
      <c r="AH179" s="157"/>
      <c r="AI179" s="157"/>
    </row>
    <row r="180" spans="2:35" x14ac:dyDescent="0.3">
      <c r="B180" s="146"/>
      <c r="C180" s="146"/>
      <c r="D180" s="146"/>
      <c r="E180" s="146"/>
      <c r="F180" s="146"/>
      <c r="G180" s="146"/>
      <c r="H180" s="146"/>
      <c r="I180" s="146"/>
      <c r="J180" s="146"/>
      <c r="K180" s="146"/>
      <c r="L180" s="146"/>
      <c r="R180" s="157"/>
      <c r="S180" s="157"/>
      <c r="T180" s="157"/>
      <c r="W180" s="157"/>
      <c r="X180" s="157"/>
      <c r="Y180" s="157"/>
      <c r="AB180" s="157"/>
      <c r="AC180" s="157"/>
      <c r="AD180" s="157"/>
      <c r="AG180" s="157"/>
      <c r="AH180" s="157"/>
      <c r="AI180" s="157"/>
    </row>
    <row r="181" spans="2:35" x14ac:dyDescent="0.3">
      <c r="B181" s="146"/>
      <c r="C181" s="146"/>
      <c r="D181" s="146"/>
      <c r="E181" s="146"/>
      <c r="F181" s="146"/>
      <c r="G181" s="146"/>
      <c r="H181" s="146"/>
      <c r="I181" s="146"/>
      <c r="J181" s="146"/>
      <c r="K181" s="146"/>
      <c r="L181" s="146"/>
      <c r="R181" s="157"/>
      <c r="S181" s="157"/>
      <c r="T181" s="157"/>
      <c r="W181" s="157"/>
      <c r="X181" s="157"/>
      <c r="Y181" s="157"/>
      <c r="AB181" s="157"/>
      <c r="AC181" s="157"/>
      <c r="AD181" s="157"/>
      <c r="AG181" s="157"/>
      <c r="AH181" s="157"/>
      <c r="AI181" s="157"/>
    </row>
    <row r="182" spans="2:35" x14ac:dyDescent="0.3">
      <c r="B182" s="146"/>
      <c r="C182" s="146"/>
      <c r="D182" s="146"/>
      <c r="E182" s="146"/>
      <c r="F182" s="146"/>
      <c r="G182" s="146"/>
      <c r="H182" s="146"/>
      <c r="I182" s="146"/>
      <c r="J182" s="146"/>
      <c r="K182" s="146"/>
      <c r="L182" s="146"/>
      <c r="R182" s="157"/>
      <c r="S182" s="157"/>
      <c r="T182" s="157"/>
      <c r="W182" s="157"/>
      <c r="X182" s="157"/>
      <c r="Y182" s="157"/>
      <c r="AB182" s="157"/>
      <c r="AC182" s="157"/>
      <c r="AD182" s="157"/>
      <c r="AG182" s="157"/>
      <c r="AH182" s="157"/>
      <c r="AI182" s="157"/>
    </row>
    <row r="183" spans="2:35" x14ac:dyDescent="0.3">
      <c r="B183" s="146"/>
      <c r="C183" s="146"/>
      <c r="D183" s="146"/>
      <c r="E183" s="146"/>
      <c r="F183" s="146"/>
      <c r="G183" s="146"/>
      <c r="H183" s="146"/>
      <c r="I183" s="146"/>
      <c r="J183" s="146"/>
      <c r="K183" s="146"/>
      <c r="L183" s="146"/>
      <c r="R183" s="157"/>
      <c r="S183" s="157"/>
      <c r="T183" s="157"/>
      <c r="W183" s="157"/>
      <c r="X183" s="157"/>
      <c r="Y183" s="157"/>
      <c r="AB183" s="157"/>
      <c r="AC183" s="157"/>
      <c r="AD183" s="157"/>
      <c r="AG183" s="157"/>
      <c r="AH183" s="157"/>
      <c r="AI183" s="157"/>
    </row>
    <row r="184" spans="2:35" x14ac:dyDescent="0.3">
      <c r="B184" s="146"/>
      <c r="C184" s="146"/>
      <c r="D184" s="146"/>
      <c r="E184" s="146"/>
      <c r="F184" s="146"/>
      <c r="G184" s="146"/>
      <c r="H184" s="146"/>
      <c r="I184" s="146"/>
      <c r="J184" s="146"/>
      <c r="K184" s="146"/>
      <c r="L184" s="146"/>
      <c r="R184" s="157"/>
      <c r="S184" s="157"/>
      <c r="T184" s="157"/>
      <c r="W184" s="157"/>
      <c r="X184" s="157"/>
      <c r="Y184" s="157"/>
      <c r="AB184" s="157"/>
      <c r="AC184" s="157"/>
      <c r="AD184" s="157"/>
      <c r="AG184" s="157"/>
      <c r="AH184" s="157"/>
      <c r="AI184" s="157"/>
    </row>
    <row r="185" spans="2:35" x14ac:dyDescent="0.3">
      <c r="B185" s="146"/>
      <c r="C185" s="146"/>
      <c r="D185" s="146"/>
      <c r="E185" s="146"/>
      <c r="F185" s="146"/>
      <c r="G185" s="146"/>
      <c r="H185" s="146"/>
      <c r="I185" s="146"/>
      <c r="J185" s="146"/>
      <c r="K185" s="146"/>
      <c r="L185" s="146"/>
      <c r="R185" s="157"/>
      <c r="S185" s="157"/>
      <c r="T185" s="157"/>
      <c r="W185" s="157"/>
      <c r="X185" s="157"/>
      <c r="Y185" s="157"/>
      <c r="AB185" s="157"/>
      <c r="AC185" s="157"/>
      <c r="AD185" s="157"/>
      <c r="AG185" s="157"/>
      <c r="AH185" s="157"/>
      <c r="AI185" s="157"/>
    </row>
    <row r="186" spans="2:35" x14ac:dyDescent="0.3">
      <c r="B186" s="146"/>
      <c r="C186" s="146"/>
      <c r="D186" s="146"/>
      <c r="E186" s="146"/>
      <c r="F186" s="146"/>
      <c r="G186" s="146"/>
      <c r="H186" s="146"/>
      <c r="I186" s="146"/>
      <c r="J186" s="146"/>
      <c r="K186" s="146"/>
      <c r="L186" s="146"/>
      <c r="R186" s="157"/>
      <c r="S186" s="157"/>
      <c r="T186" s="157"/>
      <c r="W186" s="157"/>
      <c r="X186" s="157"/>
      <c r="Y186" s="157"/>
      <c r="AB186" s="157"/>
      <c r="AC186" s="157"/>
      <c r="AD186" s="157"/>
      <c r="AG186" s="157"/>
      <c r="AH186" s="157"/>
      <c r="AI186" s="157"/>
    </row>
    <row r="187" spans="2:35" x14ac:dyDescent="0.3">
      <c r="B187" s="146"/>
      <c r="C187" s="146"/>
      <c r="D187" s="146"/>
      <c r="E187" s="146"/>
      <c r="F187" s="146"/>
      <c r="G187" s="146"/>
      <c r="H187" s="146"/>
      <c r="I187" s="146"/>
      <c r="J187" s="146"/>
      <c r="K187" s="146"/>
      <c r="L187" s="146"/>
      <c r="R187" s="157"/>
      <c r="S187" s="157"/>
      <c r="T187" s="157"/>
      <c r="W187" s="157"/>
      <c r="X187" s="157"/>
      <c r="Y187" s="157"/>
      <c r="AB187" s="157"/>
      <c r="AC187" s="157"/>
      <c r="AD187" s="157"/>
      <c r="AG187" s="157"/>
      <c r="AH187" s="157"/>
      <c r="AI187" s="157"/>
    </row>
    <row r="188" spans="2:35" x14ac:dyDescent="0.3">
      <c r="B188" s="146"/>
      <c r="C188" s="146"/>
      <c r="D188" s="146"/>
      <c r="E188" s="146"/>
      <c r="F188" s="146"/>
      <c r="G188" s="146"/>
      <c r="H188" s="146"/>
      <c r="I188" s="146"/>
      <c r="J188" s="146"/>
      <c r="K188" s="146"/>
      <c r="L188" s="146"/>
      <c r="R188" s="157"/>
      <c r="S188" s="157"/>
      <c r="T188" s="157"/>
      <c r="W188" s="157"/>
      <c r="X188" s="157"/>
      <c r="Y188" s="157"/>
      <c r="AB188" s="157"/>
      <c r="AC188" s="157"/>
      <c r="AD188" s="157"/>
      <c r="AG188" s="157"/>
      <c r="AH188" s="157"/>
      <c r="AI188" s="157"/>
    </row>
    <row r="189" spans="2:35" x14ac:dyDescent="0.3">
      <c r="B189" s="146"/>
      <c r="C189" s="146"/>
      <c r="D189" s="146"/>
      <c r="E189" s="146"/>
      <c r="F189" s="146"/>
      <c r="G189" s="146"/>
      <c r="H189" s="146"/>
      <c r="I189" s="146"/>
      <c r="J189" s="146"/>
      <c r="K189" s="146"/>
      <c r="L189" s="146"/>
      <c r="R189" s="157"/>
      <c r="S189" s="157"/>
      <c r="T189" s="157"/>
      <c r="W189" s="157"/>
      <c r="X189" s="157"/>
      <c r="Y189" s="157"/>
      <c r="AB189" s="157"/>
      <c r="AC189" s="157"/>
      <c r="AD189" s="157"/>
      <c r="AG189" s="157"/>
      <c r="AH189" s="157"/>
      <c r="AI189" s="157"/>
    </row>
    <row r="190" spans="2:35" x14ac:dyDescent="0.3">
      <c r="B190" s="146"/>
      <c r="C190" s="146"/>
      <c r="D190" s="146"/>
      <c r="E190" s="146"/>
      <c r="F190" s="146"/>
      <c r="G190" s="146"/>
      <c r="H190" s="146"/>
      <c r="I190" s="146"/>
      <c r="J190" s="146"/>
      <c r="K190" s="146"/>
      <c r="L190" s="146"/>
      <c r="R190" s="157"/>
      <c r="S190" s="157"/>
      <c r="T190" s="157"/>
      <c r="W190" s="157"/>
      <c r="X190" s="157"/>
      <c r="Y190" s="157"/>
      <c r="AB190" s="157"/>
      <c r="AC190" s="157"/>
      <c r="AD190" s="157"/>
      <c r="AG190" s="157"/>
      <c r="AH190" s="157"/>
      <c r="AI190" s="157"/>
    </row>
    <row r="191" spans="2:35" x14ac:dyDescent="0.3">
      <c r="B191" s="146"/>
      <c r="C191" s="146"/>
      <c r="D191" s="146"/>
      <c r="E191" s="146"/>
      <c r="F191" s="146"/>
      <c r="G191" s="146"/>
      <c r="H191" s="146"/>
      <c r="I191" s="146"/>
      <c r="J191" s="146"/>
      <c r="K191" s="146"/>
      <c r="L191" s="146"/>
      <c r="R191" s="157"/>
      <c r="S191" s="157"/>
      <c r="T191" s="157"/>
      <c r="W191" s="157"/>
      <c r="X191" s="157"/>
      <c r="Y191" s="157"/>
      <c r="AB191" s="157"/>
      <c r="AC191" s="157"/>
      <c r="AD191" s="157"/>
      <c r="AG191" s="157"/>
      <c r="AH191" s="157"/>
      <c r="AI191" s="157"/>
    </row>
    <row r="192" spans="2:35" x14ac:dyDescent="0.3">
      <c r="B192" s="146"/>
      <c r="C192" s="146"/>
      <c r="D192" s="146"/>
      <c r="E192" s="146"/>
      <c r="F192" s="146"/>
      <c r="G192" s="146"/>
      <c r="H192" s="146"/>
      <c r="I192" s="146"/>
      <c r="J192" s="146"/>
      <c r="K192" s="146"/>
      <c r="L192" s="146"/>
      <c r="R192" s="157"/>
      <c r="S192" s="157"/>
      <c r="T192" s="157"/>
      <c r="W192" s="157"/>
      <c r="X192" s="157"/>
      <c r="Y192" s="157"/>
      <c r="AB192" s="157"/>
      <c r="AC192" s="157"/>
      <c r="AD192" s="157"/>
      <c r="AG192" s="157"/>
      <c r="AH192" s="157"/>
      <c r="AI192" s="157"/>
    </row>
    <row r="193" spans="2:35" x14ac:dyDescent="0.3">
      <c r="B193" s="146"/>
      <c r="C193" s="146"/>
      <c r="D193" s="146"/>
      <c r="E193" s="146"/>
      <c r="F193" s="146"/>
      <c r="G193" s="146"/>
      <c r="H193" s="146"/>
      <c r="I193" s="146"/>
      <c r="J193" s="146"/>
      <c r="K193" s="146"/>
      <c r="L193" s="146"/>
      <c r="R193" s="157"/>
      <c r="S193" s="157"/>
      <c r="T193" s="157"/>
      <c r="W193" s="157"/>
      <c r="X193" s="157"/>
      <c r="Y193" s="157"/>
      <c r="AB193" s="157"/>
      <c r="AC193" s="157"/>
      <c r="AD193" s="157"/>
      <c r="AG193" s="157"/>
      <c r="AH193" s="157"/>
      <c r="AI193" s="157"/>
    </row>
    <row r="194" spans="2:35" x14ac:dyDescent="0.3">
      <c r="B194" s="146"/>
      <c r="C194" s="146"/>
      <c r="D194" s="146"/>
      <c r="E194" s="146"/>
      <c r="F194" s="146"/>
      <c r="G194" s="146"/>
      <c r="H194" s="146"/>
      <c r="I194" s="146"/>
      <c r="J194" s="146"/>
      <c r="K194" s="146"/>
      <c r="L194" s="146"/>
      <c r="R194" s="157"/>
      <c r="S194" s="157"/>
      <c r="T194" s="157"/>
      <c r="W194" s="157"/>
      <c r="X194" s="157"/>
      <c r="Y194" s="157"/>
      <c r="AB194" s="157"/>
      <c r="AC194" s="157"/>
      <c r="AD194" s="157"/>
      <c r="AG194" s="157"/>
      <c r="AH194" s="157"/>
      <c r="AI194" s="157"/>
    </row>
    <row r="195" spans="2:35" x14ac:dyDescent="0.3">
      <c r="B195" s="146"/>
      <c r="C195" s="146"/>
      <c r="D195" s="146"/>
      <c r="E195" s="146"/>
      <c r="F195" s="146"/>
      <c r="G195" s="146"/>
      <c r="H195" s="146"/>
      <c r="I195" s="146"/>
      <c r="J195" s="146"/>
      <c r="K195" s="146"/>
      <c r="L195" s="146"/>
      <c r="R195" s="157"/>
      <c r="S195" s="157"/>
      <c r="T195" s="157"/>
      <c r="W195" s="157"/>
      <c r="X195" s="157"/>
      <c r="Y195" s="157"/>
      <c r="AB195" s="157"/>
      <c r="AC195" s="157"/>
      <c r="AD195" s="157"/>
      <c r="AG195" s="157"/>
      <c r="AH195" s="157"/>
      <c r="AI195" s="157"/>
    </row>
    <row r="196" spans="2:35" x14ac:dyDescent="0.3">
      <c r="B196" s="146"/>
      <c r="C196" s="146"/>
      <c r="D196" s="146"/>
      <c r="E196" s="146"/>
      <c r="F196" s="146"/>
      <c r="G196" s="146"/>
      <c r="H196" s="146"/>
      <c r="I196" s="146"/>
      <c r="J196" s="146"/>
      <c r="K196" s="146"/>
      <c r="L196" s="146"/>
      <c r="R196" s="157"/>
      <c r="S196" s="157"/>
      <c r="T196" s="157"/>
      <c r="W196" s="157"/>
      <c r="X196" s="157"/>
      <c r="Y196" s="157"/>
      <c r="AB196" s="157"/>
      <c r="AC196" s="157"/>
      <c r="AD196" s="157"/>
      <c r="AG196" s="157"/>
      <c r="AH196" s="157"/>
      <c r="AI196" s="157"/>
    </row>
    <row r="197" spans="2:35" x14ac:dyDescent="0.3">
      <c r="B197" s="146"/>
      <c r="C197" s="146"/>
      <c r="D197" s="146"/>
      <c r="E197" s="146"/>
      <c r="F197" s="146"/>
      <c r="G197" s="146"/>
      <c r="H197" s="146"/>
      <c r="I197" s="146"/>
      <c r="J197" s="146"/>
      <c r="K197" s="146"/>
      <c r="L197" s="146"/>
      <c r="R197" s="157"/>
      <c r="S197" s="157"/>
      <c r="T197" s="157"/>
      <c r="W197" s="157"/>
      <c r="X197" s="157"/>
      <c r="Y197" s="157"/>
      <c r="AB197" s="157"/>
      <c r="AC197" s="157"/>
      <c r="AD197" s="157"/>
      <c r="AG197" s="157"/>
      <c r="AH197" s="157"/>
      <c r="AI197" s="157"/>
    </row>
    <row r="198" spans="2:35" x14ac:dyDescent="0.3">
      <c r="B198" s="146"/>
      <c r="C198" s="146"/>
      <c r="D198" s="146"/>
      <c r="E198" s="146"/>
      <c r="F198" s="146"/>
      <c r="G198" s="146"/>
      <c r="H198" s="146"/>
      <c r="I198" s="146"/>
      <c r="J198" s="146"/>
      <c r="K198" s="146"/>
      <c r="L198" s="146"/>
      <c r="R198" s="157"/>
      <c r="S198" s="157"/>
      <c r="T198" s="157"/>
      <c r="W198" s="157"/>
      <c r="X198" s="157"/>
      <c r="Y198" s="157"/>
      <c r="AB198" s="157"/>
      <c r="AC198" s="157"/>
      <c r="AD198" s="157"/>
      <c r="AG198" s="157"/>
      <c r="AH198" s="157"/>
      <c r="AI198" s="157"/>
    </row>
    <row r="199" spans="2:35" x14ac:dyDescent="0.3">
      <c r="B199" s="146"/>
      <c r="C199" s="146"/>
      <c r="D199" s="146"/>
      <c r="E199" s="146"/>
      <c r="F199" s="146"/>
      <c r="G199" s="146"/>
      <c r="H199" s="146"/>
      <c r="I199" s="146"/>
      <c r="J199" s="146"/>
      <c r="K199" s="146"/>
      <c r="L199" s="146"/>
      <c r="R199" s="157"/>
      <c r="S199" s="157"/>
      <c r="T199" s="157"/>
      <c r="W199" s="157"/>
      <c r="X199" s="157"/>
      <c r="Y199" s="157"/>
      <c r="AB199" s="157"/>
      <c r="AC199" s="157"/>
      <c r="AD199" s="157"/>
      <c r="AG199" s="157"/>
      <c r="AH199" s="157"/>
      <c r="AI199" s="157"/>
    </row>
    <row r="200" spans="2:35" x14ac:dyDescent="0.3">
      <c r="B200" s="146"/>
      <c r="C200" s="146"/>
      <c r="D200" s="146"/>
      <c r="E200" s="146"/>
      <c r="F200" s="146"/>
      <c r="G200" s="146"/>
      <c r="H200" s="146"/>
      <c r="I200" s="146"/>
      <c r="J200" s="146"/>
      <c r="K200" s="146"/>
      <c r="L200" s="146"/>
      <c r="R200" s="157"/>
      <c r="S200" s="157"/>
      <c r="T200" s="157"/>
      <c r="W200" s="157"/>
      <c r="X200" s="157"/>
      <c r="Y200" s="157"/>
      <c r="AB200" s="157"/>
      <c r="AC200" s="157"/>
      <c r="AD200" s="157"/>
      <c r="AG200" s="157"/>
      <c r="AH200" s="157"/>
      <c r="AI200" s="157"/>
    </row>
    <row r="201" spans="2:35" x14ac:dyDescent="0.3">
      <c r="B201" s="146"/>
      <c r="C201" s="146"/>
      <c r="D201" s="146"/>
      <c r="E201" s="146"/>
      <c r="F201" s="146"/>
      <c r="G201" s="146"/>
      <c r="H201" s="146"/>
      <c r="I201" s="146"/>
      <c r="J201" s="146"/>
      <c r="K201" s="146"/>
      <c r="L201" s="146"/>
      <c r="R201" s="157"/>
      <c r="S201" s="157"/>
      <c r="T201" s="157"/>
      <c r="W201" s="157"/>
      <c r="X201" s="157"/>
      <c r="Y201" s="157"/>
      <c r="AB201" s="157"/>
      <c r="AC201" s="157"/>
      <c r="AD201" s="157"/>
      <c r="AG201" s="157"/>
      <c r="AH201" s="157"/>
      <c r="AI201" s="157"/>
    </row>
    <row r="202" spans="2:35" x14ac:dyDescent="0.3">
      <c r="B202" s="146"/>
      <c r="C202" s="146"/>
      <c r="D202" s="146"/>
      <c r="E202" s="146"/>
      <c r="F202" s="146"/>
      <c r="G202" s="146"/>
      <c r="H202" s="146"/>
      <c r="I202" s="146"/>
      <c r="J202" s="146"/>
      <c r="K202" s="146"/>
      <c r="L202" s="146"/>
      <c r="R202" s="157"/>
      <c r="S202" s="157"/>
      <c r="T202" s="157"/>
      <c r="W202" s="157"/>
      <c r="X202" s="157"/>
      <c r="Y202" s="157"/>
      <c r="AB202" s="157"/>
      <c r="AC202" s="157"/>
      <c r="AD202" s="157"/>
      <c r="AG202" s="157"/>
      <c r="AH202" s="157"/>
      <c r="AI202" s="157"/>
    </row>
    <row r="203" spans="2:35" x14ac:dyDescent="0.3">
      <c r="B203" s="146"/>
      <c r="C203" s="146"/>
      <c r="D203" s="146"/>
      <c r="E203" s="146"/>
      <c r="F203" s="146"/>
      <c r="G203" s="146"/>
      <c r="H203" s="146"/>
      <c r="I203" s="146"/>
      <c r="J203" s="146"/>
      <c r="K203" s="146"/>
      <c r="L203" s="146"/>
      <c r="R203" s="157"/>
      <c r="S203" s="157"/>
      <c r="T203" s="157"/>
      <c r="W203" s="157"/>
      <c r="X203" s="157"/>
      <c r="Y203" s="157"/>
      <c r="AB203" s="157"/>
      <c r="AC203" s="157"/>
      <c r="AD203" s="157"/>
      <c r="AG203" s="157"/>
      <c r="AH203" s="157"/>
      <c r="AI203" s="157"/>
    </row>
    <row r="204" spans="2:35" x14ac:dyDescent="0.3">
      <c r="B204" s="146"/>
      <c r="C204" s="146"/>
      <c r="D204" s="146"/>
      <c r="E204" s="146"/>
      <c r="F204" s="146"/>
      <c r="G204" s="146"/>
      <c r="H204" s="146"/>
      <c r="I204" s="146"/>
      <c r="J204" s="146"/>
      <c r="K204" s="146"/>
      <c r="L204" s="146"/>
      <c r="R204" s="157"/>
      <c r="S204" s="157"/>
      <c r="T204" s="157"/>
      <c r="W204" s="157"/>
      <c r="X204" s="157"/>
      <c r="Y204" s="157"/>
      <c r="AB204" s="157"/>
      <c r="AC204" s="157"/>
      <c r="AD204" s="157"/>
      <c r="AG204" s="157"/>
      <c r="AH204" s="157"/>
      <c r="AI204" s="157"/>
    </row>
    <row r="205" spans="2:35" x14ac:dyDescent="0.3">
      <c r="B205" s="146"/>
      <c r="C205" s="146"/>
      <c r="D205" s="146"/>
      <c r="E205" s="146"/>
      <c r="F205" s="146"/>
      <c r="G205" s="146"/>
      <c r="H205" s="146"/>
      <c r="I205" s="146"/>
      <c r="J205" s="146"/>
      <c r="K205" s="146"/>
      <c r="L205" s="146"/>
      <c r="R205" s="157"/>
      <c r="S205" s="157"/>
      <c r="T205" s="157"/>
      <c r="W205" s="157"/>
      <c r="X205" s="157"/>
      <c r="Y205" s="157"/>
      <c r="AB205" s="157"/>
      <c r="AC205" s="157"/>
      <c r="AD205" s="157"/>
      <c r="AG205" s="157"/>
      <c r="AH205" s="157"/>
      <c r="AI205" s="157"/>
    </row>
    <row r="206" spans="2:35" x14ac:dyDescent="0.3">
      <c r="B206" s="146"/>
      <c r="C206" s="146"/>
      <c r="D206" s="146"/>
      <c r="E206" s="146"/>
      <c r="F206" s="146"/>
      <c r="G206" s="146"/>
      <c r="H206" s="146"/>
      <c r="I206" s="146"/>
      <c r="J206" s="146"/>
      <c r="K206" s="146"/>
      <c r="L206" s="146"/>
      <c r="R206" s="157"/>
      <c r="S206" s="157"/>
      <c r="T206" s="157"/>
      <c r="W206" s="157"/>
      <c r="X206" s="157"/>
      <c r="Y206" s="157"/>
      <c r="AB206" s="157"/>
      <c r="AC206" s="157"/>
      <c r="AD206" s="157"/>
      <c r="AG206" s="157"/>
      <c r="AH206" s="157"/>
      <c r="AI206" s="157"/>
    </row>
    <row r="207" spans="2:35" x14ac:dyDescent="0.3">
      <c r="B207" s="146"/>
      <c r="C207" s="146"/>
      <c r="D207" s="146"/>
      <c r="E207" s="146"/>
      <c r="F207" s="146"/>
      <c r="G207" s="146"/>
      <c r="H207" s="146"/>
      <c r="I207" s="146"/>
      <c r="J207" s="146"/>
      <c r="K207" s="146"/>
      <c r="L207" s="146"/>
      <c r="R207" s="157"/>
      <c r="S207" s="157"/>
      <c r="T207" s="157"/>
      <c r="W207" s="157"/>
      <c r="X207" s="157"/>
      <c r="Y207" s="157"/>
      <c r="AB207" s="157"/>
      <c r="AC207" s="157"/>
      <c r="AD207" s="157"/>
      <c r="AG207" s="157"/>
      <c r="AH207" s="157"/>
      <c r="AI207" s="157"/>
    </row>
    <row r="208" spans="2:35" x14ac:dyDescent="0.3">
      <c r="B208" s="146"/>
      <c r="C208" s="146"/>
      <c r="D208" s="146"/>
      <c r="E208" s="146"/>
      <c r="F208" s="146"/>
      <c r="G208" s="146"/>
      <c r="H208" s="146"/>
      <c r="I208" s="146"/>
      <c r="J208" s="146"/>
      <c r="K208" s="146"/>
      <c r="L208" s="146"/>
      <c r="R208" s="157"/>
      <c r="S208" s="157"/>
      <c r="T208" s="157"/>
      <c r="W208" s="157"/>
      <c r="X208" s="157"/>
      <c r="Y208" s="157"/>
      <c r="AB208" s="157"/>
      <c r="AC208" s="157"/>
      <c r="AD208" s="157"/>
      <c r="AG208" s="157"/>
      <c r="AH208" s="157"/>
      <c r="AI208" s="157"/>
    </row>
    <row r="209" spans="2:35" x14ac:dyDescent="0.3">
      <c r="B209" s="146"/>
      <c r="C209" s="146"/>
      <c r="D209" s="146"/>
      <c r="E209" s="146"/>
      <c r="F209" s="146"/>
      <c r="G209" s="146"/>
      <c r="H209" s="146"/>
      <c r="I209" s="146"/>
      <c r="J209" s="146"/>
      <c r="K209" s="146"/>
      <c r="L209" s="146"/>
      <c r="R209" s="157"/>
      <c r="S209" s="157"/>
      <c r="T209" s="157"/>
      <c r="W209" s="157"/>
      <c r="X209" s="157"/>
      <c r="Y209" s="157"/>
      <c r="AB209" s="157"/>
      <c r="AC209" s="157"/>
      <c r="AD209" s="157"/>
      <c r="AG209" s="157"/>
      <c r="AH209" s="157"/>
      <c r="AI209" s="157"/>
    </row>
    <row r="210" spans="2:35" x14ac:dyDescent="0.3">
      <c r="B210" s="146"/>
      <c r="C210" s="146"/>
      <c r="D210" s="146"/>
      <c r="E210" s="146"/>
      <c r="F210" s="146"/>
      <c r="G210" s="146"/>
      <c r="H210" s="146"/>
      <c r="I210" s="146"/>
      <c r="J210" s="146"/>
      <c r="K210" s="146"/>
      <c r="L210" s="146"/>
      <c r="R210" s="157"/>
      <c r="S210" s="157"/>
      <c r="T210" s="157"/>
      <c r="W210" s="157"/>
      <c r="X210" s="157"/>
      <c r="Y210" s="157"/>
      <c r="AB210" s="157"/>
      <c r="AC210" s="157"/>
      <c r="AD210" s="157"/>
      <c r="AG210" s="157"/>
      <c r="AH210" s="157"/>
      <c r="AI210" s="157"/>
    </row>
    <row r="211" spans="2:35" x14ac:dyDescent="0.3">
      <c r="B211" s="146"/>
      <c r="C211" s="146"/>
      <c r="D211" s="146"/>
      <c r="E211" s="146"/>
      <c r="F211" s="146"/>
      <c r="G211" s="146"/>
      <c r="H211" s="146"/>
      <c r="I211" s="146"/>
      <c r="J211" s="146"/>
      <c r="K211" s="146"/>
      <c r="L211" s="146"/>
      <c r="R211" s="157"/>
      <c r="S211" s="157"/>
      <c r="T211" s="157"/>
      <c r="W211" s="157"/>
      <c r="X211" s="157"/>
      <c r="Y211" s="157"/>
      <c r="AB211" s="157"/>
      <c r="AC211" s="157"/>
      <c r="AD211" s="157"/>
      <c r="AG211" s="157"/>
      <c r="AH211" s="157"/>
      <c r="AI211" s="157"/>
    </row>
    <row r="212" spans="2:35" x14ac:dyDescent="0.3">
      <c r="B212" s="146"/>
      <c r="C212" s="146"/>
      <c r="D212" s="146"/>
      <c r="E212" s="146"/>
      <c r="F212" s="146"/>
      <c r="G212" s="146"/>
      <c r="H212" s="146"/>
      <c r="I212" s="146"/>
      <c r="J212" s="146"/>
      <c r="K212" s="146"/>
      <c r="L212" s="146"/>
      <c r="R212" s="157"/>
      <c r="S212" s="157"/>
      <c r="T212" s="157"/>
      <c r="W212" s="157"/>
      <c r="X212" s="157"/>
      <c r="Y212" s="157"/>
      <c r="AB212" s="157"/>
      <c r="AC212" s="157"/>
      <c r="AD212" s="157"/>
      <c r="AG212" s="157"/>
      <c r="AH212" s="157"/>
      <c r="AI212" s="157"/>
    </row>
    <row r="213" spans="2:35" x14ac:dyDescent="0.3">
      <c r="B213" s="146"/>
      <c r="C213" s="146"/>
      <c r="D213" s="146"/>
      <c r="E213" s="146"/>
      <c r="F213" s="146"/>
      <c r="G213" s="146"/>
      <c r="H213" s="146"/>
      <c r="I213" s="146"/>
      <c r="J213" s="146"/>
      <c r="K213" s="146"/>
      <c r="L213" s="146"/>
      <c r="R213" s="157"/>
      <c r="S213" s="157"/>
      <c r="T213" s="157"/>
      <c r="W213" s="157"/>
      <c r="X213" s="157"/>
      <c r="Y213" s="157"/>
      <c r="AB213" s="157"/>
      <c r="AC213" s="157"/>
      <c r="AD213" s="157"/>
      <c r="AG213" s="157"/>
      <c r="AH213" s="157"/>
      <c r="AI213" s="157"/>
    </row>
    <row r="214" spans="2:35" x14ac:dyDescent="0.3">
      <c r="B214" s="146"/>
      <c r="C214" s="146"/>
      <c r="D214" s="146"/>
      <c r="E214" s="146"/>
      <c r="F214" s="146"/>
      <c r="G214" s="146"/>
      <c r="H214" s="146"/>
      <c r="I214" s="146"/>
      <c r="J214" s="146"/>
      <c r="K214" s="146"/>
      <c r="L214" s="146"/>
      <c r="R214" s="157"/>
      <c r="S214" s="157"/>
      <c r="T214" s="157"/>
      <c r="W214" s="157"/>
      <c r="X214" s="157"/>
      <c r="Y214" s="157"/>
      <c r="AB214" s="157"/>
      <c r="AC214" s="157"/>
      <c r="AD214" s="157"/>
      <c r="AG214" s="157"/>
      <c r="AH214" s="157"/>
      <c r="AI214" s="157"/>
    </row>
    <row r="215" spans="2:35" x14ac:dyDescent="0.3">
      <c r="B215" s="146"/>
      <c r="C215" s="146"/>
      <c r="D215" s="146"/>
      <c r="E215" s="146"/>
      <c r="F215" s="146"/>
      <c r="G215" s="146"/>
      <c r="H215" s="146"/>
      <c r="I215" s="146"/>
      <c r="J215" s="146"/>
      <c r="K215" s="146"/>
      <c r="L215" s="146"/>
      <c r="R215" s="157"/>
      <c r="S215" s="157"/>
      <c r="T215" s="157"/>
      <c r="W215" s="157"/>
      <c r="X215" s="157"/>
      <c r="Y215" s="157"/>
      <c r="AB215" s="157"/>
      <c r="AC215" s="157"/>
      <c r="AD215" s="157"/>
      <c r="AG215" s="157"/>
      <c r="AH215" s="157"/>
      <c r="AI215" s="157"/>
    </row>
    <row r="216" spans="2:35" x14ac:dyDescent="0.3">
      <c r="B216" s="146"/>
      <c r="C216" s="146"/>
      <c r="D216" s="146"/>
      <c r="E216" s="146"/>
      <c r="F216" s="146"/>
      <c r="G216" s="146"/>
      <c r="H216" s="146"/>
      <c r="I216" s="146"/>
      <c r="J216" s="146"/>
      <c r="K216" s="146"/>
      <c r="L216" s="146"/>
      <c r="R216" s="157"/>
      <c r="S216" s="157"/>
      <c r="T216" s="157"/>
      <c r="W216" s="157"/>
      <c r="X216" s="157"/>
      <c r="Y216" s="157"/>
      <c r="AB216" s="157"/>
      <c r="AC216" s="157"/>
      <c r="AD216" s="157"/>
      <c r="AG216" s="157"/>
      <c r="AH216" s="157"/>
      <c r="AI216" s="157"/>
    </row>
    <row r="217" spans="2:35" x14ac:dyDescent="0.3">
      <c r="B217" s="146"/>
      <c r="C217" s="146"/>
      <c r="D217" s="146"/>
      <c r="E217" s="146"/>
      <c r="F217" s="146"/>
      <c r="G217" s="146"/>
      <c r="H217" s="146"/>
      <c r="I217" s="146"/>
      <c r="J217" s="146"/>
      <c r="K217" s="146"/>
      <c r="L217" s="146"/>
      <c r="R217" s="157"/>
      <c r="S217" s="157"/>
      <c r="T217" s="157"/>
      <c r="W217" s="157"/>
      <c r="X217" s="157"/>
      <c r="Y217" s="157"/>
      <c r="AB217" s="157"/>
      <c r="AC217" s="157"/>
      <c r="AD217" s="157"/>
      <c r="AG217" s="157"/>
      <c r="AH217" s="157"/>
      <c r="AI217" s="157"/>
    </row>
    <row r="218" spans="2:35" x14ac:dyDescent="0.3">
      <c r="B218" s="146"/>
      <c r="C218" s="146"/>
      <c r="D218" s="146"/>
      <c r="E218" s="146"/>
      <c r="F218" s="146"/>
      <c r="G218" s="146"/>
      <c r="H218" s="146"/>
      <c r="I218" s="146"/>
      <c r="J218" s="146"/>
      <c r="K218" s="146"/>
      <c r="L218" s="146"/>
      <c r="R218" s="157"/>
      <c r="S218" s="157"/>
      <c r="T218" s="157"/>
      <c r="W218" s="157"/>
      <c r="X218" s="157"/>
      <c r="Y218" s="157"/>
      <c r="AB218" s="157"/>
      <c r="AC218" s="157"/>
      <c r="AD218" s="157"/>
      <c r="AG218" s="157"/>
      <c r="AH218" s="157"/>
      <c r="AI218" s="157"/>
    </row>
    <row r="219" spans="2:35" x14ac:dyDescent="0.3">
      <c r="B219" s="146"/>
      <c r="C219" s="146"/>
      <c r="D219" s="146"/>
      <c r="E219" s="146"/>
      <c r="F219" s="146"/>
      <c r="G219" s="146"/>
      <c r="H219" s="146"/>
      <c r="I219" s="146"/>
      <c r="J219" s="146"/>
      <c r="K219" s="146"/>
      <c r="L219" s="146"/>
      <c r="R219" s="157"/>
      <c r="S219" s="157"/>
      <c r="T219" s="157"/>
      <c r="W219" s="157"/>
      <c r="X219" s="157"/>
      <c r="Y219" s="157"/>
      <c r="AB219" s="157"/>
      <c r="AC219" s="157"/>
      <c r="AD219" s="157"/>
      <c r="AG219" s="157"/>
      <c r="AH219" s="157"/>
      <c r="AI219" s="157"/>
    </row>
    <row r="220" spans="2:35" x14ac:dyDescent="0.3">
      <c r="B220" s="146"/>
      <c r="C220" s="146"/>
      <c r="D220" s="146"/>
      <c r="E220" s="146"/>
      <c r="F220" s="146"/>
      <c r="G220" s="146"/>
      <c r="H220" s="146"/>
      <c r="I220" s="146"/>
      <c r="J220" s="146"/>
      <c r="K220" s="146"/>
      <c r="L220" s="146"/>
      <c r="R220" s="157"/>
      <c r="S220" s="157"/>
      <c r="T220" s="157"/>
      <c r="W220" s="157"/>
      <c r="X220" s="157"/>
      <c r="Y220" s="157"/>
      <c r="AB220" s="157"/>
      <c r="AC220" s="157"/>
      <c r="AD220" s="157"/>
      <c r="AG220" s="157"/>
      <c r="AH220" s="157"/>
      <c r="AI220" s="157"/>
    </row>
    <row r="221" spans="2:35" x14ac:dyDescent="0.3">
      <c r="B221" s="146"/>
      <c r="C221" s="146"/>
      <c r="D221" s="146"/>
      <c r="E221" s="146"/>
      <c r="F221" s="146"/>
      <c r="G221" s="146"/>
      <c r="H221" s="146"/>
      <c r="I221" s="146"/>
      <c r="J221" s="146"/>
      <c r="K221" s="146"/>
      <c r="L221" s="146"/>
      <c r="R221" s="157"/>
      <c r="S221" s="157"/>
      <c r="T221" s="157"/>
      <c r="W221" s="157"/>
      <c r="X221" s="157"/>
      <c r="Y221" s="157"/>
      <c r="AB221" s="157"/>
      <c r="AC221" s="157"/>
      <c r="AD221" s="157"/>
      <c r="AG221" s="157"/>
      <c r="AH221" s="157"/>
      <c r="AI221" s="157"/>
    </row>
    <row r="222" spans="2:35" x14ac:dyDescent="0.3">
      <c r="B222" s="146"/>
      <c r="C222" s="146"/>
      <c r="D222" s="146"/>
      <c r="E222" s="146"/>
      <c r="F222" s="146"/>
      <c r="G222" s="146"/>
      <c r="H222" s="146"/>
      <c r="I222" s="146"/>
      <c r="J222" s="146"/>
      <c r="K222" s="146"/>
      <c r="L222" s="146"/>
      <c r="R222" s="157"/>
      <c r="S222" s="157"/>
      <c r="T222" s="157"/>
      <c r="W222" s="157"/>
      <c r="X222" s="157"/>
      <c r="Y222" s="157"/>
      <c r="AB222" s="157"/>
      <c r="AC222" s="157"/>
      <c r="AD222" s="157"/>
      <c r="AG222" s="157"/>
      <c r="AH222" s="157"/>
      <c r="AI222" s="157"/>
    </row>
    <row r="223" spans="2:35" x14ac:dyDescent="0.3">
      <c r="B223" s="146"/>
      <c r="C223" s="146"/>
      <c r="D223" s="146"/>
      <c r="E223" s="146"/>
      <c r="F223" s="146"/>
      <c r="G223" s="146"/>
      <c r="H223" s="146"/>
      <c r="I223" s="146"/>
      <c r="J223" s="146"/>
      <c r="K223" s="146"/>
      <c r="L223" s="146"/>
      <c r="R223" s="157"/>
      <c r="S223" s="157"/>
      <c r="T223" s="157"/>
      <c r="W223" s="157"/>
      <c r="X223" s="157"/>
      <c r="Y223" s="157"/>
      <c r="AB223" s="157"/>
      <c r="AC223" s="157"/>
      <c r="AD223" s="157"/>
      <c r="AG223" s="157"/>
      <c r="AH223" s="157"/>
      <c r="AI223" s="157"/>
    </row>
    <row r="224" spans="2:35" x14ac:dyDescent="0.3">
      <c r="B224" s="146"/>
      <c r="C224" s="146"/>
      <c r="D224" s="146"/>
      <c r="E224" s="146"/>
      <c r="F224" s="146"/>
      <c r="G224" s="146"/>
      <c r="H224" s="146"/>
      <c r="I224" s="146"/>
      <c r="J224" s="146"/>
      <c r="K224" s="146"/>
      <c r="L224" s="146"/>
      <c r="R224" s="157"/>
      <c r="S224" s="157"/>
      <c r="T224" s="157"/>
      <c r="W224" s="157"/>
      <c r="X224" s="157"/>
      <c r="Y224" s="157"/>
      <c r="AB224" s="157"/>
      <c r="AC224" s="157"/>
      <c r="AD224" s="157"/>
      <c r="AG224" s="157"/>
      <c r="AH224" s="157"/>
      <c r="AI224" s="157"/>
    </row>
    <row r="225" spans="2:35" x14ac:dyDescent="0.3">
      <c r="B225" s="146"/>
      <c r="C225" s="146"/>
      <c r="D225" s="146"/>
      <c r="E225" s="146"/>
      <c r="F225" s="146"/>
      <c r="G225" s="146"/>
      <c r="H225" s="146"/>
      <c r="I225" s="146"/>
      <c r="J225" s="146"/>
      <c r="K225" s="146"/>
      <c r="L225" s="146"/>
      <c r="R225" s="157"/>
      <c r="S225" s="157"/>
      <c r="T225" s="157"/>
      <c r="W225" s="157"/>
      <c r="X225" s="157"/>
      <c r="Y225" s="157"/>
      <c r="AB225" s="157"/>
      <c r="AC225" s="157"/>
      <c r="AD225" s="157"/>
      <c r="AG225" s="157"/>
      <c r="AH225" s="157"/>
      <c r="AI225" s="157"/>
    </row>
    <row r="226" spans="2:35" x14ac:dyDescent="0.3">
      <c r="B226" s="146"/>
      <c r="C226" s="146"/>
      <c r="D226" s="146"/>
      <c r="E226" s="146"/>
      <c r="F226" s="146"/>
      <c r="G226" s="146"/>
      <c r="H226" s="146"/>
      <c r="I226" s="146"/>
      <c r="J226" s="146"/>
      <c r="K226" s="146"/>
      <c r="L226" s="146"/>
      <c r="R226" s="157"/>
      <c r="S226" s="157"/>
      <c r="T226" s="157"/>
      <c r="W226" s="157"/>
      <c r="X226" s="157"/>
      <c r="Y226" s="157"/>
      <c r="AB226" s="157"/>
      <c r="AC226" s="157"/>
      <c r="AD226" s="157"/>
      <c r="AG226" s="157"/>
      <c r="AH226" s="157"/>
      <c r="AI226" s="157"/>
    </row>
    <row r="227" spans="2:35" x14ac:dyDescent="0.3">
      <c r="B227" s="146"/>
      <c r="C227" s="146"/>
      <c r="D227" s="146"/>
      <c r="E227" s="146"/>
      <c r="F227" s="146"/>
      <c r="G227" s="146"/>
      <c r="H227" s="146"/>
      <c r="I227" s="146"/>
      <c r="J227" s="146"/>
      <c r="K227" s="146"/>
      <c r="L227" s="146"/>
      <c r="R227" s="157"/>
      <c r="S227" s="157"/>
      <c r="T227" s="157"/>
      <c r="W227" s="157"/>
      <c r="X227" s="157"/>
      <c r="Y227" s="157"/>
      <c r="AB227" s="157"/>
      <c r="AC227" s="157"/>
      <c r="AD227" s="157"/>
      <c r="AG227" s="157"/>
      <c r="AH227" s="157"/>
      <c r="AI227" s="157"/>
    </row>
    <row r="228" spans="2:35" x14ac:dyDescent="0.3">
      <c r="B228" s="146"/>
      <c r="C228" s="146"/>
      <c r="D228" s="146"/>
      <c r="E228" s="146"/>
      <c r="F228" s="146"/>
      <c r="G228" s="146"/>
      <c r="H228" s="146"/>
      <c r="I228" s="146"/>
      <c r="J228" s="146"/>
      <c r="K228" s="146"/>
      <c r="L228" s="146"/>
      <c r="R228" s="157"/>
      <c r="S228" s="157"/>
      <c r="T228" s="157"/>
      <c r="W228" s="157"/>
      <c r="X228" s="157"/>
      <c r="Y228" s="157"/>
      <c r="AB228" s="157"/>
      <c r="AC228" s="157"/>
      <c r="AD228" s="157"/>
      <c r="AG228" s="157"/>
      <c r="AH228" s="157"/>
      <c r="AI228" s="157"/>
    </row>
    <row r="229" spans="2:35" x14ac:dyDescent="0.3">
      <c r="B229" s="146"/>
      <c r="C229" s="146"/>
      <c r="D229" s="146"/>
      <c r="E229" s="146"/>
      <c r="F229" s="146"/>
      <c r="G229" s="146"/>
      <c r="H229" s="146"/>
      <c r="I229" s="146"/>
      <c r="J229" s="146"/>
      <c r="K229" s="146"/>
      <c r="L229" s="146"/>
      <c r="R229" s="157"/>
      <c r="S229" s="157"/>
      <c r="T229" s="157"/>
      <c r="W229" s="157"/>
      <c r="X229" s="157"/>
      <c r="Y229" s="157"/>
      <c r="AB229" s="157"/>
      <c r="AC229" s="157"/>
      <c r="AD229" s="157"/>
      <c r="AG229" s="157"/>
      <c r="AH229" s="157"/>
      <c r="AI229" s="157"/>
    </row>
    <row r="230" spans="2:35" x14ac:dyDescent="0.3">
      <c r="B230" s="146"/>
      <c r="C230" s="146"/>
      <c r="D230" s="146"/>
      <c r="E230" s="146"/>
      <c r="F230" s="146"/>
      <c r="G230" s="146"/>
      <c r="H230" s="146"/>
      <c r="I230" s="146"/>
      <c r="J230" s="146"/>
      <c r="K230" s="146"/>
      <c r="L230" s="146"/>
      <c r="R230" s="157"/>
      <c r="S230" s="157"/>
      <c r="T230" s="157"/>
      <c r="W230" s="157"/>
      <c r="X230" s="157"/>
      <c r="Y230" s="157"/>
      <c r="AB230" s="157"/>
      <c r="AC230" s="157"/>
      <c r="AD230" s="157"/>
      <c r="AG230" s="157"/>
      <c r="AH230" s="157"/>
      <c r="AI230" s="157"/>
    </row>
    <row r="231" spans="2:35" x14ac:dyDescent="0.3">
      <c r="B231" s="146"/>
      <c r="C231" s="146"/>
      <c r="D231" s="146"/>
      <c r="E231" s="146"/>
      <c r="F231" s="146"/>
      <c r="G231" s="146"/>
      <c r="H231" s="146"/>
      <c r="I231" s="146"/>
      <c r="J231" s="146"/>
      <c r="K231" s="146"/>
      <c r="L231" s="146"/>
      <c r="R231" s="157"/>
      <c r="S231" s="157"/>
      <c r="T231" s="157"/>
      <c r="W231" s="157"/>
      <c r="X231" s="157"/>
      <c r="Y231" s="157"/>
      <c r="AB231" s="157"/>
      <c r="AC231" s="157"/>
      <c r="AD231" s="157"/>
      <c r="AG231" s="157"/>
      <c r="AH231" s="157"/>
      <c r="AI231" s="157"/>
    </row>
    <row r="232" spans="2:35" x14ac:dyDescent="0.3">
      <c r="B232" s="146"/>
      <c r="C232" s="146"/>
      <c r="D232" s="146"/>
      <c r="E232" s="146"/>
      <c r="F232" s="146"/>
      <c r="G232" s="146"/>
      <c r="H232" s="146"/>
      <c r="I232" s="146"/>
      <c r="J232" s="146"/>
      <c r="K232" s="146"/>
      <c r="L232" s="146"/>
      <c r="R232" s="157"/>
      <c r="S232" s="157"/>
      <c r="T232" s="157"/>
      <c r="W232" s="157"/>
      <c r="X232" s="157"/>
      <c r="Y232" s="157"/>
      <c r="AB232" s="157"/>
      <c r="AC232" s="157"/>
      <c r="AD232" s="157"/>
      <c r="AG232" s="157"/>
      <c r="AH232" s="157"/>
      <c r="AI232" s="157"/>
    </row>
    <row r="233" spans="2:35" x14ac:dyDescent="0.3">
      <c r="B233" s="146"/>
      <c r="C233" s="146"/>
      <c r="D233" s="146"/>
      <c r="E233" s="146"/>
      <c r="F233" s="146"/>
      <c r="G233" s="146"/>
      <c r="H233" s="146"/>
      <c r="I233" s="146"/>
      <c r="J233" s="146"/>
      <c r="K233" s="146"/>
      <c r="L233" s="146"/>
      <c r="R233" s="157"/>
      <c r="S233" s="157"/>
      <c r="T233" s="157"/>
      <c r="W233" s="157"/>
      <c r="X233" s="157"/>
      <c r="Y233" s="157"/>
      <c r="AB233" s="157"/>
      <c r="AC233" s="157"/>
      <c r="AD233" s="157"/>
      <c r="AG233" s="157"/>
      <c r="AH233" s="157"/>
      <c r="AI233" s="157"/>
    </row>
    <row r="234" spans="2:35" x14ac:dyDescent="0.3">
      <c r="B234" s="146"/>
      <c r="C234" s="146"/>
      <c r="D234" s="146"/>
      <c r="E234" s="146"/>
      <c r="F234" s="146"/>
      <c r="G234" s="146"/>
      <c r="H234" s="146"/>
      <c r="I234" s="146"/>
      <c r="J234" s="146"/>
      <c r="K234" s="146"/>
      <c r="L234" s="146"/>
      <c r="R234" s="157"/>
      <c r="S234" s="157"/>
      <c r="T234" s="157"/>
      <c r="W234" s="157"/>
      <c r="X234" s="157"/>
      <c r="Y234" s="157"/>
      <c r="AB234" s="157"/>
      <c r="AC234" s="157"/>
      <c r="AD234" s="157"/>
      <c r="AG234" s="157"/>
      <c r="AH234" s="157"/>
      <c r="AI234" s="157"/>
    </row>
    <row r="235" spans="2:35" x14ac:dyDescent="0.3">
      <c r="B235" s="146"/>
      <c r="C235" s="146"/>
      <c r="D235" s="146"/>
      <c r="E235" s="146"/>
      <c r="F235" s="146"/>
      <c r="G235" s="146"/>
      <c r="H235" s="146"/>
      <c r="I235" s="146"/>
      <c r="J235" s="146"/>
      <c r="K235" s="146"/>
      <c r="L235" s="146"/>
      <c r="R235" s="157"/>
      <c r="S235" s="157"/>
      <c r="T235" s="157"/>
      <c r="W235" s="157"/>
      <c r="X235" s="157"/>
      <c r="Y235" s="157"/>
      <c r="AB235" s="157"/>
      <c r="AC235" s="157"/>
      <c r="AD235" s="157"/>
      <c r="AG235" s="157"/>
      <c r="AH235" s="157"/>
      <c r="AI235" s="157"/>
    </row>
    <row r="236" spans="2:35" x14ac:dyDescent="0.3">
      <c r="B236" s="146"/>
      <c r="C236" s="146"/>
      <c r="D236" s="146"/>
      <c r="E236" s="146"/>
      <c r="F236" s="146"/>
      <c r="G236" s="146"/>
      <c r="H236" s="146"/>
      <c r="I236" s="146"/>
      <c r="J236" s="146"/>
      <c r="K236" s="146"/>
      <c r="L236" s="146"/>
      <c r="R236" s="157"/>
      <c r="S236" s="157"/>
      <c r="T236" s="157"/>
      <c r="W236" s="157"/>
      <c r="X236" s="157"/>
      <c r="Y236" s="157"/>
      <c r="AB236" s="157"/>
      <c r="AC236" s="157"/>
      <c r="AD236" s="157"/>
      <c r="AG236" s="157"/>
      <c r="AH236" s="157"/>
      <c r="AI236" s="157"/>
    </row>
    <row r="237" spans="2:35" x14ac:dyDescent="0.3">
      <c r="B237" s="146"/>
      <c r="C237" s="146"/>
      <c r="D237" s="146"/>
      <c r="E237" s="146"/>
      <c r="F237" s="146"/>
      <c r="G237" s="146"/>
      <c r="H237" s="146"/>
      <c r="I237" s="146"/>
      <c r="J237" s="146"/>
      <c r="K237" s="146"/>
      <c r="L237" s="146"/>
      <c r="R237" s="157"/>
      <c r="S237" s="157"/>
      <c r="T237" s="157"/>
      <c r="W237" s="157"/>
      <c r="X237" s="157"/>
      <c r="Y237" s="157"/>
      <c r="AB237" s="157"/>
      <c r="AC237" s="157"/>
      <c r="AD237" s="157"/>
      <c r="AG237" s="157"/>
      <c r="AH237" s="157"/>
      <c r="AI237" s="157"/>
    </row>
    <row r="238" spans="2:35" x14ac:dyDescent="0.3">
      <c r="B238" s="146"/>
      <c r="C238" s="146"/>
      <c r="D238" s="146"/>
      <c r="E238" s="146"/>
      <c r="F238" s="146"/>
      <c r="G238" s="146"/>
      <c r="H238" s="146"/>
      <c r="I238" s="146"/>
      <c r="J238" s="146"/>
      <c r="K238" s="146"/>
      <c r="L238" s="146"/>
      <c r="R238" s="157"/>
      <c r="S238" s="157"/>
      <c r="T238" s="157"/>
      <c r="W238" s="157"/>
      <c r="X238" s="157"/>
      <c r="Y238" s="157"/>
      <c r="AB238" s="157"/>
      <c r="AC238" s="157"/>
      <c r="AD238" s="157"/>
      <c r="AG238" s="157"/>
      <c r="AH238" s="157"/>
      <c r="AI238" s="157"/>
    </row>
    <row r="239" spans="2:35" x14ac:dyDescent="0.3">
      <c r="B239" s="146"/>
      <c r="C239" s="146"/>
      <c r="D239" s="146"/>
      <c r="E239" s="146"/>
      <c r="F239" s="146"/>
      <c r="G239" s="146"/>
      <c r="H239" s="146"/>
      <c r="I239" s="146"/>
      <c r="J239" s="146"/>
      <c r="K239" s="146"/>
      <c r="L239" s="146"/>
      <c r="R239" s="157"/>
      <c r="S239" s="157"/>
      <c r="T239" s="157"/>
      <c r="W239" s="157"/>
      <c r="X239" s="157"/>
      <c r="Y239" s="157"/>
      <c r="AB239" s="157"/>
      <c r="AC239" s="157"/>
      <c r="AD239" s="157"/>
      <c r="AG239" s="157"/>
      <c r="AH239" s="157"/>
      <c r="AI239" s="157"/>
    </row>
    <row r="240" spans="2:35" x14ac:dyDescent="0.3">
      <c r="B240" s="146"/>
      <c r="C240" s="146"/>
      <c r="D240" s="146"/>
      <c r="E240" s="146"/>
      <c r="F240" s="146"/>
      <c r="G240" s="146"/>
      <c r="H240" s="146"/>
      <c r="I240" s="146"/>
      <c r="J240" s="146"/>
      <c r="K240" s="146"/>
      <c r="L240" s="146"/>
      <c r="R240" s="157"/>
      <c r="S240" s="157"/>
      <c r="T240" s="157"/>
      <c r="W240" s="157"/>
      <c r="X240" s="157"/>
      <c r="Y240" s="157"/>
      <c r="AB240" s="157"/>
      <c r="AC240" s="157"/>
      <c r="AD240" s="157"/>
      <c r="AG240" s="157"/>
      <c r="AH240" s="157"/>
      <c r="AI240" s="157"/>
    </row>
    <row r="241" spans="2:35" x14ac:dyDescent="0.3">
      <c r="B241" s="146"/>
      <c r="C241" s="146"/>
      <c r="D241" s="146"/>
      <c r="E241" s="146"/>
      <c r="F241" s="146"/>
      <c r="G241" s="146"/>
      <c r="H241" s="146"/>
      <c r="I241" s="146"/>
      <c r="J241" s="146"/>
      <c r="K241" s="146"/>
      <c r="L241" s="146"/>
      <c r="R241" s="157"/>
      <c r="S241" s="157"/>
      <c r="T241" s="157"/>
      <c r="W241" s="157"/>
      <c r="X241" s="157"/>
      <c r="Y241" s="157"/>
      <c r="AB241" s="157"/>
      <c r="AC241" s="157"/>
      <c r="AD241" s="157"/>
      <c r="AG241" s="157"/>
      <c r="AH241" s="157"/>
      <c r="AI241" s="157"/>
    </row>
    <row r="242" spans="2:35" x14ac:dyDescent="0.3">
      <c r="B242" s="146"/>
      <c r="C242" s="146"/>
      <c r="D242" s="146"/>
      <c r="E242" s="146"/>
      <c r="F242" s="146"/>
      <c r="G242" s="146"/>
      <c r="H242" s="146"/>
      <c r="I242" s="146"/>
      <c r="J242" s="146"/>
      <c r="K242" s="146"/>
      <c r="L242" s="146"/>
      <c r="R242" s="157"/>
      <c r="S242" s="157"/>
      <c r="T242" s="157"/>
      <c r="W242" s="157"/>
      <c r="X242" s="157"/>
      <c r="Y242" s="157"/>
      <c r="AB242" s="157"/>
      <c r="AC242" s="157"/>
      <c r="AD242" s="157"/>
      <c r="AG242" s="157"/>
      <c r="AH242" s="157"/>
      <c r="AI242" s="157"/>
    </row>
    <row r="243" spans="2:35" x14ac:dyDescent="0.3">
      <c r="B243" s="146"/>
      <c r="C243" s="146"/>
      <c r="D243" s="146"/>
      <c r="E243" s="146"/>
      <c r="F243" s="146"/>
      <c r="G243" s="146"/>
      <c r="H243" s="146"/>
      <c r="I243" s="146"/>
      <c r="J243" s="146"/>
      <c r="K243" s="146"/>
      <c r="L243" s="146"/>
      <c r="R243" s="157"/>
      <c r="S243" s="157"/>
      <c r="T243" s="157"/>
      <c r="W243" s="157"/>
      <c r="X243" s="157"/>
      <c r="Y243" s="157"/>
      <c r="AB243" s="157"/>
      <c r="AC243" s="157"/>
      <c r="AD243" s="157"/>
      <c r="AG243" s="157"/>
      <c r="AH243" s="157"/>
      <c r="AI243" s="157"/>
    </row>
    <row r="244" spans="2:35" x14ac:dyDescent="0.3">
      <c r="B244" s="146"/>
      <c r="C244" s="146"/>
      <c r="D244" s="146"/>
      <c r="E244" s="146"/>
      <c r="F244" s="146"/>
      <c r="G244" s="146"/>
      <c r="H244" s="146"/>
      <c r="I244" s="146"/>
      <c r="J244" s="146"/>
      <c r="K244" s="146"/>
      <c r="L244" s="146"/>
      <c r="R244" s="157"/>
      <c r="S244" s="157"/>
      <c r="T244" s="157"/>
      <c r="W244" s="157"/>
      <c r="X244" s="157"/>
      <c r="Y244" s="157"/>
      <c r="AB244" s="157"/>
      <c r="AC244" s="157"/>
      <c r="AD244" s="157"/>
      <c r="AG244" s="157"/>
      <c r="AH244" s="157"/>
      <c r="AI244" s="157"/>
    </row>
    <row r="245" spans="2:35" x14ac:dyDescent="0.3">
      <c r="B245" s="146"/>
      <c r="C245" s="146"/>
      <c r="D245" s="146"/>
      <c r="E245" s="146"/>
      <c r="F245" s="146"/>
      <c r="G245" s="146"/>
      <c r="H245" s="146"/>
      <c r="I245" s="146"/>
      <c r="J245" s="146"/>
      <c r="K245" s="146"/>
      <c r="L245" s="146"/>
      <c r="R245" s="157"/>
      <c r="S245" s="157"/>
      <c r="T245" s="157"/>
      <c r="W245" s="157"/>
      <c r="X245" s="157"/>
      <c r="Y245" s="157"/>
      <c r="AB245" s="157"/>
      <c r="AC245" s="157"/>
      <c r="AD245" s="157"/>
      <c r="AG245" s="157"/>
      <c r="AH245" s="157"/>
      <c r="AI245" s="157"/>
    </row>
    <row r="246" spans="2:35" x14ac:dyDescent="0.3">
      <c r="B246" s="146"/>
      <c r="C246" s="146"/>
      <c r="D246" s="146"/>
      <c r="E246" s="146"/>
      <c r="F246" s="146"/>
      <c r="G246" s="146"/>
      <c r="H246" s="146"/>
      <c r="I246" s="146"/>
      <c r="J246" s="146"/>
      <c r="K246" s="146"/>
      <c r="L246" s="146"/>
      <c r="R246" s="157"/>
      <c r="S246" s="157"/>
      <c r="T246" s="157"/>
      <c r="W246" s="157"/>
      <c r="X246" s="157"/>
      <c r="Y246" s="157"/>
      <c r="AB246" s="157"/>
      <c r="AC246" s="157"/>
      <c r="AD246" s="157"/>
      <c r="AG246" s="157"/>
      <c r="AH246" s="157"/>
      <c r="AI246" s="157"/>
    </row>
    <row r="247" spans="2:35" x14ac:dyDescent="0.3">
      <c r="B247" s="146"/>
      <c r="C247" s="146"/>
      <c r="D247" s="146"/>
      <c r="E247" s="146"/>
      <c r="F247" s="146"/>
      <c r="G247" s="146"/>
      <c r="H247" s="146"/>
      <c r="I247" s="146"/>
      <c r="J247" s="146"/>
      <c r="K247" s="146"/>
      <c r="L247" s="146"/>
      <c r="R247" s="157"/>
      <c r="S247" s="157"/>
      <c r="T247" s="157"/>
      <c r="W247" s="157"/>
      <c r="X247" s="157"/>
      <c r="Y247" s="157"/>
      <c r="AB247" s="157"/>
      <c r="AC247" s="157"/>
      <c r="AD247" s="157"/>
      <c r="AG247" s="157"/>
      <c r="AH247" s="157"/>
      <c r="AI247" s="157"/>
    </row>
    <row r="248" spans="2:35" x14ac:dyDescent="0.3">
      <c r="B248" s="146"/>
      <c r="C248" s="146"/>
      <c r="D248" s="146"/>
      <c r="E248" s="146"/>
      <c r="F248" s="146"/>
      <c r="G248" s="146"/>
      <c r="H248" s="146"/>
      <c r="I248" s="146"/>
      <c r="J248" s="146"/>
      <c r="K248" s="146"/>
      <c r="L248" s="146"/>
      <c r="R248" s="157"/>
      <c r="S248" s="157"/>
      <c r="T248" s="157"/>
      <c r="W248" s="157"/>
      <c r="X248" s="157"/>
      <c r="Y248" s="157"/>
      <c r="AB248" s="157"/>
      <c r="AC248" s="157"/>
      <c r="AD248" s="157"/>
      <c r="AG248" s="157"/>
      <c r="AH248" s="157"/>
      <c r="AI248" s="157"/>
    </row>
    <row r="249" spans="2:35" x14ac:dyDescent="0.3">
      <c r="B249" s="146"/>
      <c r="C249" s="146"/>
      <c r="D249" s="146"/>
      <c r="E249" s="146"/>
      <c r="F249" s="146"/>
      <c r="G249" s="146"/>
      <c r="H249" s="146"/>
      <c r="I249" s="146"/>
      <c r="J249" s="146"/>
      <c r="K249" s="146"/>
      <c r="L249" s="146"/>
      <c r="R249" s="157"/>
      <c r="S249" s="157"/>
      <c r="T249" s="157"/>
      <c r="W249" s="157"/>
      <c r="X249" s="157"/>
      <c r="Y249" s="157"/>
      <c r="AB249" s="157"/>
      <c r="AC249" s="157"/>
      <c r="AD249" s="157"/>
      <c r="AG249" s="157"/>
      <c r="AH249" s="157"/>
      <c r="AI249" s="157"/>
    </row>
    <row r="250" spans="2:35" x14ac:dyDescent="0.3">
      <c r="B250" s="146"/>
      <c r="C250" s="146"/>
      <c r="D250" s="146"/>
      <c r="E250" s="146"/>
      <c r="F250" s="146"/>
      <c r="G250" s="146"/>
      <c r="H250" s="146"/>
      <c r="I250" s="146"/>
      <c r="J250" s="146"/>
      <c r="K250" s="146"/>
      <c r="L250" s="146"/>
      <c r="R250" s="157"/>
      <c r="S250" s="157"/>
      <c r="T250" s="157"/>
      <c r="W250" s="157"/>
      <c r="X250" s="157"/>
      <c r="Y250" s="157"/>
      <c r="AB250" s="157"/>
      <c r="AC250" s="157"/>
      <c r="AD250" s="157"/>
      <c r="AG250" s="157"/>
      <c r="AH250" s="157"/>
      <c r="AI250" s="157"/>
    </row>
    <row r="251" spans="2:35" x14ac:dyDescent="0.3">
      <c r="B251" s="146"/>
      <c r="C251" s="146"/>
      <c r="D251" s="146"/>
      <c r="E251" s="146"/>
      <c r="F251" s="146"/>
      <c r="G251" s="146"/>
      <c r="H251" s="146"/>
      <c r="I251" s="146"/>
      <c r="J251" s="146"/>
      <c r="K251" s="146"/>
      <c r="L251" s="146"/>
      <c r="R251" s="157"/>
      <c r="S251" s="157"/>
      <c r="T251" s="157"/>
      <c r="W251" s="157"/>
      <c r="X251" s="157"/>
      <c r="Y251" s="157"/>
      <c r="AB251" s="157"/>
      <c r="AC251" s="157"/>
      <c r="AD251" s="157"/>
      <c r="AG251" s="157"/>
      <c r="AH251" s="157"/>
      <c r="AI251" s="157"/>
    </row>
    <row r="252" spans="2:35" x14ac:dyDescent="0.3">
      <c r="B252" s="146"/>
      <c r="C252" s="146"/>
      <c r="D252" s="146"/>
      <c r="E252" s="146"/>
      <c r="F252" s="146"/>
      <c r="G252" s="146"/>
      <c r="H252" s="146"/>
      <c r="I252" s="146"/>
      <c r="J252" s="146"/>
      <c r="K252" s="146"/>
      <c r="L252" s="146"/>
      <c r="R252" s="157"/>
      <c r="S252" s="157"/>
      <c r="T252" s="157"/>
      <c r="W252" s="157"/>
      <c r="X252" s="157"/>
      <c r="Y252" s="157"/>
      <c r="AB252" s="157"/>
      <c r="AC252" s="157"/>
      <c r="AD252" s="157"/>
      <c r="AG252" s="157"/>
      <c r="AH252" s="157"/>
      <c r="AI252" s="157"/>
    </row>
    <row r="253" spans="2:35" x14ac:dyDescent="0.3">
      <c r="B253" s="146"/>
      <c r="C253" s="146"/>
      <c r="D253" s="146"/>
      <c r="E253" s="146"/>
      <c r="F253" s="146"/>
      <c r="G253" s="146"/>
      <c r="H253" s="146"/>
      <c r="I253" s="146"/>
      <c r="J253" s="146"/>
      <c r="K253" s="146"/>
      <c r="L253" s="146"/>
      <c r="R253" s="157"/>
      <c r="S253" s="157"/>
      <c r="T253" s="157"/>
      <c r="W253" s="157"/>
      <c r="X253" s="157"/>
      <c r="Y253" s="157"/>
      <c r="AB253" s="157"/>
      <c r="AC253" s="157"/>
      <c r="AD253" s="157"/>
      <c r="AG253" s="157"/>
      <c r="AH253" s="157"/>
      <c r="AI253" s="157"/>
    </row>
    <row r="254" spans="2:35" x14ac:dyDescent="0.3">
      <c r="B254" s="146"/>
      <c r="C254" s="146"/>
      <c r="D254" s="146"/>
      <c r="E254" s="146"/>
      <c r="F254" s="146"/>
      <c r="G254" s="146"/>
      <c r="H254" s="146"/>
      <c r="I254" s="146"/>
      <c r="J254" s="146"/>
      <c r="K254" s="146"/>
      <c r="L254" s="146"/>
      <c r="R254" s="157"/>
      <c r="S254" s="157"/>
      <c r="T254" s="157"/>
      <c r="W254" s="157"/>
      <c r="X254" s="157"/>
      <c r="Y254" s="157"/>
      <c r="AB254" s="157"/>
      <c r="AC254" s="157"/>
      <c r="AD254" s="157"/>
      <c r="AG254" s="157"/>
      <c r="AH254" s="157"/>
      <c r="AI254" s="157"/>
    </row>
    <row r="255" spans="2:35" x14ac:dyDescent="0.3">
      <c r="B255" s="146"/>
      <c r="C255" s="146"/>
      <c r="D255" s="146"/>
      <c r="E255" s="146"/>
      <c r="F255" s="146"/>
      <c r="G255" s="146"/>
      <c r="H255" s="146"/>
      <c r="I255" s="146"/>
      <c r="J255" s="146"/>
      <c r="K255" s="146"/>
      <c r="L255" s="146"/>
      <c r="R255" s="157"/>
      <c r="S255" s="157"/>
      <c r="T255" s="157"/>
      <c r="W255" s="157"/>
      <c r="X255" s="157"/>
      <c r="Y255" s="157"/>
      <c r="AB255" s="157"/>
      <c r="AC255" s="157"/>
      <c r="AD255" s="157"/>
      <c r="AG255" s="157"/>
      <c r="AH255" s="157"/>
      <c r="AI255" s="157"/>
    </row>
    <row r="256" spans="2:35" x14ac:dyDescent="0.3">
      <c r="B256" s="146"/>
      <c r="C256" s="146"/>
      <c r="D256" s="146"/>
      <c r="E256" s="146"/>
      <c r="F256" s="146"/>
      <c r="G256" s="146"/>
      <c r="H256" s="146"/>
      <c r="I256" s="146"/>
      <c r="J256" s="146"/>
      <c r="K256" s="146"/>
      <c r="L256" s="146"/>
      <c r="R256" s="157"/>
      <c r="S256" s="157"/>
      <c r="T256" s="157"/>
      <c r="W256" s="157"/>
      <c r="X256" s="157"/>
      <c r="Y256" s="157"/>
      <c r="AB256" s="157"/>
      <c r="AC256" s="157"/>
      <c r="AD256" s="157"/>
      <c r="AG256" s="157"/>
      <c r="AH256" s="157"/>
      <c r="AI256" s="157"/>
    </row>
    <row r="257" spans="2:35" x14ac:dyDescent="0.3">
      <c r="B257" s="146"/>
      <c r="C257" s="146"/>
      <c r="D257" s="146"/>
      <c r="E257" s="146"/>
      <c r="F257" s="146"/>
      <c r="G257" s="146"/>
      <c r="H257" s="146"/>
      <c r="I257" s="146"/>
      <c r="J257" s="146"/>
      <c r="K257" s="146"/>
      <c r="L257" s="146"/>
      <c r="R257" s="157"/>
      <c r="S257" s="157"/>
      <c r="T257" s="157"/>
      <c r="W257" s="157"/>
      <c r="X257" s="157"/>
      <c r="Y257" s="157"/>
      <c r="AB257" s="157"/>
      <c r="AC257" s="157"/>
      <c r="AD257" s="157"/>
      <c r="AG257" s="157"/>
      <c r="AH257" s="157"/>
      <c r="AI257" s="157"/>
    </row>
    <row r="258" spans="2:35" x14ac:dyDescent="0.3">
      <c r="B258" s="146"/>
      <c r="C258" s="146"/>
      <c r="D258" s="146"/>
      <c r="E258" s="146"/>
      <c r="F258" s="146"/>
      <c r="G258" s="146"/>
      <c r="H258" s="146"/>
      <c r="I258" s="146"/>
      <c r="J258" s="146"/>
      <c r="K258" s="146"/>
      <c r="L258" s="146"/>
      <c r="R258" s="157"/>
      <c r="S258" s="157"/>
      <c r="T258" s="157"/>
      <c r="W258" s="157"/>
      <c r="X258" s="157"/>
      <c r="Y258" s="157"/>
      <c r="AB258" s="157"/>
      <c r="AC258" s="157"/>
      <c r="AD258" s="157"/>
      <c r="AG258" s="157"/>
      <c r="AH258" s="157"/>
      <c r="AI258" s="157"/>
    </row>
    <row r="259" spans="2:35" x14ac:dyDescent="0.3">
      <c r="B259" s="146"/>
      <c r="C259" s="146"/>
      <c r="D259" s="146"/>
      <c r="E259" s="146"/>
      <c r="F259" s="146"/>
      <c r="G259" s="146"/>
      <c r="H259" s="146"/>
      <c r="I259" s="146"/>
      <c r="J259" s="146"/>
      <c r="K259" s="146"/>
      <c r="L259" s="146"/>
      <c r="R259" s="157"/>
      <c r="S259" s="157"/>
      <c r="T259" s="157"/>
      <c r="W259" s="157"/>
      <c r="X259" s="157"/>
      <c r="Y259" s="157"/>
      <c r="AB259" s="157"/>
      <c r="AC259" s="157"/>
      <c r="AD259" s="157"/>
      <c r="AG259" s="157"/>
      <c r="AH259" s="157"/>
      <c r="AI259" s="157"/>
    </row>
    <row r="260" spans="2:35" x14ac:dyDescent="0.3">
      <c r="B260" s="146"/>
      <c r="C260" s="146"/>
      <c r="D260" s="146"/>
      <c r="E260" s="146"/>
      <c r="F260" s="146"/>
      <c r="G260" s="146"/>
      <c r="H260" s="146"/>
      <c r="I260" s="146"/>
      <c r="J260" s="146"/>
      <c r="K260" s="146"/>
      <c r="L260" s="146"/>
      <c r="R260" s="157"/>
      <c r="S260" s="157"/>
      <c r="T260" s="157"/>
      <c r="W260" s="157"/>
      <c r="X260" s="157"/>
      <c r="Y260" s="157"/>
      <c r="AB260" s="157"/>
      <c r="AC260" s="157"/>
      <c r="AD260" s="157"/>
      <c r="AG260" s="157"/>
      <c r="AH260" s="157"/>
      <c r="AI260" s="157"/>
    </row>
    <row r="261" spans="2:35" x14ac:dyDescent="0.3">
      <c r="B261" s="146"/>
      <c r="C261" s="146"/>
      <c r="D261" s="146"/>
      <c r="E261" s="146"/>
      <c r="F261" s="146"/>
      <c r="G261" s="146"/>
      <c r="H261" s="146"/>
      <c r="I261" s="146"/>
      <c r="J261" s="146"/>
      <c r="K261" s="146"/>
      <c r="L261" s="146"/>
      <c r="R261" s="157"/>
      <c r="S261" s="157"/>
      <c r="T261" s="157"/>
      <c r="W261" s="157"/>
      <c r="X261" s="157"/>
      <c r="Y261" s="157"/>
      <c r="AB261" s="157"/>
      <c r="AC261" s="157"/>
      <c r="AD261" s="157"/>
      <c r="AG261" s="157"/>
      <c r="AH261" s="157"/>
      <c r="AI261" s="157"/>
    </row>
    <row r="262" spans="2:35" x14ac:dyDescent="0.3">
      <c r="B262" s="146"/>
      <c r="C262" s="146"/>
      <c r="D262" s="146"/>
      <c r="E262" s="146"/>
      <c r="F262" s="146"/>
      <c r="G262" s="146"/>
      <c r="H262" s="146"/>
      <c r="I262" s="146"/>
      <c r="J262" s="146"/>
      <c r="K262" s="146"/>
      <c r="L262" s="146"/>
      <c r="R262" s="157"/>
      <c r="S262" s="157"/>
      <c r="T262" s="157"/>
      <c r="W262" s="157"/>
      <c r="X262" s="157"/>
      <c r="Y262" s="157"/>
      <c r="AB262" s="157"/>
      <c r="AC262" s="157"/>
      <c r="AD262" s="157"/>
      <c r="AG262" s="157"/>
      <c r="AH262" s="157"/>
      <c r="AI262" s="157"/>
    </row>
    <row r="263" spans="2:35" x14ac:dyDescent="0.3">
      <c r="B263" s="146"/>
      <c r="C263" s="146"/>
      <c r="D263" s="146"/>
      <c r="E263" s="146"/>
      <c r="F263" s="146"/>
      <c r="G263" s="146"/>
      <c r="H263" s="146"/>
      <c r="I263" s="146"/>
      <c r="J263" s="146"/>
      <c r="K263" s="146"/>
      <c r="L263" s="146"/>
      <c r="R263" s="157"/>
      <c r="S263" s="157"/>
      <c r="T263" s="157"/>
      <c r="W263" s="157"/>
      <c r="X263" s="157"/>
      <c r="Y263" s="157"/>
      <c r="AB263" s="157"/>
      <c r="AC263" s="157"/>
      <c r="AD263" s="157"/>
      <c r="AG263" s="157"/>
      <c r="AH263" s="157"/>
      <c r="AI263" s="157"/>
    </row>
    <row r="264" spans="2:35" x14ac:dyDescent="0.3">
      <c r="B264" s="146"/>
      <c r="C264" s="146"/>
      <c r="D264" s="146"/>
      <c r="E264" s="146"/>
      <c r="F264" s="146"/>
      <c r="G264" s="146"/>
      <c r="H264" s="146"/>
      <c r="I264" s="146"/>
      <c r="J264" s="146"/>
      <c r="K264" s="146"/>
      <c r="L264" s="146"/>
      <c r="R264" s="157"/>
      <c r="S264" s="157"/>
      <c r="T264" s="157"/>
      <c r="W264" s="157"/>
      <c r="X264" s="157"/>
      <c r="Y264" s="157"/>
      <c r="AB264" s="157"/>
      <c r="AC264" s="157"/>
      <c r="AD264" s="157"/>
      <c r="AG264" s="157"/>
      <c r="AH264" s="157"/>
      <c r="AI264" s="157"/>
    </row>
    <row r="265" spans="2:35" x14ac:dyDescent="0.3">
      <c r="B265" s="146"/>
      <c r="C265" s="146"/>
      <c r="D265" s="146"/>
      <c r="E265" s="146"/>
      <c r="F265" s="146"/>
      <c r="G265" s="146"/>
      <c r="H265" s="146"/>
      <c r="I265" s="146"/>
      <c r="J265" s="146"/>
      <c r="K265" s="146"/>
      <c r="L265" s="146"/>
      <c r="R265" s="157"/>
      <c r="S265" s="157"/>
      <c r="T265" s="157"/>
      <c r="W265" s="157"/>
      <c r="X265" s="157"/>
      <c r="Y265" s="157"/>
      <c r="AB265" s="157"/>
      <c r="AC265" s="157"/>
      <c r="AD265" s="157"/>
      <c r="AG265" s="157"/>
      <c r="AH265" s="157"/>
      <c r="AI265" s="157"/>
    </row>
    <row r="266" spans="2:35" x14ac:dyDescent="0.3">
      <c r="B266" s="146"/>
      <c r="C266" s="146"/>
      <c r="D266" s="146"/>
      <c r="E266" s="146"/>
      <c r="F266" s="146"/>
      <c r="G266" s="146"/>
      <c r="H266" s="146"/>
      <c r="I266" s="146"/>
      <c r="J266" s="146"/>
      <c r="K266" s="146"/>
      <c r="L266" s="146"/>
      <c r="R266" s="157"/>
      <c r="S266" s="157"/>
      <c r="T266" s="157"/>
      <c r="W266" s="157"/>
      <c r="X266" s="157"/>
      <c r="Y266" s="157"/>
      <c r="AB266" s="157"/>
      <c r="AC266" s="157"/>
      <c r="AD266" s="157"/>
      <c r="AG266" s="157"/>
      <c r="AH266" s="157"/>
      <c r="AI266" s="157"/>
    </row>
    <row r="267" spans="2:35" x14ac:dyDescent="0.3">
      <c r="B267" s="146"/>
      <c r="C267" s="146"/>
      <c r="D267" s="146"/>
      <c r="E267" s="146"/>
      <c r="F267" s="146"/>
      <c r="G267" s="146"/>
      <c r="H267" s="146"/>
      <c r="I267" s="146"/>
      <c r="J267" s="146"/>
      <c r="K267" s="146"/>
      <c r="L267" s="146"/>
      <c r="R267" s="157"/>
      <c r="S267" s="157"/>
      <c r="T267" s="157"/>
      <c r="W267" s="157"/>
      <c r="X267" s="157"/>
      <c r="Y267" s="157"/>
      <c r="AB267" s="157"/>
      <c r="AC267" s="157"/>
      <c r="AD267" s="157"/>
      <c r="AG267" s="157"/>
      <c r="AH267" s="157"/>
      <c r="AI267" s="157"/>
    </row>
    <row r="268" spans="2:35" x14ac:dyDescent="0.3">
      <c r="B268" s="146"/>
      <c r="C268" s="146"/>
      <c r="D268" s="146"/>
      <c r="E268" s="146"/>
      <c r="F268" s="146"/>
      <c r="G268" s="146"/>
      <c r="H268" s="146"/>
      <c r="I268" s="146"/>
      <c r="J268" s="146"/>
      <c r="K268" s="146"/>
      <c r="L268" s="146"/>
      <c r="R268" s="157"/>
      <c r="S268" s="157"/>
      <c r="T268" s="157"/>
      <c r="W268" s="157"/>
      <c r="X268" s="157"/>
      <c r="Y268" s="157"/>
      <c r="AB268" s="157"/>
      <c r="AC268" s="157"/>
      <c r="AD268" s="157"/>
      <c r="AG268" s="157"/>
      <c r="AH268" s="157"/>
      <c r="AI268" s="157"/>
    </row>
    <row r="269" spans="2:35" x14ac:dyDescent="0.3">
      <c r="B269" s="146"/>
      <c r="C269" s="146"/>
      <c r="D269" s="146"/>
      <c r="E269" s="146"/>
      <c r="F269" s="146"/>
      <c r="G269" s="146"/>
      <c r="H269" s="146"/>
      <c r="I269" s="146"/>
      <c r="J269" s="146"/>
      <c r="K269" s="146"/>
      <c r="L269" s="146"/>
      <c r="R269" s="157"/>
      <c r="S269" s="157"/>
      <c r="T269" s="157"/>
      <c r="W269" s="157"/>
      <c r="X269" s="157"/>
      <c r="Y269" s="157"/>
      <c r="AB269" s="157"/>
      <c r="AC269" s="157"/>
      <c r="AD269" s="157"/>
      <c r="AG269" s="157"/>
      <c r="AH269" s="157"/>
      <c r="AI269" s="157"/>
    </row>
    <row r="270" spans="2:35" x14ac:dyDescent="0.3">
      <c r="B270" s="146"/>
      <c r="C270" s="146"/>
      <c r="D270" s="146"/>
      <c r="E270" s="146"/>
      <c r="F270" s="146"/>
      <c r="G270" s="146"/>
      <c r="H270" s="146"/>
      <c r="I270" s="146"/>
      <c r="J270" s="146"/>
      <c r="K270" s="146"/>
      <c r="L270" s="146"/>
      <c r="R270" s="157"/>
      <c r="S270" s="157"/>
      <c r="T270" s="157"/>
      <c r="W270" s="157"/>
      <c r="X270" s="157"/>
      <c r="Y270" s="157"/>
      <c r="AB270" s="157"/>
      <c r="AC270" s="157"/>
      <c r="AD270" s="157"/>
      <c r="AG270" s="157"/>
      <c r="AH270" s="157"/>
      <c r="AI270" s="157"/>
    </row>
    <row r="271" spans="2:35" x14ac:dyDescent="0.3">
      <c r="B271" s="146"/>
      <c r="C271" s="146"/>
      <c r="D271" s="146"/>
      <c r="E271" s="146"/>
      <c r="F271" s="146"/>
      <c r="G271" s="146"/>
      <c r="H271" s="146"/>
      <c r="I271" s="146"/>
      <c r="J271" s="146"/>
      <c r="K271" s="146"/>
      <c r="L271" s="146"/>
      <c r="R271" s="157"/>
      <c r="S271" s="157"/>
      <c r="T271" s="157"/>
      <c r="W271" s="157"/>
      <c r="X271" s="157"/>
      <c r="Y271" s="157"/>
      <c r="AB271" s="157"/>
      <c r="AC271" s="157"/>
      <c r="AD271" s="157"/>
      <c r="AG271" s="157"/>
      <c r="AH271" s="157"/>
      <c r="AI271" s="157"/>
    </row>
    <row r="272" spans="2:35" x14ac:dyDescent="0.3">
      <c r="B272" s="146"/>
      <c r="C272" s="146"/>
      <c r="D272" s="146"/>
      <c r="E272" s="146"/>
      <c r="F272" s="146"/>
      <c r="G272" s="146"/>
      <c r="H272" s="146"/>
      <c r="I272" s="146"/>
      <c r="J272" s="146"/>
      <c r="K272" s="146"/>
      <c r="L272" s="146"/>
      <c r="R272" s="157"/>
      <c r="S272" s="157"/>
      <c r="T272" s="157"/>
      <c r="W272" s="157"/>
      <c r="X272" s="157"/>
      <c r="Y272" s="157"/>
      <c r="AB272" s="157"/>
      <c r="AC272" s="157"/>
      <c r="AD272" s="157"/>
      <c r="AG272" s="157"/>
      <c r="AH272" s="157"/>
      <c r="AI272" s="157"/>
    </row>
    <row r="273" spans="2:35" x14ac:dyDescent="0.3">
      <c r="B273" s="146"/>
      <c r="C273" s="146"/>
      <c r="D273" s="146"/>
      <c r="E273" s="146"/>
      <c r="F273" s="146"/>
      <c r="G273" s="146"/>
      <c r="H273" s="146"/>
      <c r="I273" s="146"/>
      <c r="J273" s="146"/>
      <c r="K273" s="146"/>
      <c r="L273" s="146"/>
      <c r="R273" s="157"/>
      <c r="S273" s="157"/>
      <c r="T273" s="157"/>
      <c r="W273" s="157"/>
      <c r="X273" s="157"/>
      <c r="Y273" s="157"/>
      <c r="AB273" s="157"/>
      <c r="AC273" s="157"/>
      <c r="AD273" s="157"/>
      <c r="AG273" s="157"/>
      <c r="AH273" s="157"/>
      <c r="AI273" s="157"/>
    </row>
    <row r="274" spans="2:35" x14ac:dyDescent="0.3">
      <c r="B274" s="146"/>
      <c r="C274" s="146"/>
      <c r="D274" s="146"/>
      <c r="E274" s="146"/>
      <c r="F274" s="146"/>
      <c r="G274" s="146"/>
      <c r="H274" s="146"/>
      <c r="I274" s="146"/>
      <c r="J274" s="146"/>
      <c r="K274" s="146"/>
      <c r="L274" s="146"/>
      <c r="R274" s="157"/>
      <c r="S274" s="157"/>
      <c r="T274" s="157"/>
      <c r="W274" s="157"/>
      <c r="X274" s="157"/>
      <c r="Y274" s="157"/>
      <c r="AB274" s="157"/>
      <c r="AC274" s="157"/>
      <c r="AD274" s="157"/>
      <c r="AG274" s="157"/>
      <c r="AH274" s="157"/>
      <c r="AI274" s="157"/>
    </row>
    <row r="275" spans="2:35" x14ac:dyDescent="0.3">
      <c r="B275" s="146"/>
      <c r="C275" s="146"/>
      <c r="D275" s="146"/>
      <c r="E275" s="146"/>
      <c r="F275" s="146"/>
      <c r="G275" s="146"/>
      <c r="H275" s="146"/>
      <c r="I275" s="146"/>
      <c r="J275" s="146"/>
      <c r="K275" s="146"/>
      <c r="L275" s="146"/>
      <c r="R275" s="157"/>
      <c r="S275" s="157"/>
      <c r="T275" s="157"/>
      <c r="W275" s="157"/>
      <c r="X275" s="157"/>
      <c r="Y275" s="157"/>
      <c r="AB275" s="157"/>
      <c r="AC275" s="157"/>
      <c r="AD275" s="157"/>
      <c r="AG275" s="157"/>
      <c r="AH275" s="157"/>
      <c r="AI275" s="157"/>
    </row>
    <row r="276" spans="2:35" x14ac:dyDescent="0.3">
      <c r="B276" s="146"/>
      <c r="C276" s="146"/>
      <c r="D276" s="146"/>
      <c r="E276" s="146"/>
      <c r="F276" s="146"/>
      <c r="G276" s="146"/>
      <c r="H276" s="146"/>
      <c r="I276" s="146"/>
      <c r="J276" s="146"/>
      <c r="K276" s="146"/>
      <c r="L276" s="146"/>
      <c r="R276" s="157"/>
      <c r="S276" s="157"/>
      <c r="T276" s="157"/>
      <c r="W276" s="157"/>
      <c r="X276" s="157"/>
      <c r="Y276" s="157"/>
      <c r="AB276" s="157"/>
      <c r="AC276" s="157"/>
      <c r="AD276" s="157"/>
      <c r="AG276" s="157"/>
      <c r="AH276" s="157"/>
      <c r="AI276" s="157"/>
    </row>
    <row r="277" spans="2:35" x14ac:dyDescent="0.3">
      <c r="B277" s="146"/>
      <c r="C277" s="146"/>
      <c r="D277" s="146"/>
      <c r="E277" s="146"/>
      <c r="F277" s="146"/>
      <c r="G277" s="146"/>
      <c r="H277" s="146"/>
      <c r="I277" s="146"/>
      <c r="J277" s="146"/>
      <c r="K277" s="146"/>
      <c r="L277" s="146"/>
      <c r="R277" s="157"/>
      <c r="S277" s="157"/>
      <c r="T277" s="157"/>
      <c r="W277" s="157"/>
      <c r="X277" s="157"/>
      <c r="Y277" s="157"/>
      <c r="AB277" s="157"/>
      <c r="AC277" s="157"/>
      <c r="AD277" s="157"/>
      <c r="AG277" s="157"/>
      <c r="AH277" s="157"/>
      <c r="AI277" s="157"/>
    </row>
    <row r="278" spans="2:35" x14ac:dyDescent="0.3">
      <c r="B278" s="146"/>
      <c r="C278" s="146"/>
      <c r="D278" s="146"/>
      <c r="E278" s="146"/>
      <c r="F278" s="146"/>
      <c r="G278" s="146"/>
      <c r="H278" s="146"/>
      <c r="I278" s="146"/>
      <c r="J278" s="146"/>
      <c r="K278" s="146"/>
      <c r="L278" s="146"/>
      <c r="R278" s="157"/>
      <c r="S278" s="157"/>
      <c r="T278" s="157"/>
      <c r="W278" s="157"/>
      <c r="X278" s="157"/>
      <c r="Y278" s="157"/>
      <c r="AB278" s="157"/>
      <c r="AC278" s="157"/>
      <c r="AD278" s="157"/>
      <c r="AG278" s="157"/>
      <c r="AH278" s="157"/>
      <c r="AI278" s="157"/>
    </row>
    <row r="279" spans="2:35" x14ac:dyDescent="0.3">
      <c r="B279" s="146"/>
      <c r="C279" s="146"/>
      <c r="D279" s="146"/>
      <c r="E279" s="146"/>
      <c r="F279" s="146"/>
      <c r="G279" s="146"/>
      <c r="H279" s="146"/>
      <c r="I279" s="146"/>
      <c r="J279" s="146"/>
      <c r="K279" s="146"/>
      <c r="L279" s="146"/>
      <c r="R279" s="157"/>
      <c r="S279" s="157"/>
      <c r="T279" s="157"/>
      <c r="W279" s="157"/>
      <c r="X279" s="157"/>
      <c r="Y279" s="157"/>
      <c r="AB279" s="157"/>
      <c r="AC279" s="157"/>
      <c r="AD279" s="157"/>
      <c r="AG279" s="157"/>
      <c r="AH279" s="157"/>
      <c r="AI279" s="157"/>
    </row>
    <row r="280" spans="2:35" x14ac:dyDescent="0.3">
      <c r="B280" s="146"/>
      <c r="C280" s="146"/>
      <c r="D280" s="146"/>
      <c r="E280" s="146"/>
      <c r="F280" s="146"/>
      <c r="G280" s="146"/>
      <c r="H280" s="146"/>
      <c r="I280" s="146"/>
      <c r="J280" s="146"/>
      <c r="K280" s="146"/>
      <c r="L280" s="146"/>
      <c r="R280" s="157"/>
      <c r="S280" s="157"/>
      <c r="T280" s="157"/>
      <c r="W280" s="157"/>
      <c r="X280" s="157"/>
      <c r="Y280" s="157"/>
      <c r="AB280" s="157"/>
      <c r="AC280" s="157"/>
      <c r="AD280" s="157"/>
      <c r="AG280" s="157"/>
      <c r="AH280" s="157"/>
      <c r="AI280" s="157"/>
    </row>
    <row r="281" spans="2:35" x14ac:dyDescent="0.3">
      <c r="B281" s="146"/>
      <c r="C281" s="146"/>
      <c r="D281" s="146"/>
      <c r="E281" s="146"/>
      <c r="F281" s="146"/>
      <c r="G281" s="146"/>
      <c r="H281" s="146"/>
      <c r="I281" s="146"/>
      <c r="J281" s="146"/>
      <c r="K281" s="146"/>
      <c r="L281" s="146"/>
      <c r="R281" s="157"/>
      <c r="S281" s="157"/>
      <c r="T281" s="157"/>
      <c r="W281" s="157"/>
      <c r="X281" s="157"/>
      <c r="Y281" s="157"/>
      <c r="AB281" s="157"/>
      <c r="AC281" s="157"/>
      <c r="AD281" s="157"/>
      <c r="AG281" s="157"/>
      <c r="AH281" s="157"/>
      <c r="AI281" s="157"/>
    </row>
    <row r="282" spans="2:35" x14ac:dyDescent="0.3">
      <c r="B282" s="146"/>
      <c r="C282" s="146"/>
      <c r="D282" s="146"/>
      <c r="E282" s="146"/>
      <c r="F282" s="146"/>
      <c r="G282" s="146"/>
      <c r="H282" s="146"/>
      <c r="I282" s="146"/>
      <c r="J282" s="146"/>
      <c r="K282" s="146"/>
      <c r="L282" s="146"/>
      <c r="R282" s="157"/>
      <c r="S282" s="157"/>
      <c r="T282" s="157"/>
      <c r="W282" s="157"/>
      <c r="X282" s="157"/>
      <c r="Y282" s="157"/>
      <c r="AB282" s="157"/>
      <c r="AC282" s="157"/>
      <c r="AD282" s="157"/>
      <c r="AG282" s="157"/>
      <c r="AH282" s="157"/>
      <c r="AI282" s="157"/>
    </row>
    <row r="283" spans="2:35" x14ac:dyDescent="0.3">
      <c r="B283" s="146"/>
      <c r="C283" s="146"/>
      <c r="D283" s="146"/>
      <c r="E283" s="146"/>
      <c r="F283" s="146"/>
      <c r="G283" s="146"/>
      <c r="H283" s="146"/>
      <c r="I283" s="146"/>
      <c r="J283" s="146"/>
      <c r="K283" s="146"/>
      <c r="L283" s="146"/>
      <c r="R283" s="157"/>
      <c r="S283" s="157"/>
      <c r="T283" s="157"/>
      <c r="W283" s="157"/>
      <c r="X283" s="157"/>
      <c r="Y283" s="157"/>
      <c r="AB283" s="157"/>
      <c r="AC283" s="157"/>
      <c r="AD283" s="157"/>
      <c r="AG283" s="157"/>
      <c r="AH283" s="157"/>
      <c r="AI283" s="157"/>
    </row>
    <row r="284" spans="2:35" x14ac:dyDescent="0.3">
      <c r="B284" s="146"/>
      <c r="C284" s="146"/>
      <c r="D284" s="146"/>
      <c r="E284" s="146"/>
      <c r="F284" s="146"/>
      <c r="G284" s="146"/>
      <c r="H284" s="146"/>
      <c r="I284" s="146"/>
      <c r="J284" s="146"/>
      <c r="K284" s="146"/>
      <c r="L284" s="146"/>
      <c r="R284" s="157"/>
      <c r="S284" s="157"/>
      <c r="T284" s="157"/>
      <c r="W284" s="157"/>
      <c r="X284" s="157"/>
      <c r="Y284" s="157"/>
      <c r="AB284" s="157"/>
      <c r="AC284" s="157"/>
      <c r="AD284" s="157"/>
      <c r="AG284" s="157"/>
      <c r="AH284" s="157"/>
      <c r="AI284" s="157"/>
    </row>
    <row r="285" spans="2:35" x14ac:dyDescent="0.3">
      <c r="B285" s="146"/>
      <c r="C285" s="146"/>
      <c r="D285" s="146"/>
      <c r="E285" s="146"/>
      <c r="F285" s="146"/>
      <c r="G285" s="146"/>
      <c r="H285" s="146"/>
      <c r="I285" s="146"/>
      <c r="J285" s="146"/>
      <c r="K285" s="146"/>
      <c r="L285" s="146"/>
      <c r="R285" s="157"/>
      <c r="S285" s="157"/>
      <c r="T285" s="157"/>
      <c r="W285" s="157"/>
      <c r="X285" s="157"/>
      <c r="Y285" s="157"/>
      <c r="AB285" s="157"/>
      <c r="AC285" s="157"/>
      <c r="AD285" s="157"/>
      <c r="AG285" s="157"/>
      <c r="AH285" s="157"/>
      <c r="AI285" s="157"/>
    </row>
    <row r="286" spans="2:35" x14ac:dyDescent="0.3">
      <c r="B286" s="146"/>
      <c r="C286" s="146"/>
      <c r="D286" s="146"/>
      <c r="E286" s="146"/>
      <c r="F286" s="146"/>
      <c r="G286" s="146"/>
      <c r="H286" s="146"/>
      <c r="I286" s="146"/>
      <c r="J286" s="146"/>
      <c r="K286" s="146"/>
      <c r="L286" s="146"/>
      <c r="R286" s="157"/>
      <c r="S286" s="157"/>
      <c r="T286" s="157"/>
      <c r="W286" s="157"/>
      <c r="X286" s="157"/>
      <c r="Y286" s="157"/>
      <c r="AB286" s="157"/>
      <c r="AC286" s="157"/>
      <c r="AD286" s="157"/>
      <c r="AG286" s="157"/>
      <c r="AH286" s="157"/>
      <c r="AI286" s="157"/>
    </row>
    <row r="287" spans="2:35" x14ac:dyDescent="0.3">
      <c r="B287" s="146"/>
      <c r="C287" s="146"/>
      <c r="D287" s="146"/>
      <c r="E287" s="146"/>
      <c r="F287" s="146"/>
      <c r="G287" s="146"/>
      <c r="H287" s="146"/>
      <c r="I287" s="146"/>
      <c r="J287" s="146"/>
      <c r="K287" s="146"/>
      <c r="L287" s="146"/>
      <c r="R287" s="157"/>
      <c r="S287" s="157"/>
      <c r="T287" s="157"/>
      <c r="W287" s="157"/>
      <c r="X287" s="157"/>
      <c r="Y287" s="157"/>
      <c r="AB287" s="157"/>
      <c r="AC287" s="157"/>
      <c r="AD287" s="157"/>
      <c r="AG287" s="157"/>
      <c r="AH287" s="157"/>
      <c r="AI287" s="157"/>
    </row>
    <row r="288" spans="2:35" x14ac:dyDescent="0.3">
      <c r="B288" s="146"/>
      <c r="C288" s="146"/>
      <c r="D288" s="146"/>
      <c r="E288" s="146"/>
      <c r="F288" s="146"/>
      <c r="G288" s="146"/>
      <c r="H288" s="146"/>
      <c r="I288" s="146"/>
      <c r="J288" s="146"/>
      <c r="K288" s="146"/>
      <c r="L288" s="146"/>
      <c r="R288" s="157"/>
      <c r="S288" s="157"/>
      <c r="T288" s="157"/>
      <c r="W288" s="157"/>
      <c r="X288" s="157"/>
      <c r="Y288" s="157"/>
      <c r="AB288" s="157"/>
      <c r="AC288" s="157"/>
      <c r="AD288" s="157"/>
      <c r="AG288" s="157"/>
      <c r="AH288" s="157"/>
      <c r="AI288" s="157"/>
    </row>
    <row r="289" spans="2:35" x14ac:dyDescent="0.3">
      <c r="B289" s="146"/>
      <c r="C289" s="146"/>
      <c r="D289" s="146"/>
      <c r="E289" s="146"/>
      <c r="F289" s="146"/>
      <c r="G289" s="146"/>
      <c r="H289" s="146"/>
      <c r="I289" s="146"/>
      <c r="J289" s="146"/>
      <c r="K289" s="146"/>
      <c r="L289" s="146"/>
      <c r="R289" s="157"/>
      <c r="S289" s="157"/>
      <c r="T289" s="157"/>
      <c r="W289" s="157"/>
      <c r="X289" s="157"/>
      <c r="Y289" s="157"/>
      <c r="AB289" s="157"/>
      <c r="AC289" s="157"/>
      <c r="AD289" s="157"/>
      <c r="AG289" s="157"/>
      <c r="AH289" s="157"/>
      <c r="AI289" s="157"/>
    </row>
    <row r="290" spans="2:35" x14ac:dyDescent="0.3">
      <c r="B290" s="146"/>
      <c r="C290" s="146"/>
      <c r="D290" s="146"/>
      <c r="E290" s="146"/>
      <c r="F290" s="146"/>
      <c r="G290" s="146"/>
      <c r="H290" s="146"/>
      <c r="I290" s="146"/>
      <c r="J290" s="146"/>
      <c r="K290" s="146"/>
      <c r="L290" s="146"/>
      <c r="R290" s="157"/>
      <c r="S290" s="157"/>
      <c r="T290" s="157"/>
      <c r="W290" s="157"/>
      <c r="X290" s="157"/>
      <c r="Y290" s="157"/>
      <c r="AB290" s="157"/>
      <c r="AC290" s="157"/>
      <c r="AD290" s="157"/>
      <c r="AG290" s="157"/>
      <c r="AH290" s="157"/>
      <c r="AI290" s="157"/>
    </row>
    <row r="291" spans="2:35" x14ac:dyDescent="0.3">
      <c r="B291" s="146"/>
      <c r="C291" s="146"/>
      <c r="D291" s="146"/>
      <c r="E291" s="146"/>
      <c r="F291" s="146"/>
      <c r="G291" s="146"/>
      <c r="H291" s="146"/>
      <c r="I291" s="146"/>
      <c r="J291" s="146"/>
      <c r="K291" s="146"/>
      <c r="L291" s="146"/>
      <c r="R291" s="157"/>
      <c r="S291" s="157"/>
      <c r="T291" s="157"/>
      <c r="W291" s="157"/>
      <c r="X291" s="157"/>
      <c r="Y291" s="157"/>
      <c r="AB291" s="157"/>
      <c r="AC291" s="157"/>
      <c r="AD291" s="157"/>
      <c r="AG291" s="157"/>
      <c r="AH291" s="157"/>
      <c r="AI291" s="157"/>
    </row>
    <row r="292" spans="2:35" x14ac:dyDescent="0.3">
      <c r="B292" s="146"/>
      <c r="C292" s="146"/>
      <c r="D292" s="146"/>
      <c r="E292" s="146"/>
      <c r="F292" s="146"/>
      <c r="G292" s="146"/>
      <c r="H292" s="146"/>
      <c r="I292" s="146"/>
      <c r="J292" s="146"/>
      <c r="K292" s="146"/>
      <c r="L292" s="146"/>
      <c r="R292" s="157"/>
      <c r="S292" s="157"/>
      <c r="T292" s="157"/>
      <c r="W292" s="157"/>
      <c r="X292" s="157"/>
      <c r="Y292" s="157"/>
      <c r="AB292" s="157"/>
      <c r="AC292" s="157"/>
      <c r="AD292" s="157"/>
      <c r="AG292" s="157"/>
      <c r="AH292" s="157"/>
      <c r="AI292" s="157"/>
    </row>
    <row r="293" spans="2:35" x14ac:dyDescent="0.3">
      <c r="B293" s="146"/>
      <c r="C293" s="146"/>
      <c r="D293" s="146"/>
      <c r="E293" s="146"/>
      <c r="F293" s="146"/>
      <c r="G293" s="146"/>
      <c r="H293" s="146"/>
      <c r="I293" s="146"/>
      <c r="J293" s="146"/>
      <c r="K293" s="146"/>
      <c r="L293" s="146"/>
      <c r="R293" s="157"/>
      <c r="S293" s="157"/>
      <c r="T293" s="157"/>
      <c r="W293" s="157"/>
      <c r="X293" s="157"/>
      <c r="Y293" s="157"/>
      <c r="AB293" s="157"/>
      <c r="AC293" s="157"/>
      <c r="AD293" s="157"/>
      <c r="AG293" s="157"/>
      <c r="AH293" s="157"/>
      <c r="AI293" s="157"/>
    </row>
    <row r="294" spans="2:35" x14ac:dyDescent="0.3">
      <c r="B294" s="146"/>
      <c r="C294" s="146"/>
      <c r="D294" s="146"/>
      <c r="E294" s="146"/>
      <c r="F294" s="146"/>
      <c r="G294" s="146"/>
      <c r="H294" s="146"/>
      <c r="I294" s="146"/>
      <c r="J294" s="146"/>
      <c r="K294" s="146"/>
      <c r="L294" s="146"/>
      <c r="R294" s="157"/>
      <c r="S294" s="157"/>
      <c r="T294" s="157"/>
      <c r="W294" s="157"/>
      <c r="X294" s="157"/>
      <c r="Y294" s="157"/>
      <c r="AB294" s="157"/>
      <c r="AC294" s="157"/>
      <c r="AD294" s="157"/>
      <c r="AG294" s="157"/>
      <c r="AH294" s="157"/>
      <c r="AI294" s="157"/>
    </row>
    <row r="295" spans="2:35" x14ac:dyDescent="0.3">
      <c r="B295" s="146"/>
      <c r="C295" s="146"/>
      <c r="D295" s="146"/>
      <c r="E295" s="146"/>
      <c r="F295" s="146"/>
      <c r="G295" s="146"/>
      <c r="H295" s="146"/>
      <c r="I295" s="146"/>
      <c r="J295" s="146"/>
      <c r="K295" s="146"/>
      <c r="L295" s="146"/>
      <c r="R295" s="157"/>
      <c r="S295" s="157"/>
      <c r="T295" s="157"/>
      <c r="W295" s="157"/>
      <c r="X295" s="157"/>
      <c r="Y295" s="157"/>
      <c r="AB295" s="157"/>
      <c r="AC295" s="157"/>
      <c r="AD295" s="157"/>
      <c r="AG295" s="157"/>
      <c r="AH295" s="157"/>
      <c r="AI295" s="157"/>
    </row>
    <row r="296" spans="2:35" x14ac:dyDescent="0.3">
      <c r="B296" s="146"/>
      <c r="C296" s="146"/>
      <c r="D296" s="146"/>
      <c r="E296" s="146"/>
      <c r="F296" s="146"/>
      <c r="G296" s="146"/>
      <c r="H296" s="146"/>
      <c r="I296" s="146"/>
      <c r="J296" s="146"/>
      <c r="K296" s="146"/>
      <c r="L296" s="146"/>
      <c r="R296" s="157"/>
      <c r="S296" s="157"/>
      <c r="T296" s="157"/>
      <c r="W296" s="157"/>
      <c r="X296" s="157"/>
      <c r="Y296" s="157"/>
      <c r="AB296" s="157"/>
      <c r="AC296" s="157"/>
      <c r="AD296" s="157"/>
      <c r="AG296" s="157"/>
      <c r="AH296" s="157"/>
      <c r="AI296" s="157"/>
    </row>
    <row r="297" spans="2:35" x14ac:dyDescent="0.3">
      <c r="B297" s="146"/>
      <c r="C297" s="146"/>
      <c r="D297" s="146"/>
      <c r="E297" s="146"/>
      <c r="F297" s="146"/>
      <c r="G297" s="146"/>
      <c r="H297" s="146"/>
      <c r="I297" s="146"/>
      <c r="J297" s="146"/>
      <c r="K297" s="146"/>
      <c r="L297" s="146"/>
      <c r="R297" s="157"/>
      <c r="S297" s="157"/>
      <c r="T297" s="157"/>
      <c r="W297" s="157"/>
      <c r="X297" s="157"/>
      <c r="Y297" s="157"/>
      <c r="AB297" s="157"/>
      <c r="AC297" s="157"/>
      <c r="AD297" s="157"/>
      <c r="AG297" s="157"/>
      <c r="AH297" s="157"/>
      <c r="AI297" s="157"/>
    </row>
    <row r="298" spans="2:35" x14ac:dyDescent="0.3">
      <c r="B298" s="146"/>
      <c r="C298" s="146"/>
      <c r="D298" s="146"/>
      <c r="E298" s="146"/>
      <c r="F298" s="146"/>
      <c r="G298" s="146"/>
      <c r="H298" s="146"/>
      <c r="I298" s="146"/>
      <c r="J298" s="146"/>
      <c r="K298" s="146"/>
      <c r="L298" s="146"/>
      <c r="R298" s="157"/>
      <c r="S298" s="157"/>
      <c r="T298" s="157"/>
      <c r="W298" s="157"/>
      <c r="X298" s="157"/>
      <c r="Y298" s="157"/>
      <c r="AB298" s="157"/>
      <c r="AC298" s="157"/>
      <c r="AD298" s="157"/>
      <c r="AG298" s="157"/>
      <c r="AH298" s="157"/>
      <c r="AI298" s="157"/>
    </row>
    <row r="299" spans="2:35" x14ac:dyDescent="0.3">
      <c r="B299" s="146"/>
      <c r="C299" s="146"/>
      <c r="D299" s="146"/>
      <c r="E299" s="146"/>
      <c r="F299" s="146"/>
      <c r="G299" s="146"/>
      <c r="H299" s="146"/>
      <c r="I299" s="146"/>
      <c r="J299" s="146"/>
      <c r="K299" s="146"/>
      <c r="L299" s="146"/>
      <c r="R299" s="157"/>
      <c r="S299" s="157"/>
      <c r="T299" s="157"/>
      <c r="W299" s="157"/>
      <c r="X299" s="157"/>
      <c r="Y299" s="157"/>
      <c r="AB299" s="157"/>
      <c r="AC299" s="157"/>
      <c r="AD299" s="157"/>
      <c r="AG299" s="157"/>
      <c r="AH299" s="157"/>
      <c r="AI299" s="157"/>
    </row>
    <row r="300" spans="2:35" x14ac:dyDescent="0.3">
      <c r="B300" s="146"/>
      <c r="C300" s="146"/>
      <c r="D300" s="146"/>
      <c r="E300" s="146"/>
      <c r="F300" s="146"/>
      <c r="G300" s="146"/>
      <c r="H300" s="146"/>
      <c r="I300" s="146"/>
      <c r="J300" s="146"/>
      <c r="K300" s="146"/>
      <c r="L300" s="146"/>
      <c r="R300" s="157"/>
      <c r="S300" s="157"/>
      <c r="T300" s="157"/>
      <c r="W300" s="157"/>
      <c r="X300" s="157"/>
      <c r="Y300" s="157"/>
      <c r="AB300" s="157"/>
      <c r="AC300" s="157"/>
      <c r="AD300" s="157"/>
      <c r="AG300" s="157"/>
      <c r="AH300" s="157"/>
      <c r="AI300" s="157"/>
    </row>
    <row r="301" spans="2:35" x14ac:dyDescent="0.3">
      <c r="B301" s="146"/>
      <c r="C301" s="146"/>
      <c r="D301" s="146"/>
      <c r="E301" s="146"/>
      <c r="F301" s="146"/>
      <c r="G301" s="146"/>
      <c r="H301" s="146"/>
      <c r="I301" s="146"/>
      <c r="J301" s="146"/>
      <c r="K301" s="146"/>
      <c r="L301" s="146"/>
      <c r="R301" s="157"/>
      <c r="S301" s="157"/>
      <c r="T301" s="157"/>
      <c r="W301" s="157"/>
      <c r="X301" s="157"/>
      <c r="Y301" s="157"/>
      <c r="AB301" s="157"/>
      <c r="AC301" s="157"/>
      <c r="AD301" s="157"/>
      <c r="AG301" s="157"/>
      <c r="AH301" s="157"/>
      <c r="AI301" s="157"/>
    </row>
    <row r="302" spans="2:35" x14ac:dyDescent="0.3">
      <c r="B302" s="146"/>
      <c r="C302" s="146"/>
      <c r="D302" s="146"/>
      <c r="E302" s="146"/>
      <c r="F302" s="146"/>
      <c r="G302" s="146"/>
      <c r="H302" s="146"/>
      <c r="I302" s="146"/>
      <c r="J302" s="146"/>
      <c r="K302" s="146"/>
      <c r="L302" s="146"/>
      <c r="R302" s="157"/>
      <c r="S302" s="157"/>
      <c r="T302" s="157"/>
      <c r="W302" s="157"/>
      <c r="X302" s="157"/>
      <c r="Y302" s="157"/>
      <c r="AB302" s="157"/>
      <c r="AC302" s="157"/>
      <c r="AD302" s="157"/>
      <c r="AG302" s="157"/>
      <c r="AH302" s="157"/>
      <c r="AI302" s="157"/>
    </row>
    <row r="303" spans="2:35" x14ac:dyDescent="0.3">
      <c r="B303" s="146"/>
      <c r="C303" s="146"/>
      <c r="D303" s="146"/>
      <c r="E303" s="146"/>
      <c r="F303" s="146"/>
      <c r="G303" s="146"/>
      <c r="H303" s="146"/>
      <c r="I303" s="146"/>
      <c r="J303" s="146"/>
      <c r="K303" s="146"/>
      <c r="L303" s="146"/>
      <c r="R303" s="157"/>
      <c r="S303" s="157"/>
      <c r="T303" s="157"/>
      <c r="W303" s="157"/>
      <c r="X303" s="157"/>
      <c r="Y303" s="157"/>
      <c r="AB303" s="157"/>
      <c r="AC303" s="157"/>
      <c r="AD303" s="157"/>
      <c r="AG303" s="157"/>
      <c r="AH303" s="157"/>
      <c r="AI303" s="157"/>
    </row>
    <row r="304" spans="2:35" x14ac:dyDescent="0.3">
      <c r="B304" s="146"/>
      <c r="C304" s="146"/>
      <c r="D304" s="146"/>
      <c r="E304" s="146"/>
      <c r="F304" s="146"/>
      <c r="G304" s="146"/>
      <c r="H304" s="146"/>
      <c r="I304" s="146"/>
      <c r="J304" s="146"/>
      <c r="K304" s="146"/>
      <c r="L304" s="146"/>
      <c r="R304" s="157"/>
      <c r="S304" s="157"/>
      <c r="T304" s="157"/>
      <c r="W304" s="157"/>
      <c r="X304" s="157"/>
      <c r="Y304" s="157"/>
      <c r="AB304" s="157"/>
      <c r="AC304" s="157"/>
      <c r="AD304" s="157"/>
      <c r="AG304" s="157"/>
      <c r="AH304" s="157"/>
      <c r="AI304" s="157"/>
    </row>
    <row r="305" spans="2:35" x14ac:dyDescent="0.3">
      <c r="B305" s="146"/>
      <c r="C305" s="146"/>
      <c r="D305" s="146"/>
      <c r="E305" s="146"/>
      <c r="F305" s="146"/>
      <c r="G305" s="146"/>
      <c r="H305" s="146"/>
      <c r="I305" s="146"/>
      <c r="J305" s="146"/>
      <c r="K305" s="146"/>
      <c r="L305" s="146"/>
      <c r="R305" s="157"/>
      <c r="S305" s="157"/>
      <c r="T305" s="157"/>
      <c r="W305" s="157"/>
      <c r="X305" s="157"/>
      <c r="Y305" s="157"/>
      <c r="AB305" s="157"/>
      <c r="AC305" s="157"/>
      <c r="AD305" s="157"/>
      <c r="AG305" s="157"/>
      <c r="AH305" s="157"/>
      <c r="AI305" s="157"/>
    </row>
    <row r="306" spans="2:35" x14ac:dyDescent="0.3">
      <c r="B306" s="146"/>
      <c r="C306" s="146"/>
      <c r="D306" s="146"/>
      <c r="E306" s="146"/>
      <c r="F306" s="146"/>
      <c r="G306" s="146"/>
      <c r="H306" s="146"/>
      <c r="I306" s="146"/>
      <c r="J306" s="146"/>
      <c r="K306" s="146"/>
      <c r="L306" s="146"/>
      <c r="R306" s="157"/>
      <c r="S306" s="157"/>
      <c r="T306" s="157"/>
      <c r="W306" s="157"/>
      <c r="X306" s="157"/>
      <c r="Y306" s="157"/>
      <c r="AB306" s="157"/>
      <c r="AC306" s="157"/>
      <c r="AD306" s="157"/>
      <c r="AG306" s="157"/>
      <c r="AH306" s="157"/>
      <c r="AI306" s="157"/>
    </row>
    <row r="307" spans="2:35" x14ac:dyDescent="0.3">
      <c r="B307" s="146"/>
      <c r="C307" s="146"/>
      <c r="D307" s="146"/>
      <c r="E307" s="146"/>
      <c r="F307" s="146"/>
      <c r="G307" s="146"/>
      <c r="H307" s="146"/>
      <c r="I307" s="146"/>
      <c r="J307" s="146"/>
      <c r="K307" s="146"/>
      <c r="L307" s="146"/>
      <c r="R307" s="157"/>
      <c r="S307" s="157"/>
      <c r="T307" s="157"/>
      <c r="W307" s="157"/>
      <c r="X307" s="157"/>
      <c r="Y307" s="157"/>
      <c r="AB307" s="157"/>
      <c r="AC307" s="157"/>
      <c r="AD307" s="157"/>
      <c r="AG307" s="157"/>
      <c r="AH307" s="157"/>
      <c r="AI307" s="157"/>
    </row>
    <row r="308" spans="2:35" x14ac:dyDescent="0.3">
      <c r="B308" s="146"/>
      <c r="C308" s="146"/>
      <c r="D308" s="146"/>
      <c r="E308" s="146"/>
      <c r="F308" s="146"/>
      <c r="G308" s="146"/>
      <c r="H308" s="146"/>
      <c r="I308" s="146"/>
      <c r="J308" s="146"/>
      <c r="K308" s="146"/>
      <c r="L308" s="146"/>
      <c r="R308" s="157"/>
      <c r="S308" s="157"/>
      <c r="T308" s="157"/>
      <c r="W308" s="157"/>
      <c r="X308" s="157"/>
      <c r="Y308" s="157"/>
      <c r="AB308" s="157"/>
      <c r="AC308" s="157"/>
      <c r="AD308" s="157"/>
      <c r="AG308" s="157"/>
      <c r="AH308" s="157"/>
      <c r="AI308" s="157"/>
    </row>
    <row r="309" spans="2:35" x14ac:dyDescent="0.3">
      <c r="B309" s="146"/>
      <c r="C309" s="146"/>
      <c r="D309" s="146"/>
      <c r="E309" s="146"/>
      <c r="F309" s="146"/>
      <c r="G309" s="146"/>
      <c r="H309" s="146"/>
      <c r="I309" s="146"/>
      <c r="J309" s="146"/>
      <c r="K309" s="146"/>
      <c r="L309" s="146"/>
      <c r="R309" s="157"/>
      <c r="S309" s="157"/>
      <c r="T309" s="157"/>
      <c r="W309" s="157"/>
      <c r="X309" s="157"/>
      <c r="Y309" s="157"/>
      <c r="AB309" s="157"/>
      <c r="AC309" s="157"/>
      <c r="AD309" s="157"/>
      <c r="AG309" s="157"/>
      <c r="AH309" s="157"/>
      <c r="AI309" s="157"/>
    </row>
    <row r="310" spans="2:35" x14ac:dyDescent="0.3">
      <c r="B310" s="146"/>
      <c r="C310" s="146"/>
      <c r="D310" s="146"/>
      <c r="E310" s="146"/>
      <c r="F310" s="146"/>
      <c r="G310" s="146"/>
      <c r="H310" s="146"/>
      <c r="I310" s="146"/>
      <c r="J310" s="146"/>
      <c r="K310" s="146"/>
      <c r="L310" s="146"/>
      <c r="R310" s="157"/>
      <c r="S310" s="157"/>
      <c r="T310" s="157"/>
      <c r="W310" s="157"/>
      <c r="X310" s="157"/>
      <c r="Y310" s="157"/>
      <c r="AB310" s="157"/>
      <c r="AC310" s="157"/>
      <c r="AD310" s="157"/>
      <c r="AG310" s="157"/>
      <c r="AH310" s="157"/>
      <c r="AI310" s="157"/>
    </row>
    <row r="311" spans="2:35" x14ac:dyDescent="0.3">
      <c r="B311" s="146"/>
      <c r="C311" s="146"/>
      <c r="D311" s="146"/>
      <c r="E311" s="146"/>
      <c r="F311" s="146"/>
      <c r="G311" s="146"/>
      <c r="H311" s="146"/>
      <c r="I311" s="146"/>
      <c r="J311" s="146"/>
      <c r="K311" s="146"/>
      <c r="L311" s="146"/>
      <c r="R311" s="157"/>
      <c r="S311" s="157"/>
      <c r="T311" s="157"/>
      <c r="W311" s="157"/>
      <c r="X311" s="157"/>
      <c r="Y311" s="157"/>
      <c r="AB311" s="157"/>
      <c r="AC311" s="157"/>
      <c r="AD311" s="157"/>
      <c r="AG311" s="157"/>
      <c r="AH311" s="157"/>
      <c r="AI311" s="157"/>
    </row>
    <row r="312" spans="2:35" x14ac:dyDescent="0.3">
      <c r="B312" s="146"/>
      <c r="C312" s="146"/>
      <c r="D312" s="146"/>
      <c r="E312" s="146"/>
      <c r="F312" s="146"/>
      <c r="G312" s="146"/>
      <c r="H312" s="146"/>
      <c r="I312" s="146"/>
      <c r="J312" s="146"/>
      <c r="K312" s="146"/>
      <c r="L312" s="146"/>
      <c r="R312" s="157"/>
      <c r="S312" s="157"/>
      <c r="T312" s="157"/>
      <c r="W312" s="157"/>
      <c r="X312" s="157"/>
      <c r="Y312" s="157"/>
      <c r="AB312" s="157"/>
      <c r="AC312" s="157"/>
      <c r="AD312" s="157"/>
      <c r="AG312" s="157"/>
      <c r="AH312" s="157"/>
      <c r="AI312" s="157"/>
    </row>
    <row r="313" spans="2:35" x14ac:dyDescent="0.3">
      <c r="B313" s="146"/>
      <c r="C313" s="146"/>
      <c r="D313" s="146"/>
      <c r="E313" s="146"/>
      <c r="F313" s="146"/>
      <c r="G313" s="146"/>
      <c r="H313" s="146"/>
      <c r="I313" s="146"/>
      <c r="J313" s="146"/>
      <c r="K313" s="146"/>
      <c r="L313" s="146"/>
      <c r="R313" s="157"/>
      <c r="S313" s="157"/>
      <c r="T313" s="157"/>
      <c r="W313" s="157"/>
      <c r="X313" s="157"/>
      <c r="Y313" s="157"/>
      <c r="AB313" s="157"/>
      <c r="AC313" s="157"/>
      <c r="AD313" s="157"/>
      <c r="AG313" s="157"/>
      <c r="AH313" s="157"/>
      <c r="AI313" s="157"/>
    </row>
    <row r="314" spans="2:35" x14ac:dyDescent="0.3">
      <c r="B314" s="146"/>
      <c r="C314" s="146"/>
      <c r="D314" s="146"/>
      <c r="E314" s="146"/>
      <c r="F314" s="146"/>
      <c r="G314" s="146"/>
      <c r="H314" s="146"/>
      <c r="I314" s="146"/>
      <c r="J314" s="146"/>
      <c r="K314" s="146"/>
      <c r="L314" s="146"/>
      <c r="R314" s="157"/>
      <c r="S314" s="157"/>
      <c r="T314" s="157"/>
      <c r="W314" s="157"/>
      <c r="X314" s="157"/>
      <c r="Y314" s="157"/>
      <c r="AB314" s="157"/>
      <c r="AC314" s="157"/>
      <c r="AD314" s="157"/>
      <c r="AG314" s="157"/>
      <c r="AH314" s="157"/>
      <c r="AI314" s="157"/>
    </row>
    <row r="315" spans="2:35" x14ac:dyDescent="0.3">
      <c r="B315" s="146"/>
      <c r="C315" s="146"/>
      <c r="D315" s="146"/>
      <c r="E315" s="146"/>
      <c r="F315" s="146"/>
      <c r="G315" s="146"/>
      <c r="H315" s="146"/>
      <c r="I315" s="146"/>
      <c r="J315" s="146"/>
      <c r="K315" s="146"/>
      <c r="L315" s="146"/>
      <c r="R315" s="157"/>
      <c r="S315" s="157"/>
      <c r="T315" s="157"/>
      <c r="W315" s="157"/>
      <c r="X315" s="157"/>
      <c r="Y315" s="157"/>
      <c r="AB315" s="157"/>
      <c r="AC315" s="157"/>
      <c r="AD315" s="157"/>
      <c r="AG315" s="157"/>
      <c r="AH315" s="157"/>
      <c r="AI315" s="157"/>
    </row>
    <row r="316" spans="2:35" x14ac:dyDescent="0.3">
      <c r="B316" s="146"/>
      <c r="C316" s="146"/>
      <c r="D316" s="146"/>
      <c r="E316" s="146"/>
      <c r="F316" s="146"/>
      <c r="G316" s="146"/>
      <c r="H316" s="146"/>
      <c r="I316" s="146"/>
      <c r="J316" s="146"/>
      <c r="K316" s="146"/>
      <c r="L316" s="146"/>
      <c r="R316" s="157"/>
      <c r="S316" s="157"/>
      <c r="T316" s="157"/>
      <c r="W316" s="157"/>
      <c r="X316" s="157"/>
      <c r="Y316" s="157"/>
      <c r="AB316" s="157"/>
      <c r="AC316" s="157"/>
      <c r="AD316" s="157"/>
      <c r="AG316" s="157"/>
      <c r="AH316" s="157"/>
      <c r="AI316" s="157"/>
    </row>
    <row r="317" spans="2:35" x14ac:dyDescent="0.3">
      <c r="B317" s="146"/>
      <c r="C317" s="146"/>
      <c r="D317" s="146"/>
      <c r="E317" s="146"/>
      <c r="F317" s="146"/>
      <c r="G317" s="146"/>
      <c r="H317" s="146"/>
      <c r="I317" s="146"/>
      <c r="J317" s="146"/>
      <c r="K317" s="146"/>
      <c r="L317" s="146"/>
      <c r="R317" s="157"/>
      <c r="S317" s="157"/>
      <c r="T317" s="157"/>
      <c r="W317" s="157"/>
      <c r="X317" s="157"/>
      <c r="Y317" s="157"/>
      <c r="AB317" s="157"/>
      <c r="AC317" s="157"/>
      <c r="AD317" s="157"/>
      <c r="AG317" s="157"/>
      <c r="AH317" s="157"/>
      <c r="AI317" s="157"/>
    </row>
    <row r="318" spans="2:35" x14ac:dyDescent="0.3">
      <c r="B318" s="146"/>
      <c r="C318" s="146"/>
      <c r="D318" s="146"/>
      <c r="E318" s="146"/>
      <c r="F318" s="146"/>
      <c r="G318" s="146"/>
      <c r="H318" s="146"/>
      <c r="I318" s="146"/>
      <c r="J318" s="146"/>
      <c r="K318" s="146"/>
      <c r="L318" s="146"/>
      <c r="R318" s="157"/>
      <c r="S318" s="157"/>
      <c r="T318" s="157"/>
      <c r="W318" s="157"/>
      <c r="X318" s="157"/>
      <c r="Y318" s="157"/>
      <c r="AB318" s="157"/>
      <c r="AC318" s="157"/>
      <c r="AD318" s="157"/>
      <c r="AG318" s="157"/>
      <c r="AH318" s="157"/>
      <c r="AI318" s="157"/>
    </row>
    <row r="319" spans="2:35" x14ac:dyDescent="0.3">
      <c r="B319" s="146"/>
      <c r="C319" s="146"/>
      <c r="D319" s="146"/>
      <c r="E319" s="146"/>
      <c r="F319" s="146"/>
      <c r="G319" s="146"/>
      <c r="H319" s="146"/>
      <c r="I319" s="146"/>
      <c r="J319" s="146"/>
      <c r="K319" s="146"/>
      <c r="L319" s="146"/>
      <c r="R319" s="157"/>
      <c r="S319" s="157"/>
      <c r="T319" s="157"/>
      <c r="W319" s="157"/>
      <c r="X319" s="157"/>
      <c r="Y319" s="157"/>
      <c r="AB319" s="157"/>
      <c r="AC319" s="157"/>
      <c r="AD319" s="157"/>
      <c r="AG319" s="157"/>
      <c r="AH319" s="157"/>
      <c r="AI319" s="157"/>
    </row>
    <row r="320" spans="2:35" x14ac:dyDescent="0.3">
      <c r="B320" s="146"/>
      <c r="C320" s="146"/>
      <c r="D320" s="146"/>
      <c r="E320" s="146"/>
      <c r="F320" s="146"/>
      <c r="G320" s="146"/>
      <c r="H320" s="146"/>
      <c r="I320" s="146"/>
      <c r="J320" s="146"/>
      <c r="K320" s="146"/>
      <c r="L320" s="146"/>
      <c r="R320" s="157"/>
      <c r="S320" s="157"/>
      <c r="T320" s="157"/>
      <c r="W320" s="157"/>
      <c r="X320" s="157"/>
      <c r="Y320" s="157"/>
      <c r="AB320" s="157"/>
      <c r="AC320" s="157"/>
      <c r="AD320" s="157"/>
      <c r="AG320" s="157"/>
      <c r="AH320" s="157"/>
      <c r="AI320" s="157"/>
    </row>
    <row r="321" spans="2:35" x14ac:dyDescent="0.3">
      <c r="B321" s="146"/>
      <c r="C321" s="146"/>
      <c r="D321" s="146"/>
      <c r="E321" s="146"/>
      <c r="F321" s="146"/>
      <c r="G321" s="146"/>
      <c r="H321" s="146"/>
      <c r="I321" s="146"/>
      <c r="J321" s="146"/>
      <c r="K321" s="146"/>
      <c r="L321" s="146"/>
      <c r="R321" s="157"/>
      <c r="S321" s="157"/>
      <c r="T321" s="157"/>
      <c r="W321" s="157"/>
      <c r="X321" s="157"/>
      <c r="Y321" s="157"/>
      <c r="AB321" s="157"/>
      <c r="AC321" s="157"/>
      <c r="AD321" s="157"/>
      <c r="AG321" s="157"/>
      <c r="AH321" s="157"/>
      <c r="AI321" s="157"/>
    </row>
    <row r="322" spans="2:35" x14ac:dyDescent="0.3">
      <c r="B322" s="146"/>
      <c r="C322" s="146"/>
      <c r="D322" s="146"/>
      <c r="E322" s="146"/>
      <c r="F322" s="146"/>
      <c r="G322" s="146"/>
      <c r="H322" s="146"/>
      <c r="I322" s="146"/>
      <c r="J322" s="146"/>
      <c r="K322" s="146"/>
      <c r="L322" s="146"/>
      <c r="R322" s="157"/>
      <c r="S322" s="157"/>
      <c r="T322" s="157"/>
      <c r="W322" s="157"/>
      <c r="X322" s="157"/>
      <c r="Y322" s="157"/>
      <c r="AB322" s="157"/>
      <c r="AC322" s="157"/>
      <c r="AD322" s="157"/>
      <c r="AG322" s="157"/>
      <c r="AH322" s="157"/>
      <c r="AI322" s="157"/>
    </row>
    <row r="323" spans="2:35" x14ac:dyDescent="0.3">
      <c r="B323" s="146"/>
      <c r="C323" s="146"/>
      <c r="D323" s="146"/>
      <c r="E323" s="146"/>
      <c r="F323" s="146"/>
      <c r="G323" s="146"/>
      <c r="H323" s="146"/>
      <c r="I323" s="146"/>
      <c r="J323" s="146"/>
      <c r="K323" s="146"/>
      <c r="L323" s="146"/>
      <c r="R323" s="157"/>
      <c r="S323" s="157"/>
      <c r="T323" s="157"/>
      <c r="W323" s="157"/>
      <c r="X323" s="157"/>
      <c r="Y323" s="157"/>
      <c r="AB323" s="157"/>
      <c r="AC323" s="157"/>
      <c r="AD323" s="157"/>
      <c r="AG323" s="157"/>
      <c r="AH323" s="157"/>
      <c r="AI323" s="157"/>
    </row>
    <row r="324" spans="2:35" x14ac:dyDescent="0.3">
      <c r="B324" s="146"/>
      <c r="C324" s="146"/>
      <c r="D324" s="146"/>
      <c r="E324" s="146"/>
      <c r="F324" s="146"/>
      <c r="G324" s="146"/>
      <c r="H324" s="146"/>
      <c r="I324" s="146"/>
      <c r="J324" s="146"/>
      <c r="K324" s="146"/>
      <c r="L324" s="146"/>
      <c r="R324" s="157"/>
      <c r="S324" s="157"/>
      <c r="T324" s="157"/>
      <c r="W324" s="157"/>
      <c r="X324" s="157"/>
      <c r="Y324" s="157"/>
      <c r="AB324" s="157"/>
      <c r="AC324" s="157"/>
      <c r="AD324" s="157"/>
      <c r="AG324" s="157"/>
      <c r="AH324" s="157"/>
      <c r="AI324" s="157"/>
    </row>
    <row r="325" spans="2:35" x14ac:dyDescent="0.3">
      <c r="B325" s="146"/>
      <c r="C325" s="146"/>
      <c r="D325" s="146"/>
      <c r="E325" s="146"/>
      <c r="F325" s="146"/>
      <c r="G325" s="146"/>
      <c r="H325" s="146"/>
      <c r="I325" s="146"/>
      <c r="J325" s="146"/>
      <c r="K325" s="146"/>
      <c r="L325" s="146"/>
      <c r="R325" s="157"/>
      <c r="S325" s="157"/>
      <c r="T325" s="157"/>
      <c r="W325" s="157"/>
      <c r="X325" s="157"/>
      <c r="Y325" s="157"/>
      <c r="AB325" s="157"/>
      <c r="AC325" s="157"/>
      <c r="AD325" s="157"/>
      <c r="AG325" s="157"/>
      <c r="AH325" s="157"/>
      <c r="AI325" s="157"/>
    </row>
    <row r="326" spans="2:35" x14ac:dyDescent="0.3">
      <c r="B326" s="146"/>
      <c r="C326" s="146"/>
      <c r="D326" s="146"/>
      <c r="E326" s="146"/>
      <c r="F326" s="146"/>
      <c r="G326" s="146"/>
      <c r="H326" s="146"/>
      <c r="I326" s="146"/>
      <c r="J326" s="146"/>
      <c r="K326" s="146"/>
      <c r="L326" s="146"/>
      <c r="R326" s="157"/>
      <c r="S326" s="157"/>
      <c r="T326" s="157"/>
      <c r="W326" s="157"/>
      <c r="X326" s="157"/>
      <c r="Y326" s="157"/>
      <c r="AB326" s="157"/>
      <c r="AC326" s="157"/>
      <c r="AD326" s="157"/>
      <c r="AG326" s="157"/>
      <c r="AH326" s="157"/>
      <c r="AI326" s="157"/>
    </row>
    <row r="327" spans="2:35" x14ac:dyDescent="0.3">
      <c r="B327" s="146"/>
      <c r="C327" s="146"/>
      <c r="D327" s="146"/>
      <c r="E327" s="146"/>
      <c r="F327" s="146"/>
      <c r="G327" s="146"/>
      <c r="H327" s="146"/>
      <c r="I327" s="146"/>
      <c r="J327" s="146"/>
      <c r="K327" s="146"/>
      <c r="L327" s="146"/>
      <c r="R327" s="157"/>
      <c r="S327" s="157"/>
      <c r="T327" s="157"/>
      <c r="W327" s="157"/>
      <c r="X327" s="157"/>
      <c r="Y327" s="157"/>
      <c r="AB327" s="157"/>
      <c r="AC327" s="157"/>
      <c r="AD327" s="157"/>
      <c r="AG327" s="157"/>
      <c r="AH327" s="157"/>
      <c r="AI327" s="157"/>
    </row>
    <row r="328" spans="2:35" x14ac:dyDescent="0.3">
      <c r="B328" s="146"/>
      <c r="C328" s="146"/>
      <c r="D328" s="146"/>
      <c r="E328" s="146"/>
      <c r="F328" s="146"/>
      <c r="G328" s="146"/>
      <c r="H328" s="146"/>
      <c r="I328" s="146"/>
      <c r="J328" s="146"/>
      <c r="K328" s="146"/>
      <c r="L328" s="146"/>
      <c r="R328" s="157"/>
      <c r="S328" s="157"/>
      <c r="T328" s="157"/>
      <c r="W328" s="157"/>
      <c r="X328" s="157"/>
      <c r="Y328" s="157"/>
      <c r="AB328" s="157"/>
      <c r="AC328" s="157"/>
      <c r="AD328" s="157"/>
      <c r="AG328" s="157"/>
      <c r="AH328" s="157"/>
      <c r="AI328" s="157"/>
    </row>
    <row r="329" spans="2:35" x14ac:dyDescent="0.3">
      <c r="B329" s="146"/>
      <c r="C329" s="146"/>
      <c r="D329" s="146"/>
      <c r="E329" s="146"/>
      <c r="F329" s="146"/>
      <c r="G329" s="146"/>
      <c r="H329" s="146"/>
      <c r="I329" s="146"/>
      <c r="J329" s="146"/>
      <c r="K329" s="146"/>
      <c r="L329" s="146"/>
      <c r="R329" s="157"/>
      <c r="S329" s="157"/>
      <c r="T329" s="157"/>
      <c r="W329" s="157"/>
      <c r="X329" s="157"/>
      <c r="Y329" s="157"/>
      <c r="AB329" s="157"/>
      <c r="AC329" s="157"/>
      <c r="AD329" s="157"/>
      <c r="AG329" s="157"/>
      <c r="AH329" s="157"/>
      <c r="AI329" s="157"/>
    </row>
    <row r="330" spans="2:35" x14ac:dyDescent="0.3">
      <c r="B330" s="146"/>
      <c r="C330" s="146"/>
      <c r="D330" s="146"/>
      <c r="E330" s="146"/>
      <c r="F330" s="146"/>
      <c r="G330" s="146"/>
      <c r="H330" s="146"/>
      <c r="I330" s="146"/>
      <c r="J330" s="146"/>
      <c r="K330" s="146"/>
      <c r="L330" s="146"/>
      <c r="R330" s="157"/>
      <c r="S330" s="157"/>
      <c r="T330" s="157"/>
      <c r="W330" s="157"/>
      <c r="X330" s="157"/>
      <c r="Y330" s="157"/>
      <c r="AB330" s="157"/>
      <c r="AC330" s="157"/>
      <c r="AD330" s="157"/>
      <c r="AG330" s="157"/>
      <c r="AH330" s="157"/>
      <c r="AI330" s="157"/>
    </row>
    <row r="331" spans="2:35" x14ac:dyDescent="0.3">
      <c r="B331" s="146"/>
      <c r="C331" s="146"/>
      <c r="D331" s="146"/>
      <c r="E331" s="146"/>
      <c r="F331" s="146"/>
      <c r="G331" s="146"/>
      <c r="H331" s="146"/>
      <c r="I331" s="146"/>
      <c r="J331" s="146"/>
      <c r="K331" s="146"/>
      <c r="L331" s="146"/>
      <c r="R331" s="157"/>
      <c r="S331" s="157"/>
      <c r="T331" s="157"/>
      <c r="W331" s="157"/>
      <c r="X331" s="157"/>
      <c r="Y331" s="157"/>
      <c r="AB331" s="157"/>
      <c r="AC331" s="157"/>
      <c r="AD331" s="157"/>
      <c r="AG331" s="157"/>
      <c r="AH331" s="157"/>
      <c r="AI331" s="157"/>
    </row>
    <row r="332" spans="2:35" x14ac:dyDescent="0.3">
      <c r="B332" s="146"/>
      <c r="C332" s="146"/>
      <c r="D332" s="146"/>
      <c r="E332" s="146"/>
      <c r="F332" s="146"/>
      <c r="G332" s="146"/>
      <c r="H332" s="146"/>
      <c r="I332" s="146"/>
      <c r="J332" s="146"/>
      <c r="K332" s="146"/>
      <c r="L332" s="146"/>
      <c r="R332" s="157"/>
      <c r="S332" s="157"/>
      <c r="T332" s="157"/>
      <c r="W332" s="157"/>
      <c r="X332" s="157"/>
      <c r="Y332" s="157"/>
      <c r="AB332" s="157"/>
      <c r="AC332" s="157"/>
      <c r="AD332" s="157"/>
      <c r="AG332" s="157"/>
      <c r="AH332" s="157"/>
      <c r="AI332" s="157"/>
    </row>
    <row r="333" spans="2:35" x14ac:dyDescent="0.3">
      <c r="B333" s="146"/>
      <c r="C333" s="146"/>
      <c r="D333" s="146"/>
      <c r="E333" s="146"/>
      <c r="F333" s="146"/>
      <c r="G333" s="146"/>
      <c r="H333" s="146"/>
      <c r="I333" s="146"/>
      <c r="J333" s="146"/>
      <c r="K333" s="146"/>
      <c r="L333" s="146"/>
      <c r="R333" s="157"/>
      <c r="S333" s="157"/>
      <c r="T333" s="157"/>
      <c r="W333" s="157"/>
      <c r="X333" s="157"/>
      <c r="Y333" s="157"/>
      <c r="AB333" s="157"/>
      <c r="AC333" s="157"/>
      <c r="AD333" s="157"/>
      <c r="AG333" s="157"/>
      <c r="AH333" s="157"/>
      <c r="AI333" s="157"/>
    </row>
    <row r="334" spans="2:35" x14ac:dyDescent="0.3">
      <c r="B334" s="146"/>
      <c r="C334" s="146"/>
      <c r="D334" s="146"/>
      <c r="E334" s="146"/>
      <c r="F334" s="146"/>
      <c r="G334" s="146"/>
      <c r="H334" s="146"/>
      <c r="I334" s="146"/>
      <c r="J334" s="146"/>
      <c r="K334" s="146"/>
      <c r="L334" s="146"/>
      <c r="R334" s="157"/>
      <c r="S334" s="157"/>
      <c r="T334" s="157"/>
      <c r="W334" s="157"/>
      <c r="X334" s="157"/>
      <c r="Y334" s="157"/>
      <c r="AB334" s="157"/>
      <c r="AC334" s="157"/>
      <c r="AD334" s="157"/>
      <c r="AG334" s="157"/>
      <c r="AH334" s="157"/>
      <c r="AI334" s="157"/>
    </row>
    <row r="335" spans="2:35" x14ac:dyDescent="0.3">
      <c r="B335" s="146"/>
      <c r="C335" s="146"/>
      <c r="D335" s="146"/>
      <c r="E335" s="146"/>
      <c r="F335" s="146"/>
      <c r="G335" s="146"/>
      <c r="H335" s="146"/>
      <c r="I335" s="146"/>
      <c r="J335" s="146"/>
      <c r="K335" s="146"/>
      <c r="L335" s="146"/>
      <c r="R335" s="157"/>
      <c r="S335" s="157"/>
      <c r="T335" s="157"/>
      <c r="W335" s="157"/>
      <c r="X335" s="157"/>
      <c r="Y335" s="157"/>
      <c r="AB335" s="157"/>
      <c r="AC335" s="157"/>
      <c r="AD335" s="157"/>
      <c r="AG335" s="157"/>
      <c r="AH335" s="157"/>
      <c r="AI335" s="157"/>
    </row>
    <row r="336" spans="2:35" x14ac:dyDescent="0.3">
      <c r="B336" s="146"/>
      <c r="C336" s="146"/>
      <c r="D336" s="146"/>
      <c r="E336" s="146"/>
      <c r="F336" s="146"/>
      <c r="G336" s="146"/>
      <c r="H336" s="146"/>
      <c r="I336" s="146"/>
      <c r="J336" s="146"/>
      <c r="K336" s="146"/>
      <c r="L336" s="146"/>
      <c r="R336" s="157"/>
      <c r="S336" s="157"/>
      <c r="T336" s="157"/>
      <c r="W336" s="157"/>
      <c r="X336" s="157"/>
      <c r="Y336" s="157"/>
      <c r="AB336" s="157"/>
      <c r="AC336" s="157"/>
      <c r="AD336" s="157"/>
      <c r="AG336" s="157"/>
      <c r="AH336" s="157"/>
      <c r="AI336" s="157"/>
    </row>
    <row r="337" spans="2:35" x14ac:dyDescent="0.3">
      <c r="B337" s="146"/>
      <c r="C337" s="146"/>
      <c r="D337" s="146"/>
      <c r="E337" s="146"/>
      <c r="F337" s="146"/>
      <c r="G337" s="146"/>
      <c r="H337" s="146"/>
      <c r="I337" s="146"/>
      <c r="J337" s="146"/>
      <c r="K337" s="146"/>
      <c r="L337" s="146"/>
      <c r="R337" s="157"/>
      <c r="S337" s="157"/>
      <c r="T337" s="157"/>
      <c r="W337" s="157"/>
      <c r="X337" s="157"/>
      <c r="Y337" s="157"/>
      <c r="AB337" s="157"/>
      <c r="AC337" s="157"/>
      <c r="AD337" s="157"/>
      <c r="AG337" s="157"/>
      <c r="AH337" s="157"/>
      <c r="AI337" s="157"/>
    </row>
    <row r="338" spans="2:35" x14ac:dyDescent="0.3">
      <c r="B338" s="146"/>
      <c r="C338" s="146"/>
      <c r="D338" s="146"/>
      <c r="E338" s="146"/>
      <c r="F338" s="146"/>
      <c r="G338" s="146"/>
      <c r="H338" s="146"/>
      <c r="I338" s="146"/>
      <c r="J338" s="146"/>
      <c r="K338" s="146"/>
      <c r="L338" s="146"/>
      <c r="R338" s="157"/>
      <c r="S338" s="157"/>
      <c r="T338" s="157"/>
      <c r="W338" s="157"/>
      <c r="X338" s="157"/>
      <c r="Y338" s="157"/>
      <c r="AB338" s="157"/>
      <c r="AC338" s="157"/>
      <c r="AD338" s="157"/>
      <c r="AG338" s="157"/>
      <c r="AH338" s="157"/>
      <c r="AI338" s="157"/>
    </row>
    <row r="339" spans="2:35" x14ac:dyDescent="0.3">
      <c r="B339" s="146"/>
      <c r="C339" s="146"/>
      <c r="D339" s="146"/>
      <c r="E339" s="146"/>
      <c r="F339" s="146"/>
      <c r="G339" s="146"/>
      <c r="H339" s="146"/>
      <c r="I339" s="146"/>
      <c r="J339" s="146"/>
      <c r="K339" s="146"/>
      <c r="L339" s="146"/>
      <c r="R339" s="157"/>
      <c r="S339" s="157"/>
      <c r="T339" s="157"/>
      <c r="W339" s="157"/>
      <c r="X339" s="157"/>
      <c r="Y339" s="157"/>
      <c r="AB339" s="157"/>
      <c r="AC339" s="157"/>
      <c r="AD339" s="157"/>
      <c r="AG339" s="157"/>
      <c r="AH339" s="157"/>
      <c r="AI339" s="157"/>
    </row>
    <row r="340" spans="2:35" x14ac:dyDescent="0.3">
      <c r="B340" s="146"/>
      <c r="C340" s="146"/>
      <c r="D340" s="146"/>
      <c r="E340" s="146"/>
      <c r="F340" s="146"/>
      <c r="G340" s="146"/>
      <c r="H340" s="146"/>
      <c r="I340" s="146"/>
      <c r="J340" s="146"/>
      <c r="K340" s="146"/>
      <c r="L340" s="146"/>
      <c r="R340" s="157"/>
      <c r="S340" s="157"/>
      <c r="T340" s="157"/>
      <c r="W340" s="157"/>
      <c r="X340" s="157"/>
      <c r="Y340" s="157"/>
      <c r="AB340" s="157"/>
      <c r="AC340" s="157"/>
      <c r="AD340" s="157"/>
      <c r="AG340" s="157"/>
      <c r="AH340" s="157"/>
      <c r="AI340" s="157"/>
    </row>
    <row r="341" spans="2:35" x14ac:dyDescent="0.3">
      <c r="B341" s="146"/>
      <c r="C341" s="146"/>
      <c r="D341" s="146"/>
      <c r="E341" s="146"/>
      <c r="F341" s="146"/>
      <c r="G341" s="146"/>
      <c r="H341" s="146"/>
      <c r="I341" s="146"/>
      <c r="J341" s="146"/>
      <c r="K341" s="146"/>
      <c r="L341" s="146"/>
      <c r="R341" s="157"/>
      <c r="S341" s="157"/>
      <c r="T341" s="157"/>
      <c r="W341" s="157"/>
      <c r="X341" s="157"/>
      <c r="Y341" s="157"/>
      <c r="AB341" s="157"/>
      <c r="AC341" s="157"/>
      <c r="AD341" s="157"/>
      <c r="AG341" s="157"/>
      <c r="AH341" s="157"/>
      <c r="AI341" s="157"/>
    </row>
    <row r="342" spans="2:35" x14ac:dyDescent="0.3">
      <c r="B342" s="146"/>
      <c r="C342" s="146"/>
      <c r="D342" s="146"/>
      <c r="E342" s="146"/>
      <c r="F342" s="146"/>
      <c r="G342" s="146"/>
      <c r="H342" s="146"/>
      <c r="I342" s="146"/>
      <c r="J342" s="146"/>
      <c r="K342" s="146"/>
      <c r="L342" s="146"/>
      <c r="R342" s="157"/>
      <c r="S342" s="157"/>
      <c r="T342" s="157"/>
      <c r="W342" s="157"/>
      <c r="X342" s="157"/>
      <c r="Y342" s="157"/>
      <c r="AB342" s="157"/>
      <c r="AC342" s="157"/>
      <c r="AD342" s="157"/>
      <c r="AG342" s="157"/>
      <c r="AH342" s="157"/>
      <c r="AI342" s="157"/>
    </row>
    <row r="343" spans="2:35" x14ac:dyDescent="0.3">
      <c r="B343" s="146"/>
      <c r="C343" s="146"/>
      <c r="D343" s="146"/>
      <c r="E343" s="146"/>
      <c r="F343" s="146"/>
      <c r="G343" s="146"/>
      <c r="H343" s="146"/>
      <c r="I343" s="146"/>
      <c r="J343" s="146"/>
      <c r="K343" s="146"/>
      <c r="L343" s="146"/>
      <c r="R343" s="157"/>
      <c r="S343" s="157"/>
      <c r="T343" s="157"/>
      <c r="W343" s="157"/>
      <c r="X343" s="157"/>
      <c r="Y343" s="157"/>
      <c r="AB343" s="157"/>
      <c r="AC343" s="157"/>
      <c r="AD343" s="157"/>
      <c r="AG343" s="157"/>
      <c r="AH343" s="157"/>
      <c r="AI343" s="157"/>
    </row>
    <row r="344" spans="2:35" x14ac:dyDescent="0.3">
      <c r="B344" s="146"/>
      <c r="C344" s="146"/>
      <c r="D344" s="146"/>
      <c r="E344" s="146"/>
      <c r="F344" s="146"/>
      <c r="G344" s="146"/>
      <c r="H344" s="146"/>
      <c r="I344" s="146"/>
      <c r="J344" s="146"/>
      <c r="K344" s="146"/>
      <c r="L344" s="146"/>
      <c r="R344" s="157"/>
      <c r="S344" s="157"/>
      <c r="T344" s="157"/>
      <c r="W344" s="157"/>
      <c r="X344" s="157"/>
      <c r="Y344" s="157"/>
      <c r="AB344" s="157"/>
      <c r="AC344" s="157"/>
      <c r="AD344" s="157"/>
      <c r="AG344" s="157"/>
      <c r="AH344" s="157"/>
      <c r="AI344" s="157"/>
    </row>
    <row r="345" spans="2:35" x14ac:dyDescent="0.3">
      <c r="B345" s="146"/>
      <c r="C345" s="146"/>
      <c r="D345" s="146"/>
      <c r="E345" s="146"/>
      <c r="F345" s="146"/>
      <c r="G345" s="146"/>
      <c r="H345" s="146"/>
      <c r="I345" s="146"/>
      <c r="J345" s="146"/>
      <c r="K345" s="146"/>
      <c r="L345" s="146"/>
      <c r="R345" s="157"/>
      <c r="S345" s="157"/>
      <c r="T345" s="157"/>
      <c r="W345" s="157"/>
      <c r="X345" s="157"/>
      <c r="Y345" s="157"/>
      <c r="AB345" s="157"/>
      <c r="AC345" s="157"/>
      <c r="AD345" s="157"/>
      <c r="AG345" s="157"/>
      <c r="AH345" s="157"/>
      <c r="AI345" s="157"/>
    </row>
    <row r="346" spans="2:35" x14ac:dyDescent="0.3">
      <c r="B346" s="146"/>
      <c r="C346" s="146"/>
      <c r="D346" s="146"/>
      <c r="E346" s="146"/>
      <c r="F346" s="146"/>
      <c r="G346" s="146"/>
      <c r="H346" s="146"/>
      <c r="I346" s="146"/>
      <c r="J346" s="146"/>
      <c r="K346" s="146"/>
      <c r="L346" s="146"/>
      <c r="R346" s="157"/>
      <c r="S346" s="157"/>
      <c r="T346" s="157"/>
      <c r="W346" s="157"/>
      <c r="X346" s="157"/>
      <c r="Y346" s="157"/>
      <c r="AB346" s="157"/>
      <c r="AC346" s="157"/>
      <c r="AD346" s="157"/>
      <c r="AG346" s="157"/>
      <c r="AH346" s="157"/>
      <c r="AI346" s="157"/>
    </row>
    <row r="347" spans="2:35" x14ac:dyDescent="0.3">
      <c r="B347" s="146"/>
      <c r="C347" s="146"/>
      <c r="D347" s="146"/>
      <c r="E347" s="146"/>
      <c r="F347" s="146"/>
      <c r="G347" s="146"/>
      <c r="H347" s="146"/>
      <c r="I347" s="146"/>
      <c r="J347" s="146"/>
      <c r="K347" s="146"/>
      <c r="L347" s="146"/>
      <c r="R347" s="157"/>
      <c r="S347" s="157"/>
      <c r="T347" s="157"/>
      <c r="W347" s="157"/>
      <c r="X347" s="157"/>
      <c r="Y347" s="157"/>
      <c r="AB347" s="157"/>
      <c r="AC347" s="157"/>
      <c r="AD347" s="157"/>
      <c r="AG347" s="157"/>
      <c r="AH347" s="157"/>
      <c r="AI347" s="157"/>
    </row>
    <row r="348" spans="2:35" x14ac:dyDescent="0.3">
      <c r="B348" s="146"/>
      <c r="C348" s="146"/>
      <c r="D348" s="146"/>
      <c r="E348" s="146"/>
      <c r="F348" s="146"/>
      <c r="G348" s="146"/>
      <c r="H348" s="146"/>
      <c r="I348" s="146"/>
      <c r="J348" s="146"/>
      <c r="K348" s="146"/>
      <c r="L348" s="146"/>
      <c r="R348" s="157"/>
      <c r="S348" s="157"/>
      <c r="T348" s="157"/>
      <c r="W348" s="157"/>
      <c r="X348" s="157"/>
      <c r="Y348" s="157"/>
      <c r="AB348" s="157"/>
      <c r="AC348" s="157"/>
      <c r="AD348" s="157"/>
      <c r="AG348" s="157"/>
      <c r="AH348" s="157"/>
      <c r="AI348" s="157"/>
    </row>
    <row r="349" spans="2:35" x14ac:dyDescent="0.3">
      <c r="B349" s="146"/>
      <c r="C349" s="146"/>
      <c r="D349" s="146"/>
      <c r="E349" s="146"/>
      <c r="F349" s="146"/>
      <c r="G349" s="146"/>
      <c r="H349" s="146"/>
      <c r="I349" s="146"/>
      <c r="J349" s="146"/>
      <c r="K349" s="146"/>
      <c r="L349" s="146"/>
      <c r="R349" s="157"/>
      <c r="S349" s="157"/>
      <c r="T349" s="157"/>
      <c r="W349" s="157"/>
      <c r="X349" s="157"/>
      <c r="Y349" s="157"/>
      <c r="AB349" s="157"/>
      <c r="AC349" s="157"/>
      <c r="AD349" s="157"/>
      <c r="AG349" s="157"/>
      <c r="AH349" s="157"/>
      <c r="AI349" s="157"/>
    </row>
    <row r="350" spans="2:35" x14ac:dyDescent="0.3">
      <c r="B350" s="146"/>
      <c r="C350" s="146"/>
      <c r="D350" s="146"/>
      <c r="E350" s="146"/>
      <c r="F350" s="146"/>
      <c r="G350" s="146"/>
      <c r="H350" s="146"/>
      <c r="I350" s="146"/>
      <c r="J350" s="146"/>
      <c r="K350" s="146"/>
      <c r="L350" s="146"/>
      <c r="R350" s="157"/>
      <c r="S350" s="157"/>
      <c r="T350" s="157"/>
      <c r="W350" s="157"/>
      <c r="X350" s="157"/>
      <c r="Y350" s="157"/>
      <c r="AB350" s="157"/>
      <c r="AC350" s="157"/>
      <c r="AD350" s="157"/>
      <c r="AG350" s="157"/>
      <c r="AH350" s="157"/>
      <c r="AI350" s="157"/>
    </row>
    <row r="351" spans="2:35" x14ac:dyDescent="0.3">
      <c r="B351" s="146"/>
      <c r="C351" s="146"/>
      <c r="D351" s="146"/>
      <c r="E351" s="146"/>
      <c r="F351" s="146"/>
      <c r="G351" s="146"/>
      <c r="H351" s="146"/>
      <c r="I351" s="146"/>
      <c r="J351" s="146"/>
      <c r="K351" s="146"/>
      <c r="L351" s="146"/>
      <c r="R351" s="157"/>
      <c r="S351" s="157"/>
      <c r="T351" s="157"/>
      <c r="W351" s="157"/>
      <c r="X351" s="157"/>
      <c r="Y351" s="157"/>
      <c r="AB351" s="157"/>
      <c r="AC351" s="157"/>
      <c r="AD351" s="157"/>
      <c r="AG351" s="157"/>
      <c r="AH351" s="157"/>
      <c r="AI351" s="157"/>
    </row>
    <row r="352" spans="2:35" x14ac:dyDescent="0.3">
      <c r="B352" s="146"/>
      <c r="C352" s="146"/>
      <c r="D352" s="146"/>
      <c r="E352" s="146"/>
      <c r="F352" s="146"/>
      <c r="G352" s="146"/>
      <c r="H352" s="146"/>
      <c r="I352" s="146"/>
      <c r="J352" s="146"/>
      <c r="K352" s="146"/>
      <c r="L352" s="146"/>
      <c r="R352" s="157"/>
      <c r="S352" s="157"/>
      <c r="T352" s="157"/>
      <c r="W352" s="157"/>
      <c r="X352" s="157"/>
      <c r="Y352" s="157"/>
      <c r="AB352" s="157"/>
      <c r="AC352" s="157"/>
      <c r="AD352" s="157"/>
      <c r="AG352" s="157"/>
      <c r="AH352" s="157"/>
      <c r="AI352" s="157"/>
    </row>
    <row r="353" spans="2:35" x14ac:dyDescent="0.3">
      <c r="B353" s="146"/>
      <c r="C353" s="146"/>
      <c r="D353" s="146"/>
      <c r="E353" s="146"/>
      <c r="F353" s="146"/>
      <c r="G353" s="146"/>
      <c r="H353" s="146"/>
      <c r="I353" s="146"/>
      <c r="J353" s="146"/>
      <c r="K353" s="146"/>
      <c r="L353" s="146"/>
      <c r="R353" s="157"/>
      <c r="S353" s="157"/>
      <c r="T353" s="157"/>
      <c r="W353" s="157"/>
      <c r="X353" s="157"/>
      <c r="Y353" s="157"/>
      <c r="AB353" s="157"/>
      <c r="AC353" s="157"/>
      <c r="AD353" s="157"/>
      <c r="AG353" s="157"/>
      <c r="AH353" s="157"/>
      <c r="AI353" s="157"/>
    </row>
    <row r="354" spans="2:35" x14ac:dyDescent="0.3">
      <c r="B354" s="146"/>
      <c r="C354" s="146"/>
      <c r="D354" s="146"/>
      <c r="E354" s="146"/>
      <c r="F354" s="146"/>
      <c r="G354" s="146"/>
      <c r="H354" s="146"/>
      <c r="I354" s="146"/>
      <c r="J354" s="146"/>
      <c r="K354" s="146"/>
      <c r="L354" s="146"/>
      <c r="R354" s="157"/>
      <c r="S354" s="157"/>
      <c r="T354" s="157"/>
      <c r="W354" s="157"/>
      <c r="X354" s="157"/>
      <c r="Y354" s="157"/>
      <c r="AB354" s="157"/>
      <c r="AC354" s="157"/>
      <c r="AD354" s="157"/>
      <c r="AG354" s="157"/>
      <c r="AH354" s="157"/>
      <c r="AI354" s="157"/>
    </row>
    <row r="355" spans="2:35" x14ac:dyDescent="0.3">
      <c r="B355" s="146"/>
      <c r="C355" s="146"/>
      <c r="D355" s="146"/>
      <c r="E355" s="146"/>
      <c r="F355" s="146"/>
      <c r="G355" s="146"/>
      <c r="H355" s="146"/>
      <c r="I355" s="146"/>
      <c r="J355" s="146"/>
      <c r="K355" s="146"/>
      <c r="L355" s="146"/>
      <c r="R355" s="157"/>
      <c r="S355" s="157"/>
      <c r="T355" s="157"/>
      <c r="W355" s="157"/>
      <c r="X355" s="157"/>
      <c r="Y355" s="157"/>
      <c r="AB355" s="157"/>
      <c r="AC355" s="157"/>
      <c r="AD355" s="157"/>
      <c r="AG355" s="157"/>
      <c r="AH355" s="157"/>
      <c r="AI355" s="157"/>
    </row>
    <row r="356" spans="2:35" x14ac:dyDescent="0.3">
      <c r="B356" s="146"/>
      <c r="C356" s="146"/>
      <c r="D356" s="146"/>
      <c r="E356" s="146"/>
      <c r="F356" s="146"/>
      <c r="G356" s="146"/>
      <c r="H356" s="146"/>
      <c r="I356" s="146"/>
      <c r="J356" s="146"/>
      <c r="K356" s="146"/>
      <c r="L356" s="146"/>
      <c r="R356" s="157"/>
      <c r="S356" s="157"/>
      <c r="T356" s="157"/>
      <c r="W356" s="157"/>
      <c r="X356" s="157"/>
      <c r="Y356" s="157"/>
      <c r="AB356" s="157"/>
      <c r="AC356" s="157"/>
      <c r="AD356" s="157"/>
      <c r="AG356" s="157"/>
      <c r="AH356" s="157"/>
      <c r="AI356" s="157"/>
    </row>
    <row r="357" spans="2:35" x14ac:dyDescent="0.3">
      <c r="B357" s="146"/>
      <c r="C357" s="146"/>
      <c r="D357" s="146"/>
      <c r="E357" s="146"/>
      <c r="F357" s="146"/>
      <c r="G357" s="146"/>
      <c r="H357" s="146"/>
      <c r="I357" s="146"/>
      <c r="J357" s="146"/>
      <c r="K357" s="146"/>
      <c r="L357" s="146"/>
      <c r="R357" s="157"/>
      <c r="S357" s="157"/>
      <c r="T357" s="157"/>
      <c r="W357" s="157"/>
      <c r="X357" s="157"/>
      <c r="Y357" s="157"/>
      <c r="AB357" s="157"/>
      <c r="AC357" s="157"/>
      <c r="AD357" s="157"/>
      <c r="AG357" s="157"/>
      <c r="AH357" s="157"/>
      <c r="AI357" s="157"/>
    </row>
    <row r="358" spans="2:35" x14ac:dyDescent="0.3">
      <c r="B358" s="146"/>
      <c r="C358" s="146"/>
      <c r="D358" s="146"/>
      <c r="E358" s="146"/>
      <c r="F358" s="146"/>
      <c r="G358" s="146"/>
      <c r="H358" s="146"/>
      <c r="I358" s="146"/>
      <c r="J358" s="146"/>
      <c r="K358" s="146"/>
      <c r="L358" s="146"/>
      <c r="R358" s="157"/>
      <c r="S358" s="157"/>
      <c r="T358" s="157"/>
      <c r="W358" s="157"/>
      <c r="X358" s="157"/>
      <c r="Y358" s="157"/>
      <c r="AB358" s="157"/>
      <c r="AC358" s="157"/>
      <c r="AD358" s="157"/>
      <c r="AG358" s="157"/>
      <c r="AH358" s="157"/>
      <c r="AI358" s="157"/>
    </row>
    <row r="359" spans="2:35" x14ac:dyDescent="0.3">
      <c r="B359" s="146"/>
      <c r="C359" s="146"/>
      <c r="D359" s="146"/>
      <c r="E359" s="146"/>
      <c r="F359" s="146"/>
      <c r="G359" s="146"/>
      <c r="H359" s="146"/>
      <c r="I359" s="146"/>
      <c r="J359" s="146"/>
      <c r="K359" s="146"/>
      <c r="L359" s="146"/>
      <c r="R359" s="157"/>
      <c r="S359" s="157"/>
      <c r="T359" s="157"/>
      <c r="W359" s="157"/>
      <c r="X359" s="157"/>
      <c r="Y359" s="157"/>
      <c r="AB359" s="157"/>
      <c r="AC359" s="157"/>
      <c r="AD359" s="157"/>
      <c r="AG359" s="157"/>
      <c r="AH359" s="157"/>
      <c r="AI359" s="157"/>
    </row>
    <row r="360" spans="2:35" x14ac:dyDescent="0.3">
      <c r="B360" s="146"/>
      <c r="C360" s="146"/>
      <c r="D360" s="146"/>
      <c r="E360" s="146"/>
      <c r="F360" s="146"/>
      <c r="G360" s="146"/>
      <c r="H360" s="146"/>
      <c r="I360" s="146"/>
      <c r="J360" s="146"/>
      <c r="K360" s="146"/>
      <c r="L360" s="146"/>
      <c r="R360" s="157"/>
      <c r="S360" s="157"/>
      <c r="T360" s="157"/>
      <c r="W360" s="157"/>
      <c r="X360" s="157"/>
      <c r="Y360" s="157"/>
      <c r="AB360" s="157"/>
      <c r="AC360" s="157"/>
      <c r="AD360" s="157"/>
      <c r="AG360" s="157"/>
      <c r="AH360" s="157"/>
      <c r="AI360" s="157"/>
    </row>
    <row r="361" spans="2:35" x14ac:dyDescent="0.3">
      <c r="B361" s="146"/>
      <c r="C361" s="146"/>
      <c r="D361" s="146"/>
      <c r="E361" s="146"/>
      <c r="F361" s="146"/>
      <c r="G361" s="146"/>
      <c r="H361" s="146"/>
      <c r="I361" s="146"/>
      <c r="J361" s="146"/>
      <c r="K361" s="146"/>
      <c r="L361" s="146"/>
      <c r="R361" s="157"/>
      <c r="S361" s="157"/>
      <c r="T361" s="157"/>
      <c r="W361" s="157"/>
      <c r="X361" s="157"/>
      <c r="Y361" s="157"/>
      <c r="AB361" s="157"/>
      <c r="AC361" s="157"/>
      <c r="AD361" s="157"/>
      <c r="AG361" s="157"/>
      <c r="AH361" s="157"/>
      <c r="AI361" s="157"/>
    </row>
    <row r="362" spans="2:35" x14ac:dyDescent="0.3">
      <c r="B362" s="146"/>
      <c r="C362" s="146"/>
      <c r="D362" s="146"/>
      <c r="E362" s="146"/>
      <c r="F362" s="146"/>
      <c r="G362" s="146"/>
      <c r="H362" s="146"/>
      <c r="I362" s="146"/>
      <c r="J362" s="146"/>
      <c r="K362" s="146"/>
      <c r="L362" s="146"/>
      <c r="R362" s="157"/>
      <c r="S362" s="157"/>
      <c r="T362" s="157"/>
      <c r="W362" s="157"/>
      <c r="X362" s="157"/>
      <c r="Y362" s="157"/>
      <c r="AB362" s="157"/>
      <c r="AC362" s="157"/>
      <c r="AD362" s="157"/>
      <c r="AG362" s="157"/>
      <c r="AH362" s="157"/>
      <c r="AI362" s="157"/>
    </row>
    <row r="363" spans="2:35" x14ac:dyDescent="0.3">
      <c r="B363" s="146"/>
      <c r="C363" s="146"/>
      <c r="D363" s="146"/>
      <c r="E363" s="146"/>
      <c r="F363" s="146"/>
      <c r="G363" s="146"/>
      <c r="H363" s="146"/>
      <c r="I363" s="146"/>
      <c r="J363" s="146"/>
      <c r="K363" s="146"/>
      <c r="L363" s="146"/>
      <c r="R363" s="157"/>
      <c r="S363" s="157"/>
      <c r="T363" s="157"/>
      <c r="W363" s="157"/>
      <c r="X363" s="157"/>
      <c r="Y363" s="157"/>
      <c r="AB363" s="157"/>
      <c r="AC363" s="157"/>
      <c r="AD363" s="157"/>
      <c r="AG363" s="157"/>
      <c r="AH363" s="157"/>
      <c r="AI363" s="157"/>
    </row>
    <row r="364" spans="2:35" x14ac:dyDescent="0.3">
      <c r="B364" s="146"/>
      <c r="C364" s="146"/>
      <c r="D364" s="146"/>
      <c r="E364" s="146"/>
      <c r="F364" s="146"/>
      <c r="G364" s="146"/>
      <c r="H364" s="146"/>
      <c r="I364" s="146"/>
      <c r="J364" s="146"/>
      <c r="K364" s="146"/>
      <c r="L364" s="146"/>
      <c r="R364" s="157"/>
      <c r="S364" s="157"/>
      <c r="T364" s="157"/>
      <c r="W364" s="157"/>
      <c r="X364" s="157"/>
      <c r="Y364" s="157"/>
      <c r="AB364" s="157"/>
      <c r="AC364" s="157"/>
      <c r="AD364" s="157"/>
      <c r="AG364" s="157"/>
      <c r="AH364" s="157"/>
      <c r="AI364" s="157"/>
    </row>
    <row r="365" spans="2:35" x14ac:dyDescent="0.3">
      <c r="B365" s="146"/>
      <c r="C365" s="146"/>
      <c r="D365" s="146"/>
      <c r="E365" s="146"/>
      <c r="F365" s="146"/>
      <c r="G365" s="146"/>
      <c r="H365" s="146"/>
      <c r="I365" s="146"/>
      <c r="J365" s="146"/>
      <c r="K365" s="146"/>
      <c r="L365" s="146"/>
      <c r="R365" s="157"/>
      <c r="S365" s="157"/>
      <c r="T365" s="157"/>
      <c r="W365" s="157"/>
      <c r="X365" s="157"/>
      <c r="Y365" s="157"/>
      <c r="AB365" s="157"/>
      <c r="AC365" s="157"/>
      <c r="AD365" s="157"/>
      <c r="AG365" s="157"/>
      <c r="AH365" s="157"/>
      <c r="AI365" s="157"/>
    </row>
    <row r="366" spans="2:35" x14ac:dyDescent="0.3">
      <c r="B366" s="146"/>
      <c r="C366" s="146"/>
      <c r="D366" s="146"/>
      <c r="E366" s="146"/>
      <c r="F366" s="146"/>
      <c r="G366" s="146"/>
      <c r="H366" s="146"/>
      <c r="I366" s="146"/>
      <c r="J366" s="146"/>
      <c r="K366" s="146"/>
      <c r="L366" s="146"/>
      <c r="R366" s="157"/>
      <c r="S366" s="157"/>
      <c r="T366" s="157"/>
      <c r="W366" s="157"/>
      <c r="X366" s="157"/>
      <c r="Y366" s="157"/>
      <c r="AB366" s="157"/>
      <c r="AC366" s="157"/>
      <c r="AD366" s="157"/>
      <c r="AG366" s="157"/>
      <c r="AH366" s="157"/>
      <c r="AI366" s="157"/>
    </row>
    <row r="367" spans="2:35" x14ac:dyDescent="0.3">
      <c r="B367" s="146"/>
      <c r="C367" s="146"/>
      <c r="D367" s="146"/>
      <c r="E367" s="146"/>
      <c r="F367" s="146"/>
      <c r="G367" s="146"/>
      <c r="H367" s="146"/>
      <c r="I367" s="146"/>
      <c r="J367" s="146"/>
      <c r="K367" s="146"/>
      <c r="L367" s="146"/>
      <c r="R367" s="157"/>
      <c r="S367" s="157"/>
      <c r="T367" s="157"/>
      <c r="W367" s="157"/>
      <c r="X367" s="157"/>
      <c r="Y367" s="157"/>
      <c r="AB367" s="157"/>
      <c r="AC367" s="157"/>
      <c r="AD367" s="157"/>
      <c r="AG367" s="157"/>
      <c r="AH367" s="157"/>
      <c r="AI367" s="157"/>
    </row>
    <row r="368" spans="2:35" x14ac:dyDescent="0.3">
      <c r="B368" s="146"/>
      <c r="C368" s="146"/>
      <c r="D368" s="146"/>
      <c r="E368" s="146"/>
      <c r="F368" s="146"/>
      <c r="G368" s="146"/>
      <c r="H368" s="146"/>
      <c r="I368" s="146"/>
      <c r="J368" s="146"/>
      <c r="K368" s="146"/>
      <c r="L368" s="146"/>
      <c r="R368" s="157"/>
      <c r="S368" s="157"/>
      <c r="T368" s="157"/>
      <c r="W368" s="157"/>
      <c r="X368" s="157"/>
      <c r="Y368" s="157"/>
      <c r="AB368" s="157"/>
      <c r="AC368" s="157"/>
      <c r="AD368" s="157"/>
      <c r="AG368" s="157"/>
      <c r="AH368" s="157"/>
      <c r="AI368" s="157"/>
    </row>
    <row r="369" spans="2:35" x14ac:dyDescent="0.3">
      <c r="B369" s="146"/>
      <c r="C369" s="146"/>
      <c r="D369" s="146"/>
      <c r="E369" s="146"/>
      <c r="F369" s="146"/>
      <c r="G369" s="146"/>
      <c r="H369" s="146"/>
      <c r="I369" s="146"/>
      <c r="J369" s="146"/>
      <c r="K369" s="146"/>
      <c r="L369" s="146"/>
      <c r="R369" s="157"/>
      <c r="S369" s="157"/>
      <c r="T369" s="157"/>
      <c r="W369" s="157"/>
      <c r="X369" s="157"/>
      <c r="Y369" s="157"/>
      <c r="AB369" s="157"/>
      <c r="AC369" s="157"/>
      <c r="AD369" s="157"/>
      <c r="AG369" s="157"/>
      <c r="AH369" s="157"/>
      <c r="AI369" s="157"/>
    </row>
    <row r="370" spans="2:35" x14ac:dyDescent="0.3">
      <c r="B370" s="146"/>
      <c r="C370" s="146"/>
      <c r="D370" s="146"/>
      <c r="E370" s="146"/>
      <c r="F370" s="146"/>
      <c r="G370" s="146"/>
      <c r="H370" s="146"/>
      <c r="I370" s="146"/>
      <c r="J370" s="146"/>
      <c r="K370" s="146"/>
      <c r="L370" s="146"/>
      <c r="R370" s="157"/>
      <c r="S370" s="157"/>
      <c r="T370" s="157"/>
      <c r="W370" s="157"/>
      <c r="X370" s="157"/>
      <c r="Y370" s="157"/>
      <c r="AB370" s="157"/>
      <c r="AC370" s="157"/>
      <c r="AD370" s="157"/>
      <c r="AG370" s="157"/>
      <c r="AH370" s="157"/>
      <c r="AI370" s="157"/>
    </row>
    <row r="371" spans="2:35" x14ac:dyDescent="0.3">
      <c r="B371" s="146"/>
      <c r="C371" s="146"/>
      <c r="D371" s="146"/>
      <c r="E371" s="146"/>
      <c r="F371" s="146"/>
      <c r="G371" s="146"/>
      <c r="H371" s="146"/>
      <c r="I371" s="146"/>
      <c r="J371" s="146"/>
      <c r="K371" s="146"/>
      <c r="L371" s="146"/>
      <c r="R371" s="157"/>
      <c r="S371" s="157"/>
      <c r="T371" s="157"/>
      <c r="W371" s="157"/>
      <c r="X371" s="157"/>
      <c r="Y371" s="157"/>
      <c r="AB371" s="157"/>
      <c r="AC371" s="157"/>
      <c r="AD371" s="157"/>
      <c r="AG371" s="157"/>
      <c r="AH371" s="157"/>
      <c r="AI371" s="157"/>
    </row>
    <row r="372" spans="2:35" x14ac:dyDescent="0.3">
      <c r="B372" s="146"/>
      <c r="C372" s="146"/>
      <c r="D372" s="146"/>
      <c r="E372" s="146"/>
      <c r="F372" s="146"/>
      <c r="G372" s="146"/>
      <c r="H372" s="146"/>
      <c r="I372" s="146"/>
      <c r="J372" s="146"/>
      <c r="K372" s="146"/>
      <c r="L372" s="146"/>
      <c r="R372" s="157"/>
      <c r="S372" s="157"/>
      <c r="T372" s="157"/>
      <c r="W372" s="157"/>
      <c r="X372" s="157"/>
      <c r="Y372" s="157"/>
      <c r="AB372" s="157"/>
      <c r="AC372" s="157"/>
      <c r="AD372" s="157"/>
      <c r="AG372" s="157"/>
      <c r="AH372" s="157"/>
      <c r="AI372" s="157"/>
    </row>
    <row r="373" spans="2:35" x14ac:dyDescent="0.3">
      <c r="B373" s="146"/>
      <c r="C373" s="146"/>
      <c r="D373" s="146"/>
      <c r="E373" s="146"/>
      <c r="F373" s="146"/>
      <c r="G373" s="146"/>
      <c r="H373" s="146"/>
      <c r="I373" s="146"/>
      <c r="J373" s="146"/>
      <c r="K373" s="146"/>
      <c r="L373" s="146"/>
      <c r="R373" s="157"/>
      <c r="S373" s="157"/>
      <c r="T373" s="157"/>
      <c r="W373" s="157"/>
      <c r="X373" s="157"/>
      <c r="Y373" s="157"/>
      <c r="AB373" s="157"/>
      <c r="AC373" s="157"/>
      <c r="AD373" s="157"/>
      <c r="AG373" s="157"/>
      <c r="AH373" s="157"/>
      <c r="AI373" s="157"/>
    </row>
    <row r="374" spans="2:35" x14ac:dyDescent="0.3">
      <c r="B374" s="146"/>
      <c r="C374" s="146"/>
      <c r="D374" s="146"/>
      <c r="E374" s="146"/>
      <c r="F374" s="146"/>
      <c r="G374" s="146"/>
      <c r="H374" s="146"/>
      <c r="I374" s="146"/>
      <c r="J374" s="146"/>
      <c r="K374" s="146"/>
      <c r="L374" s="146"/>
      <c r="R374" s="157"/>
      <c r="S374" s="157"/>
      <c r="T374" s="157"/>
      <c r="W374" s="157"/>
      <c r="X374" s="157"/>
      <c r="Y374" s="157"/>
      <c r="AB374" s="157"/>
      <c r="AC374" s="157"/>
      <c r="AD374" s="157"/>
      <c r="AG374" s="157"/>
      <c r="AH374" s="157"/>
      <c r="AI374" s="157"/>
    </row>
    <row r="375" spans="2:35" x14ac:dyDescent="0.3">
      <c r="B375" s="146"/>
      <c r="C375" s="146"/>
      <c r="D375" s="146"/>
      <c r="E375" s="146"/>
      <c r="F375" s="146"/>
      <c r="G375" s="146"/>
      <c r="H375" s="146"/>
      <c r="I375" s="146"/>
      <c r="J375" s="146"/>
      <c r="K375" s="146"/>
      <c r="L375" s="146"/>
      <c r="R375" s="157"/>
      <c r="S375" s="157"/>
      <c r="T375" s="157"/>
      <c r="W375" s="157"/>
      <c r="X375" s="157"/>
      <c r="Y375" s="157"/>
      <c r="AB375" s="157"/>
      <c r="AC375" s="157"/>
      <c r="AD375" s="157"/>
      <c r="AG375" s="157"/>
      <c r="AH375" s="157"/>
      <c r="AI375" s="157"/>
    </row>
    <row r="376" spans="2:35" x14ac:dyDescent="0.3">
      <c r="B376" s="146"/>
      <c r="C376" s="146"/>
      <c r="D376" s="146"/>
      <c r="E376" s="146"/>
      <c r="F376" s="146"/>
      <c r="G376" s="146"/>
      <c r="H376" s="146"/>
      <c r="I376" s="146"/>
      <c r="J376" s="146"/>
      <c r="K376" s="146"/>
      <c r="L376" s="146"/>
      <c r="R376" s="157"/>
      <c r="S376" s="157"/>
      <c r="T376" s="157"/>
      <c r="W376" s="157"/>
      <c r="X376" s="157"/>
      <c r="Y376" s="157"/>
      <c r="AB376" s="157"/>
      <c r="AC376" s="157"/>
      <c r="AD376" s="157"/>
      <c r="AG376" s="157"/>
      <c r="AH376" s="157"/>
      <c r="AI376" s="157"/>
    </row>
    <row r="377" spans="2:35" x14ac:dyDescent="0.3">
      <c r="B377" s="146"/>
      <c r="C377" s="146"/>
      <c r="D377" s="146"/>
      <c r="E377" s="146"/>
      <c r="F377" s="146"/>
      <c r="G377" s="146"/>
      <c r="H377" s="146"/>
      <c r="I377" s="146"/>
      <c r="J377" s="146"/>
      <c r="K377" s="146"/>
      <c r="L377" s="146"/>
      <c r="R377" s="157"/>
      <c r="S377" s="157"/>
      <c r="T377" s="157"/>
      <c r="W377" s="157"/>
      <c r="X377" s="157"/>
      <c r="Y377" s="157"/>
      <c r="AB377" s="157"/>
      <c r="AC377" s="157"/>
      <c r="AD377" s="157"/>
      <c r="AG377" s="157"/>
      <c r="AH377" s="157"/>
      <c r="AI377" s="157"/>
    </row>
    <row r="378" spans="2:35" x14ac:dyDescent="0.3">
      <c r="B378" s="146"/>
      <c r="C378" s="146"/>
      <c r="D378" s="146"/>
      <c r="E378" s="146"/>
      <c r="F378" s="146"/>
      <c r="G378" s="146"/>
      <c r="H378" s="146"/>
      <c r="I378" s="146"/>
      <c r="J378" s="146"/>
      <c r="K378" s="146"/>
      <c r="L378" s="146"/>
      <c r="R378" s="157"/>
      <c r="S378" s="157"/>
      <c r="T378" s="157"/>
      <c r="W378" s="157"/>
      <c r="X378" s="157"/>
      <c r="Y378" s="157"/>
      <c r="AB378" s="157"/>
      <c r="AC378" s="157"/>
      <c r="AD378" s="157"/>
      <c r="AG378" s="157"/>
      <c r="AH378" s="157"/>
      <c r="AI378" s="157"/>
    </row>
    <row r="379" spans="2:35" x14ac:dyDescent="0.3">
      <c r="B379" s="146"/>
      <c r="C379" s="146"/>
      <c r="D379" s="146"/>
      <c r="E379" s="146"/>
      <c r="F379" s="146"/>
      <c r="G379" s="146"/>
      <c r="H379" s="146"/>
      <c r="I379" s="146"/>
      <c r="J379" s="146"/>
      <c r="K379" s="146"/>
      <c r="L379" s="146"/>
      <c r="R379" s="157"/>
      <c r="S379" s="157"/>
      <c r="T379" s="157"/>
      <c r="W379" s="157"/>
      <c r="X379" s="157"/>
      <c r="Y379" s="157"/>
      <c r="AB379" s="157"/>
      <c r="AC379" s="157"/>
      <c r="AD379" s="157"/>
      <c r="AG379" s="157"/>
      <c r="AH379" s="157"/>
      <c r="AI379" s="157"/>
    </row>
    <row r="380" spans="2:35" x14ac:dyDescent="0.3">
      <c r="B380" s="146"/>
      <c r="C380" s="146"/>
      <c r="D380" s="146"/>
      <c r="E380" s="146"/>
      <c r="F380" s="146"/>
      <c r="G380" s="146"/>
      <c r="H380" s="146"/>
      <c r="I380" s="146"/>
      <c r="J380" s="146"/>
      <c r="K380" s="146"/>
      <c r="L380" s="146"/>
      <c r="R380" s="157"/>
      <c r="S380" s="157"/>
      <c r="T380" s="157"/>
      <c r="W380" s="157"/>
      <c r="X380" s="157"/>
      <c r="Y380" s="157"/>
      <c r="AB380" s="157"/>
      <c r="AC380" s="157"/>
      <c r="AD380" s="157"/>
      <c r="AG380" s="157"/>
      <c r="AH380" s="157"/>
      <c r="AI380" s="157"/>
    </row>
    <row r="381" spans="2:35" x14ac:dyDescent="0.3">
      <c r="B381" s="146"/>
      <c r="C381" s="146"/>
      <c r="D381" s="146"/>
      <c r="E381" s="146"/>
      <c r="F381" s="146"/>
      <c r="G381" s="146"/>
      <c r="H381" s="146"/>
      <c r="I381" s="146"/>
      <c r="J381" s="146"/>
      <c r="K381" s="146"/>
      <c r="L381" s="146"/>
      <c r="R381" s="157"/>
      <c r="S381" s="157"/>
      <c r="T381" s="157"/>
      <c r="W381" s="157"/>
      <c r="X381" s="157"/>
      <c r="Y381" s="157"/>
      <c r="AB381" s="157"/>
      <c r="AC381" s="157"/>
      <c r="AD381" s="157"/>
      <c r="AG381" s="157"/>
      <c r="AH381" s="157"/>
      <c r="AI381" s="157"/>
    </row>
    <row r="382" spans="2:35" x14ac:dyDescent="0.3">
      <c r="B382" s="146"/>
      <c r="C382" s="146"/>
      <c r="D382" s="146"/>
      <c r="E382" s="146"/>
      <c r="F382" s="146"/>
      <c r="G382" s="146"/>
      <c r="H382" s="146"/>
      <c r="I382" s="146"/>
      <c r="J382" s="146"/>
      <c r="K382" s="146"/>
      <c r="L382" s="146"/>
      <c r="R382" s="157"/>
      <c r="S382" s="157"/>
      <c r="T382" s="157"/>
      <c r="W382" s="157"/>
      <c r="X382" s="157"/>
      <c r="Y382" s="157"/>
      <c r="AB382" s="157"/>
      <c r="AC382" s="157"/>
      <c r="AD382" s="157"/>
      <c r="AG382" s="157"/>
      <c r="AH382" s="157"/>
      <c r="AI382" s="157"/>
    </row>
    <row r="383" spans="2:35" x14ac:dyDescent="0.3">
      <c r="B383" s="146"/>
      <c r="C383" s="146"/>
      <c r="D383" s="146"/>
      <c r="E383" s="146"/>
      <c r="F383" s="146"/>
      <c r="G383" s="146"/>
      <c r="H383" s="146"/>
      <c r="I383" s="146"/>
      <c r="J383" s="146"/>
      <c r="K383" s="146"/>
      <c r="L383" s="146"/>
      <c r="R383" s="157"/>
      <c r="S383" s="157"/>
      <c r="T383" s="157"/>
      <c r="W383" s="157"/>
      <c r="X383" s="157"/>
      <c r="Y383" s="157"/>
      <c r="AB383" s="157"/>
      <c r="AC383" s="157"/>
      <c r="AD383" s="157"/>
      <c r="AG383" s="157"/>
      <c r="AH383" s="157"/>
      <c r="AI383" s="157"/>
    </row>
    <row r="384" spans="2:35" x14ac:dyDescent="0.3">
      <c r="B384" s="146"/>
      <c r="C384" s="146"/>
      <c r="D384" s="146"/>
      <c r="E384" s="146"/>
      <c r="F384" s="146"/>
      <c r="G384" s="146"/>
      <c r="H384" s="146"/>
      <c r="I384" s="146"/>
      <c r="J384" s="146"/>
      <c r="K384" s="146"/>
      <c r="L384" s="146"/>
      <c r="R384" s="157"/>
      <c r="S384" s="157"/>
      <c r="T384" s="157"/>
      <c r="W384" s="157"/>
      <c r="X384" s="157"/>
      <c r="Y384" s="157"/>
      <c r="AB384" s="157"/>
      <c r="AC384" s="157"/>
      <c r="AD384" s="157"/>
      <c r="AG384" s="157"/>
      <c r="AH384" s="157"/>
      <c r="AI384" s="157"/>
    </row>
    <row r="385" spans="2:35" x14ac:dyDescent="0.3">
      <c r="B385" s="146"/>
      <c r="C385" s="146"/>
      <c r="D385" s="146"/>
      <c r="E385" s="146"/>
      <c r="F385" s="146"/>
      <c r="G385" s="146"/>
      <c r="H385" s="146"/>
      <c r="I385" s="146"/>
      <c r="J385" s="146"/>
      <c r="K385" s="146"/>
      <c r="L385" s="146"/>
      <c r="R385" s="157"/>
      <c r="S385" s="157"/>
      <c r="T385" s="157"/>
      <c r="W385" s="157"/>
      <c r="X385" s="157"/>
      <c r="Y385" s="157"/>
      <c r="AB385" s="157"/>
      <c r="AC385" s="157"/>
      <c r="AD385" s="157"/>
      <c r="AG385" s="157"/>
      <c r="AH385" s="157"/>
      <c r="AI385" s="157"/>
    </row>
    <row r="386" spans="2:35" x14ac:dyDescent="0.3">
      <c r="B386" s="146"/>
      <c r="C386" s="146"/>
      <c r="D386" s="146"/>
      <c r="E386" s="146"/>
      <c r="F386" s="146"/>
      <c r="G386" s="146"/>
      <c r="H386" s="146"/>
      <c r="I386" s="146"/>
      <c r="J386" s="146"/>
      <c r="K386" s="146"/>
      <c r="L386" s="146"/>
      <c r="R386" s="157"/>
      <c r="S386" s="157"/>
      <c r="T386" s="157"/>
      <c r="W386" s="157"/>
      <c r="X386" s="157"/>
      <c r="Y386" s="157"/>
      <c r="AB386" s="157"/>
      <c r="AC386" s="157"/>
      <c r="AD386" s="157"/>
      <c r="AG386" s="157"/>
      <c r="AH386" s="157"/>
      <c r="AI386" s="157"/>
    </row>
    <row r="387" spans="2:35" x14ac:dyDescent="0.3">
      <c r="B387" s="146"/>
      <c r="C387" s="146"/>
      <c r="D387" s="146"/>
      <c r="E387" s="146"/>
      <c r="F387" s="146"/>
      <c r="G387" s="146"/>
      <c r="H387" s="146"/>
      <c r="I387" s="146"/>
      <c r="J387" s="146"/>
      <c r="K387" s="146"/>
      <c r="L387" s="146"/>
      <c r="R387" s="157"/>
      <c r="S387" s="157"/>
      <c r="T387" s="157"/>
      <c r="W387" s="157"/>
      <c r="X387" s="157"/>
      <c r="Y387" s="157"/>
      <c r="AB387" s="157"/>
      <c r="AC387" s="157"/>
      <c r="AD387" s="157"/>
      <c r="AG387" s="157"/>
      <c r="AH387" s="157"/>
      <c r="AI387" s="157"/>
    </row>
    <row r="388" spans="2:35" x14ac:dyDescent="0.3">
      <c r="B388" s="146"/>
      <c r="C388" s="146"/>
      <c r="D388" s="146"/>
      <c r="E388" s="146"/>
      <c r="F388" s="146"/>
      <c r="G388" s="146"/>
      <c r="H388" s="146"/>
      <c r="I388" s="146"/>
      <c r="J388" s="146"/>
      <c r="K388" s="146"/>
      <c r="L388" s="146"/>
      <c r="R388" s="157"/>
      <c r="S388" s="157"/>
      <c r="T388" s="157"/>
      <c r="W388" s="157"/>
      <c r="X388" s="157"/>
      <c r="Y388" s="157"/>
      <c r="AB388" s="157"/>
      <c r="AC388" s="157"/>
      <c r="AD388" s="157"/>
      <c r="AG388" s="157"/>
      <c r="AH388" s="157"/>
      <c r="AI388" s="157"/>
    </row>
    <row r="389" spans="2:35" x14ac:dyDescent="0.3">
      <c r="B389" s="146"/>
      <c r="C389" s="146"/>
      <c r="D389" s="146"/>
      <c r="E389" s="146"/>
      <c r="F389" s="146"/>
      <c r="G389" s="146"/>
      <c r="H389" s="146"/>
      <c r="I389" s="146"/>
      <c r="J389" s="146"/>
      <c r="K389" s="146"/>
      <c r="L389" s="146"/>
      <c r="R389" s="157"/>
      <c r="S389" s="157"/>
      <c r="T389" s="157"/>
      <c r="W389" s="157"/>
      <c r="X389" s="157"/>
      <c r="Y389" s="157"/>
      <c r="AB389" s="157"/>
      <c r="AC389" s="157"/>
      <c r="AD389" s="157"/>
      <c r="AG389" s="157"/>
      <c r="AH389" s="157"/>
      <c r="AI389" s="157"/>
    </row>
    <row r="390" spans="2:35" x14ac:dyDescent="0.3">
      <c r="B390" s="146"/>
      <c r="C390" s="146"/>
      <c r="D390" s="146"/>
      <c r="E390" s="146"/>
      <c r="F390" s="146"/>
      <c r="G390" s="146"/>
      <c r="H390" s="146"/>
      <c r="I390" s="146"/>
      <c r="J390" s="146"/>
      <c r="K390" s="146"/>
      <c r="L390" s="146"/>
      <c r="R390" s="157"/>
      <c r="S390" s="157"/>
      <c r="T390" s="157"/>
      <c r="W390" s="157"/>
      <c r="X390" s="157"/>
      <c r="Y390" s="157"/>
      <c r="AB390" s="157"/>
      <c r="AC390" s="157"/>
      <c r="AD390" s="157"/>
      <c r="AG390" s="157"/>
      <c r="AH390" s="157"/>
      <c r="AI390" s="157"/>
    </row>
    <row r="391" spans="2:35" x14ac:dyDescent="0.3">
      <c r="B391" s="146"/>
      <c r="C391" s="146"/>
      <c r="D391" s="146"/>
      <c r="E391" s="146"/>
      <c r="F391" s="146"/>
      <c r="G391" s="146"/>
      <c r="H391" s="146"/>
      <c r="I391" s="146"/>
      <c r="J391" s="146"/>
      <c r="K391" s="146"/>
      <c r="L391" s="146"/>
      <c r="R391" s="157"/>
      <c r="S391" s="157"/>
      <c r="T391" s="157"/>
      <c r="W391" s="157"/>
      <c r="X391" s="157"/>
      <c r="Y391" s="157"/>
      <c r="AB391" s="157"/>
      <c r="AC391" s="157"/>
      <c r="AD391" s="157"/>
      <c r="AG391" s="157"/>
      <c r="AH391" s="157"/>
      <c r="AI391" s="157"/>
    </row>
    <row r="392" spans="2:35" x14ac:dyDescent="0.3">
      <c r="B392" s="146"/>
      <c r="C392" s="146"/>
      <c r="D392" s="146"/>
      <c r="E392" s="146"/>
      <c r="F392" s="146"/>
      <c r="G392" s="146"/>
      <c r="H392" s="146"/>
      <c r="I392" s="146"/>
      <c r="J392" s="146"/>
      <c r="K392" s="146"/>
      <c r="L392" s="146"/>
      <c r="R392" s="157"/>
      <c r="S392" s="157"/>
      <c r="T392" s="157"/>
      <c r="W392" s="157"/>
      <c r="X392" s="157"/>
      <c r="Y392" s="157"/>
      <c r="AB392" s="157"/>
      <c r="AC392" s="157"/>
      <c r="AD392" s="157"/>
      <c r="AG392" s="157"/>
      <c r="AH392" s="157"/>
      <c r="AI392" s="157"/>
    </row>
    <row r="393" spans="2:35" x14ac:dyDescent="0.3">
      <c r="B393" s="146"/>
      <c r="C393" s="146"/>
      <c r="D393" s="146"/>
      <c r="E393" s="146"/>
      <c r="F393" s="146"/>
      <c r="G393" s="146"/>
      <c r="H393" s="146"/>
      <c r="I393" s="146"/>
      <c r="J393" s="146"/>
      <c r="K393" s="146"/>
      <c r="L393" s="146"/>
      <c r="R393" s="157"/>
      <c r="S393" s="157"/>
      <c r="T393" s="157"/>
      <c r="W393" s="157"/>
      <c r="X393" s="157"/>
      <c r="Y393" s="157"/>
      <c r="AB393" s="157"/>
      <c r="AC393" s="157"/>
      <c r="AD393" s="157"/>
      <c r="AG393" s="157"/>
      <c r="AH393" s="157"/>
      <c r="AI393" s="157"/>
    </row>
    <row r="394" spans="2:35" x14ac:dyDescent="0.3">
      <c r="B394" s="146"/>
      <c r="C394" s="146"/>
      <c r="D394" s="146"/>
      <c r="E394" s="146"/>
      <c r="F394" s="146"/>
      <c r="G394" s="146"/>
      <c r="H394" s="146"/>
      <c r="I394" s="146"/>
      <c r="J394" s="146"/>
      <c r="K394" s="146"/>
      <c r="L394" s="146"/>
      <c r="R394" s="157"/>
      <c r="S394" s="157"/>
      <c r="T394" s="157"/>
      <c r="W394" s="157"/>
      <c r="X394" s="157"/>
      <c r="Y394" s="157"/>
      <c r="AB394" s="157"/>
      <c r="AC394" s="157"/>
      <c r="AD394" s="157"/>
      <c r="AG394" s="157"/>
      <c r="AH394" s="157"/>
      <c r="AI394" s="157"/>
    </row>
    <row r="395" spans="2:35" x14ac:dyDescent="0.3">
      <c r="B395" s="146"/>
      <c r="C395" s="146"/>
      <c r="D395" s="146"/>
      <c r="E395" s="146"/>
      <c r="F395" s="146"/>
      <c r="G395" s="146"/>
      <c r="H395" s="146"/>
      <c r="I395" s="146"/>
      <c r="J395" s="146"/>
      <c r="K395" s="146"/>
      <c r="L395" s="146"/>
      <c r="R395" s="157"/>
      <c r="S395" s="157"/>
      <c r="T395" s="157"/>
      <c r="W395" s="157"/>
      <c r="X395" s="157"/>
      <c r="Y395" s="157"/>
      <c r="AB395" s="157"/>
      <c r="AC395" s="157"/>
      <c r="AD395" s="157"/>
      <c r="AG395" s="157"/>
      <c r="AH395" s="157"/>
      <c r="AI395" s="157"/>
    </row>
    <row r="396" spans="2:35" x14ac:dyDescent="0.3">
      <c r="B396" s="146"/>
      <c r="C396" s="146"/>
      <c r="D396" s="146"/>
      <c r="E396" s="146"/>
      <c r="F396" s="146"/>
      <c r="G396" s="146"/>
      <c r="H396" s="146"/>
      <c r="I396" s="146"/>
      <c r="J396" s="146"/>
      <c r="K396" s="146"/>
      <c r="L396" s="146"/>
      <c r="R396" s="157"/>
      <c r="S396" s="157"/>
      <c r="T396" s="157"/>
      <c r="W396" s="157"/>
      <c r="X396" s="157"/>
      <c r="Y396" s="157"/>
      <c r="AB396" s="157"/>
      <c r="AC396" s="157"/>
      <c r="AD396" s="157"/>
      <c r="AG396" s="157"/>
      <c r="AH396" s="157"/>
      <c r="AI396" s="157"/>
    </row>
    <row r="397" spans="2:35" x14ac:dyDescent="0.3">
      <c r="B397" s="146"/>
      <c r="C397" s="146"/>
      <c r="D397" s="146"/>
      <c r="E397" s="146"/>
      <c r="F397" s="146"/>
      <c r="G397" s="146"/>
      <c r="H397" s="146"/>
      <c r="I397" s="146"/>
      <c r="J397" s="146"/>
      <c r="K397" s="146"/>
      <c r="L397" s="146"/>
      <c r="R397" s="157"/>
      <c r="S397" s="157"/>
      <c r="T397" s="157"/>
      <c r="W397" s="157"/>
      <c r="X397" s="157"/>
      <c r="Y397" s="157"/>
      <c r="AB397" s="157"/>
      <c r="AC397" s="157"/>
      <c r="AD397" s="157"/>
      <c r="AG397" s="157"/>
      <c r="AH397" s="157"/>
      <c r="AI397" s="157"/>
    </row>
    <row r="398" spans="2:35" x14ac:dyDescent="0.3">
      <c r="B398" s="146"/>
      <c r="C398" s="146"/>
      <c r="D398" s="146"/>
      <c r="E398" s="146"/>
      <c r="F398" s="146"/>
      <c r="G398" s="146"/>
      <c r="H398" s="146"/>
      <c r="I398" s="146"/>
      <c r="J398" s="146"/>
      <c r="K398" s="146"/>
      <c r="L398" s="146"/>
      <c r="R398" s="157"/>
      <c r="S398" s="157"/>
      <c r="T398" s="157"/>
      <c r="W398" s="157"/>
      <c r="X398" s="157"/>
      <c r="Y398" s="157"/>
      <c r="AB398" s="157"/>
      <c r="AC398" s="157"/>
      <c r="AD398" s="157"/>
      <c r="AG398" s="157"/>
      <c r="AH398" s="157"/>
      <c r="AI398" s="157"/>
    </row>
    <row r="399" spans="2:35" x14ac:dyDescent="0.3">
      <c r="B399" s="146"/>
      <c r="C399" s="146"/>
      <c r="D399" s="146"/>
      <c r="E399" s="146"/>
      <c r="F399" s="146"/>
      <c r="G399" s="146"/>
      <c r="H399" s="146"/>
      <c r="I399" s="146"/>
      <c r="J399" s="146"/>
      <c r="K399" s="146"/>
      <c r="L399" s="146"/>
      <c r="R399" s="157"/>
      <c r="S399" s="157"/>
      <c r="T399" s="157"/>
      <c r="W399" s="157"/>
      <c r="X399" s="157"/>
      <c r="Y399" s="157"/>
      <c r="AB399" s="157"/>
      <c r="AC399" s="157"/>
      <c r="AD399" s="157"/>
      <c r="AG399" s="157"/>
      <c r="AH399" s="157"/>
      <c r="AI399" s="157"/>
    </row>
    <row r="400" spans="2:35" x14ac:dyDescent="0.3">
      <c r="B400" s="146"/>
      <c r="C400" s="146"/>
      <c r="D400" s="146"/>
      <c r="E400" s="146"/>
      <c r="F400" s="146"/>
      <c r="G400" s="146"/>
      <c r="H400" s="146"/>
      <c r="I400" s="146"/>
      <c r="J400" s="146"/>
      <c r="K400" s="146"/>
      <c r="L400" s="146"/>
      <c r="R400" s="157"/>
      <c r="S400" s="157"/>
      <c r="T400" s="157"/>
      <c r="W400" s="157"/>
      <c r="X400" s="157"/>
      <c r="Y400" s="157"/>
      <c r="AB400" s="157"/>
      <c r="AC400" s="157"/>
      <c r="AD400" s="157"/>
      <c r="AG400" s="157"/>
      <c r="AH400" s="157"/>
      <c r="AI400" s="157"/>
    </row>
    <row r="401" spans="2:35" x14ac:dyDescent="0.3">
      <c r="B401" s="146"/>
      <c r="C401" s="146"/>
      <c r="D401" s="146"/>
      <c r="E401" s="146"/>
      <c r="F401" s="146"/>
      <c r="G401" s="146"/>
      <c r="H401" s="146"/>
      <c r="I401" s="146"/>
      <c r="J401" s="146"/>
      <c r="K401" s="146"/>
      <c r="L401" s="146"/>
      <c r="R401" s="157"/>
      <c r="S401" s="157"/>
      <c r="T401" s="157"/>
      <c r="W401" s="157"/>
      <c r="X401" s="157"/>
      <c r="Y401" s="157"/>
      <c r="AB401" s="157"/>
      <c r="AC401" s="157"/>
      <c r="AD401" s="157"/>
      <c r="AG401" s="157"/>
      <c r="AH401" s="157"/>
      <c r="AI401" s="157"/>
    </row>
    <row r="402" spans="2:35" x14ac:dyDescent="0.3">
      <c r="B402" s="146"/>
      <c r="C402" s="146"/>
      <c r="D402" s="146"/>
      <c r="E402" s="146"/>
      <c r="F402" s="146"/>
      <c r="G402" s="146"/>
      <c r="H402" s="146"/>
      <c r="I402" s="146"/>
      <c r="J402" s="146"/>
      <c r="K402" s="146"/>
      <c r="L402" s="146"/>
      <c r="R402" s="157"/>
      <c r="S402" s="157"/>
      <c r="T402" s="157"/>
      <c r="W402" s="157"/>
      <c r="X402" s="157"/>
      <c r="Y402" s="157"/>
      <c r="AB402" s="157"/>
      <c r="AC402" s="157"/>
      <c r="AD402" s="157"/>
      <c r="AG402" s="157"/>
      <c r="AH402" s="157"/>
      <c r="AI402" s="157"/>
    </row>
    <row r="403" spans="2:35" x14ac:dyDescent="0.3">
      <c r="B403" s="146"/>
      <c r="C403" s="146"/>
      <c r="D403" s="146"/>
      <c r="E403" s="146"/>
      <c r="F403" s="146"/>
      <c r="G403" s="146"/>
      <c r="H403" s="146"/>
      <c r="I403" s="146"/>
      <c r="J403" s="146"/>
      <c r="K403" s="146"/>
      <c r="L403" s="146"/>
      <c r="R403" s="157"/>
      <c r="S403" s="157"/>
      <c r="T403" s="157"/>
      <c r="W403" s="157"/>
      <c r="X403" s="157"/>
      <c r="Y403" s="157"/>
      <c r="AB403" s="157"/>
      <c r="AC403" s="157"/>
      <c r="AD403" s="157"/>
      <c r="AG403" s="157"/>
      <c r="AH403" s="157"/>
      <c r="AI403" s="157"/>
    </row>
    <row r="404" spans="2:35" x14ac:dyDescent="0.3">
      <c r="B404" s="146"/>
      <c r="C404" s="146"/>
      <c r="D404" s="146"/>
      <c r="E404" s="146"/>
      <c r="F404" s="146"/>
      <c r="G404" s="146"/>
      <c r="H404" s="146"/>
      <c r="I404" s="146"/>
      <c r="J404" s="146"/>
      <c r="K404" s="146"/>
      <c r="L404" s="146"/>
      <c r="R404" s="157"/>
      <c r="S404" s="157"/>
      <c r="T404" s="157"/>
      <c r="W404" s="157"/>
      <c r="X404" s="157"/>
      <c r="Y404" s="157"/>
      <c r="AB404" s="157"/>
      <c r="AC404" s="157"/>
      <c r="AD404" s="157"/>
      <c r="AG404" s="157"/>
      <c r="AH404" s="157"/>
      <c r="AI404" s="157"/>
    </row>
    <row r="405" spans="2:35" x14ac:dyDescent="0.3">
      <c r="B405" s="146"/>
      <c r="C405" s="146"/>
      <c r="D405" s="146"/>
      <c r="E405" s="146"/>
      <c r="F405" s="146"/>
      <c r="G405" s="146"/>
      <c r="H405" s="146"/>
      <c r="I405" s="146"/>
      <c r="J405" s="146"/>
      <c r="K405" s="146"/>
      <c r="L405" s="146"/>
      <c r="R405" s="157"/>
      <c r="S405" s="157"/>
      <c r="T405" s="157"/>
      <c r="W405" s="157"/>
      <c r="X405" s="157"/>
      <c r="Y405" s="157"/>
      <c r="AB405" s="157"/>
      <c r="AC405" s="157"/>
      <c r="AD405" s="157"/>
      <c r="AG405" s="157"/>
      <c r="AH405" s="157"/>
      <c r="AI405" s="157"/>
    </row>
    <row r="406" spans="2:35" x14ac:dyDescent="0.3">
      <c r="B406" s="146"/>
      <c r="C406" s="146"/>
      <c r="D406" s="146"/>
      <c r="E406" s="146"/>
      <c r="F406" s="146"/>
      <c r="G406" s="146"/>
      <c r="H406" s="146"/>
      <c r="I406" s="146"/>
      <c r="J406" s="146"/>
      <c r="K406" s="146"/>
      <c r="L406" s="146"/>
      <c r="R406" s="157"/>
      <c r="S406" s="157"/>
      <c r="T406" s="157"/>
      <c r="W406" s="157"/>
      <c r="X406" s="157"/>
      <c r="Y406" s="157"/>
      <c r="AB406" s="157"/>
      <c r="AC406" s="157"/>
      <c r="AD406" s="157"/>
      <c r="AG406" s="157"/>
      <c r="AH406" s="157"/>
      <c r="AI406" s="157"/>
    </row>
    <row r="407" spans="2:35" x14ac:dyDescent="0.3">
      <c r="B407" s="146"/>
      <c r="C407" s="146"/>
      <c r="D407" s="146"/>
      <c r="E407" s="146"/>
      <c r="F407" s="146"/>
      <c r="G407" s="146"/>
      <c r="H407" s="146"/>
      <c r="I407" s="146"/>
      <c r="J407" s="146"/>
      <c r="K407" s="146"/>
      <c r="L407" s="146"/>
      <c r="R407" s="157"/>
      <c r="S407" s="157"/>
      <c r="T407" s="157"/>
      <c r="W407" s="157"/>
      <c r="X407" s="157"/>
      <c r="Y407" s="157"/>
      <c r="AB407" s="157"/>
      <c r="AC407" s="157"/>
      <c r="AD407" s="157"/>
      <c r="AG407" s="157"/>
      <c r="AH407" s="157"/>
      <c r="AI407" s="157"/>
    </row>
    <row r="408" spans="2:35" x14ac:dyDescent="0.3">
      <c r="B408" s="146"/>
      <c r="C408" s="146"/>
      <c r="D408" s="146"/>
      <c r="E408" s="146"/>
      <c r="F408" s="146"/>
      <c r="G408" s="146"/>
      <c r="H408" s="146"/>
      <c r="I408" s="146"/>
      <c r="J408" s="146"/>
      <c r="K408" s="146"/>
      <c r="L408" s="146"/>
      <c r="R408" s="157"/>
      <c r="S408" s="157"/>
      <c r="T408" s="157"/>
      <c r="W408" s="157"/>
      <c r="X408" s="157"/>
      <c r="Y408" s="157"/>
      <c r="AB408" s="157"/>
      <c r="AC408" s="157"/>
      <c r="AD408" s="157"/>
      <c r="AG408" s="157"/>
      <c r="AH408" s="157"/>
      <c r="AI408" s="157"/>
    </row>
    <row r="409" spans="2:35" x14ac:dyDescent="0.3">
      <c r="B409" s="146"/>
      <c r="C409" s="146"/>
      <c r="D409" s="146"/>
      <c r="E409" s="146"/>
      <c r="F409" s="146"/>
      <c r="G409" s="146"/>
      <c r="H409" s="146"/>
      <c r="I409" s="146"/>
      <c r="J409" s="146"/>
      <c r="K409" s="146"/>
      <c r="L409" s="146"/>
      <c r="R409" s="157"/>
      <c r="S409" s="157"/>
      <c r="T409" s="157"/>
      <c r="W409" s="157"/>
      <c r="X409" s="157"/>
      <c r="Y409" s="157"/>
      <c r="AB409" s="157"/>
      <c r="AC409" s="157"/>
      <c r="AD409" s="157"/>
      <c r="AG409" s="157"/>
      <c r="AH409" s="157"/>
      <c r="AI409" s="157"/>
    </row>
    <row r="410" spans="2:35" x14ac:dyDescent="0.3">
      <c r="B410" s="146"/>
      <c r="C410" s="146"/>
      <c r="D410" s="146"/>
      <c r="E410" s="146"/>
      <c r="F410" s="146"/>
      <c r="G410" s="146"/>
      <c r="H410" s="146"/>
      <c r="I410" s="146"/>
      <c r="J410" s="146"/>
      <c r="K410" s="146"/>
      <c r="L410" s="146"/>
      <c r="R410" s="157"/>
      <c r="S410" s="157"/>
      <c r="T410" s="157"/>
      <c r="W410" s="157"/>
      <c r="X410" s="157"/>
      <c r="Y410" s="157"/>
      <c r="AB410" s="157"/>
      <c r="AC410" s="157"/>
      <c r="AD410" s="157"/>
      <c r="AG410" s="157"/>
      <c r="AH410" s="157"/>
      <c r="AI410" s="157"/>
    </row>
    <row r="411" spans="2:35" x14ac:dyDescent="0.3">
      <c r="B411" s="146"/>
      <c r="C411" s="146"/>
      <c r="D411" s="146"/>
      <c r="E411" s="146"/>
      <c r="F411" s="146"/>
      <c r="G411" s="146"/>
      <c r="H411" s="146"/>
      <c r="I411" s="146"/>
      <c r="J411" s="146"/>
      <c r="K411" s="146"/>
      <c r="L411" s="146"/>
      <c r="R411" s="157"/>
      <c r="S411" s="157"/>
      <c r="T411" s="157"/>
      <c r="W411" s="157"/>
      <c r="X411" s="157"/>
      <c r="Y411" s="157"/>
      <c r="AB411" s="157"/>
      <c r="AC411" s="157"/>
      <c r="AD411" s="157"/>
      <c r="AG411" s="157"/>
      <c r="AH411" s="157"/>
      <c r="AI411" s="157"/>
    </row>
    <row r="412" spans="2:35" x14ac:dyDescent="0.3">
      <c r="B412" s="146"/>
      <c r="C412" s="146"/>
      <c r="D412" s="146"/>
      <c r="E412" s="146"/>
      <c r="F412" s="146"/>
      <c r="G412" s="146"/>
      <c r="H412" s="146"/>
      <c r="I412" s="146"/>
      <c r="J412" s="146"/>
      <c r="K412" s="146"/>
      <c r="L412" s="146"/>
      <c r="R412" s="157"/>
      <c r="S412" s="157"/>
      <c r="T412" s="157"/>
      <c r="W412" s="157"/>
      <c r="X412" s="157"/>
      <c r="Y412" s="157"/>
      <c r="AB412" s="157"/>
      <c r="AC412" s="157"/>
      <c r="AD412" s="157"/>
      <c r="AG412" s="157"/>
      <c r="AH412" s="157"/>
      <c r="AI412" s="157"/>
    </row>
    <row r="413" spans="2:35" x14ac:dyDescent="0.3">
      <c r="B413" s="146"/>
      <c r="C413" s="146"/>
      <c r="D413" s="146"/>
      <c r="E413" s="146"/>
      <c r="F413" s="146"/>
      <c r="G413" s="146"/>
      <c r="H413" s="146"/>
      <c r="I413" s="146"/>
      <c r="J413" s="146"/>
      <c r="K413" s="146"/>
      <c r="L413" s="146"/>
      <c r="R413" s="157"/>
      <c r="S413" s="157"/>
      <c r="T413" s="157"/>
      <c r="W413" s="157"/>
      <c r="X413" s="157"/>
      <c r="Y413" s="157"/>
      <c r="AB413" s="157"/>
      <c r="AC413" s="157"/>
      <c r="AD413" s="157"/>
      <c r="AG413" s="157"/>
      <c r="AH413" s="157"/>
      <c r="AI413" s="157"/>
    </row>
    <row r="414" spans="2:35" x14ac:dyDescent="0.3">
      <c r="B414" s="146"/>
      <c r="C414" s="146"/>
      <c r="D414" s="146"/>
      <c r="E414" s="146"/>
      <c r="F414" s="146"/>
      <c r="G414" s="146"/>
      <c r="H414" s="146"/>
      <c r="I414" s="146"/>
      <c r="J414" s="146"/>
      <c r="K414" s="146"/>
      <c r="L414" s="146"/>
      <c r="R414" s="157"/>
      <c r="S414" s="157"/>
      <c r="T414" s="157"/>
      <c r="W414" s="157"/>
      <c r="X414" s="157"/>
      <c r="Y414" s="157"/>
      <c r="AB414" s="157"/>
      <c r="AC414" s="157"/>
      <c r="AD414" s="157"/>
      <c r="AG414" s="157"/>
      <c r="AH414" s="157"/>
      <c r="AI414" s="157"/>
    </row>
    <row r="415" spans="2:35" x14ac:dyDescent="0.3">
      <c r="B415" s="146"/>
      <c r="C415" s="146"/>
      <c r="D415" s="146"/>
      <c r="E415" s="146"/>
      <c r="F415" s="146"/>
      <c r="G415" s="146"/>
      <c r="H415" s="146"/>
      <c r="I415" s="146"/>
      <c r="J415" s="146"/>
      <c r="K415" s="146"/>
      <c r="L415" s="146"/>
      <c r="R415" s="157"/>
      <c r="S415" s="157"/>
      <c r="T415" s="157"/>
      <c r="W415" s="157"/>
      <c r="X415" s="157"/>
      <c r="Y415" s="157"/>
      <c r="AB415" s="157"/>
      <c r="AC415" s="157"/>
      <c r="AD415" s="157"/>
      <c r="AG415" s="157"/>
      <c r="AH415" s="157"/>
      <c r="AI415" s="157"/>
    </row>
    <row r="416" spans="2:35" x14ac:dyDescent="0.3">
      <c r="B416" s="146"/>
      <c r="C416" s="146"/>
      <c r="D416" s="146"/>
      <c r="E416" s="146"/>
      <c r="F416" s="146"/>
      <c r="G416" s="146"/>
      <c r="H416" s="146"/>
      <c r="I416" s="146"/>
      <c r="J416" s="146"/>
      <c r="K416" s="146"/>
      <c r="L416" s="146"/>
      <c r="R416" s="157"/>
      <c r="S416" s="157"/>
      <c r="T416" s="157"/>
      <c r="W416" s="157"/>
      <c r="X416" s="157"/>
      <c r="Y416" s="157"/>
      <c r="AB416" s="157"/>
      <c r="AC416" s="157"/>
      <c r="AD416" s="157"/>
      <c r="AG416" s="157"/>
      <c r="AH416" s="157"/>
      <c r="AI416" s="157"/>
    </row>
    <row r="417" spans="2:35" x14ac:dyDescent="0.3">
      <c r="B417" s="146"/>
      <c r="C417" s="146"/>
      <c r="D417" s="146"/>
      <c r="E417" s="146"/>
      <c r="F417" s="146"/>
      <c r="G417" s="146"/>
      <c r="H417" s="146"/>
      <c r="I417" s="146"/>
      <c r="J417" s="146"/>
      <c r="K417" s="146"/>
      <c r="L417" s="146"/>
      <c r="R417" s="157"/>
      <c r="S417" s="157"/>
      <c r="T417" s="157"/>
      <c r="W417" s="157"/>
      <c r="X417" s="157"/>
      <c r="Y417" s="157"/>
      <c r="AB417" s="157"/>
      <c r="AC417" s="157"/>
      <c r="AD417" s="157"/>
      <c r="AG417" s="157"/>
      <c r="AH417" s="157"/>
      <c r="AI417" s="157"/>
    </row>
    <row r="418" spans="2:35" x14ac:dyDescent="0.3">
      <c r="B418" s="146"/>
      <c r="C418" s="146"/>
      <c r="D418" s="146"/>
      <c r="E418" s="146"/>
      <c r="F418" s="146"/>
      <c r="G418" s="146"/>
      <c r="H418" s="146"/>
      <c r="I418" s="146"/>
      <c r="J418" s="146"/>
      <c r="K418" s="146"/>
      <c r="L418" s="146"/>
      <c r="R418" s="157"/>
      <c r="S418" s="157"/>
      <c r="T418" s="157"/>
      <c r="W418" s="157"/>
      <c r="X418" s="157"/>
      <c r="Y418" s="157"/>
      <c r="AB418" s="157"/>
      <c r="AC418" s="157"/>
      <c r="AD418" s="157"/>
      <c r="AG418" s="157"/>
      <c r="AH418" s="157"/>
      <c r="AI418" s="157"/>
    </row>
    <row r="419" spans="2:35" x14ac:dyDescent="0.3">
      <c r="B419" s="146"/>
      <c r="C419" s="146"/>
      <c r="D419" s="146"/>
      <c r="E419" s="146"/>
      <c r="F419" s="146"/>
      <c r="G419" s="146"/>
      <c r="H419" s="146"/>
      <c r="I419" s="146"/>
      <c r="J419" s="146"/>
      <c r="K419" s="146"/>
      <c r="L419" s="146"/>
      <c r="R419" s="157"/>
      <c r="S419" s="157"/>
      <c r="T419" s="157"/>
      <c r="W419" s="157"/>
      <c r="X419" s="157"/>
      <c r="Y419" s="157"/>
      <c r="AB419" s="157"/>
      <c r="AC419" s="157"/>
      <c r="AD419" s="157"/>
      <c r="AG419" s="157"/>
      <c r="AH419" s="157"/>
      <c r="AI419" s="157"/>
    </row>
    <row r="420" spans="2:35" x14ac:dyDescent="0.3">
      <c r="B420" s="146"/>
      <c r="C420" s="146"/>
      <c r="D420" s="146"/>
      <c r="E420" s="146"/>
      <c r="F420" s="146"/>
      <c r="G420" s="146"/>
      <c r="H420" s="146"/>
      <c r="I420" s="146"/>
      <c r="J420" s="146"/>
      <c r="K420" s="146"/>
      <c r="L420" s="146"/>
      <c r="R420" s="157"/>
      <c r="S420" s="157"/>
      <c r="T420" s="157"/>
      <c r="W420" s="157"/>
      <c r="X420" s="157"/>
      <c r="Y420" s="157"/>
      <c r="AB420" s="157"/>
      <c r="AC420" s="157"/>
      <c r="AD420" s="157"/>
      <c r="AG420" s="157"/>
      <c r="AH420" s="157"/>
      <c r="AI420" s="157"/>
    </row>
    <row r="421" spans="2:35" x14ac:dyDescent="0.3">
      <c r="B421" s="146"/>
      <c r="C421" s="146"/>
      <c r="D421" s="146"/>
      <c r="E421" s="146"/>
      <c r="F421" s="146"/>
      <c r="G421" s="146"/>
      <c r="H421" s="146"/>
      <c r="I421" s="146"/>
      <c r="J421" s="146"/>
      <c r="K421" s="146"/>
      <c r="L421" s="146"/>
      <c r="R421" s="157"/>
      <c r="S421" s="157"/>
      <c r="T421" s="157"/>
      <c r="W421" s="157"/>
      <c r="X421" s="157"/>
      <c r="Y421" s="157"/>
      <c r="AB421" s="157"/>
      <c r="AC421" s="157"/>
      <c r="AD421" s="157"/>
      <c r="AG421" s="157"/>
      <c r="AH421" s="157"/>
      <c r="AI421" s="157"/>
    </row>
    <row r="422" spans="2:35" x14ac:dyDescent="0.3">
      <c r="B422" s="146"/>
      <c r="C422" s="146"/>
      <c r="D422" s="146"/>
      <c r="E422" s="146"/>
      <c r="F422" s="146"/>
      <c r="G422" s="146"/>
      <c r="H422" s="146"/>
      <c r="I422" s="146"/>
      <c r="J422" s="146"/>
      <c r="K422" s="146"/>
      <c r="L422" s="146"/>
      <c r="R422" s="157"/>
      <c r="S422" s="157"/>
      <c r="T422" s="157"/>
      <c r="W422" s="157"/>
      <c r="X422" s="157"/>
      <c r="Y422" s="157"/>
      <c r="AB422" s="157"/>
      <c r="AC422" s="157"/>
      <c r="AD422" s="157"/>
      <c r="AG422" s="157"/>
      <c r="AH422" s="157"/>
      <c r="AI422" s="157"/>
    </row>
    <row r="423" spans="2:35" x14ac:dyDescent="0.3">
      <c r="B423" s="146"/>
      <c r="C423" s="146"/>
      <c r="D423" s="146"/>
      <c r="E423" s="146"/>
      <c r="F423" s="146"/>
      <c r="G423" s="146"/>
      <c r="H423" s="146"/>
      <c r="I423" s="146"/>
      <c r="J423" s="146"/>
      <c r="K423" s="146"/>
      <c r="L423" s="146"/>
      <c r="R423" s="157"/>
      <c r="S423" s="157"/>
      <c r="T423" s="157"/>
      <c r="W423" s="157"/>
      <c r="X423" s="157"/>
      <c r="Y423" s="157"/>
      <c r="AB423" s="157"/>
      <c r="AC423" s="157"/>
      <c r="AD423" s="157"/>
      <c r="AG423" s="157"/>
      <c r="AH423" s="157"/>
      <c r="AI423" s="157"/>
    </row>
    <row r="424" spans="2:35" x14ac:dyDescent="0.3">
      <c r="B424" s="146"/>
      <c r="C424" s="146"/>
      <c r="D424" s="146"/>
      <c r="E424" s="146"/>
      <c r="F424" s="146"/>
      <c r="G424" s="146"/>
      <c r="H424" s="146"/>
      <c r="I424" s="146"/>
      <c r="J424" s="146"/>
      <c r="K424" s="146"/>
      <c r="L424" s="146"/>
      <c r="R424" s="157"/>
      <c r="S424" s="157"/>
      <c r="T424" s="157"/>
      <c r="W424" s="157"/>
      <c r="X424" s="157"/>
      <c r="Y424" s="157"/>
      <c r="AB424" s="157"/>
      <c r="AC424" s="157"/>
      <c r="AD424" s="157"/>
      <c r="AG424" s="157"/>
      <c r="AH424" s="157"/>
      <c r="AI424" s="157"/>
    </row>
    <row r="425" spans="2:35" x14ac:dyDescent="0.3">
      <c r="B425" s="146"/>
      <c r="C425" s="146"/>
      <c r="D425" s="146"/>
      <c r="E425" s="146"/>
      <c r="F425" s="146"/>
      <c r="G425" s="146"/>
      <c r="H425" s="146"/>
      <c r="I425" s="146"/>
      <c r="J425" s="146"/>
      <c r="K425" s="146"/>
      <c r="L425" s="146"/>
      <c r="R425" s="157"/>
      <c r="S425" s="157"/>
      <c r="T425" s="157"/>
      <c r="W425" s="157"/>
      <c r="X425" s="157"/>
      <c r="Y425" s="157"/>
      <c r="AB425" s="157"/>
      <c r="AC425" s="157"/>
      <c r="AD425" s="157"/>
      <c r="AG425" s="157"/>
      <c r="AH425" s="157"/>
      <c r="AI425" s="157"/>
    </row>
    <row r="426" spans="2:35" x14ac:dyDescent="0.3">
      <c r="B426" s="146"/>
      <c r="C426" s="146"/>
      <c r="D426" s="146"/>
      <c r="E426" s="146"/>
      <c r="F426" s="146"/>
      <c r="G426" s="146"/>
      <c r="H426" s="146"/>
      <c r="I426" s="146"/>
      <c r="J426" s="146"/>
      <c r="K426" s="146"/>
      <c r="L426" s="146"/>
      <c r="R426" s="157"/>
      <c r="S426" s="157"/>
      <c r="T426" s="157"/>
      <c r="W426" s="157"/>
      <c r="X426" s="157"/>
      <c r="Y426" s="157"/>
      <c r="AB426" s="157"/>
      <c r="AC426" s="157"/>
      <c r="AD426" s="157"/>
      <c r="AG426" s="157"/>
      <c r="AH426" s="157"/>
      <c r="AI426" s="157"/>
    </row>
    <row r="427" spans="2:35" x14ac:dyDescent="0.3">
      <c r="B427" s="146"/>
      <c r="C427" s="146"/>
      <c r="D427" s="146"/>
      <c r="E427" s="146"/>
      <c r="F427" s="146"/>
      <c r="G427" s="146"/>
      <c r="H427" s="146"/>
      <c r="I427" s="146"/>
      <c r="J427" s="146"/>
      <c r="K427" s="146"/>
      <c r="L427" s="146"/>
      <c r="R427" s="157"/>
      <c r="S427" s="157"/>
      <c r="T427" s="157"/>
      <c r="W427" s="157"/>
      <c r="X427" s="157"/>
      <c r="Y427" s="157"/>
      <c r="AB427" s="157"/>
      <c r="AC427" s="157"/>
      <c r="AD427" s="157"/>
      <c r="AG427" s="157"/>
      <c r="AH427" s="157"/>
      <c r="AI427" s="157"/>
    </row>
    <row r="428" spans="2:35" x14ac:dyDescent="0.3">
      <c r="B428" s="146"/>
      <c r="C428" s="146"/>
      <c r="D428" s="146"/>
      <c r="E428" s="146"/>
      <c r="F428" s="146"/>
      <c r="G428" s="146"/>
      <c r="H428" s="146"/>
      <c r="I428" s="146"/>
      <c r="J428" s="146"/>
      <c r="K428" s="146"/>
      <c r="L428" s="146"/>
      <c r="R428" s="157"/>
      <c r="S428" s="157"/>
      <c r="T428" s="157"/>
      <c r="W428" s="157"/>
      <c r="X428" s="157"/>
      <c r="Y428" s="157"/>
      <c r="AB428" s="157"/>
      <c r="AC428" s="157"/>
      <c r="AD428" s="157"/>
      <c r="AG428" s="157"/>
      <c r="AH428" s="157"/>
      <c r="AI428" s="157"/>
    </row>
    <row r="429" spans="2:35" x14ac:dyDescent="0.3">
      <c r="B429" s="146"/>
      <c r="C429" s="146"/>
      <c r="D429" s="146"/>
      <c r="E429" s="146"/>
      <c r="F429" s="146"/>
      <c r="G429" s="146"/>
      <c r="H429" s="146"/>
      <c r="I429" s="146"/>
      <c r="J429" s="146"/>
      <c r="K429" s="146"/>
      <c r="L429" s="146"/>
      <c r="R429" s="157"/>
      <c r="S429" s="157"/>
      <c r="T429" s="157"/>
      <c r="W429" s="157"/>
      <c r="X429" s="157"/>
      <c r="Y429" s="157"/>
      <c r="AB429" s="157"/>
      <c r="AC429" s="157"/>
      <c r="AD429" s="157"/>
      <c r="AG429" s="157"/>
      <c r="AH429" s="157"/>
      <c r="AI429" s="157"/>
    </row>
    <row r="430" spans="2:35" x14ac:dyDescent="0.3">
      <c r="B430" s="146"/>
      <c r="C430" s="146"/>
      <c r="D430" s="146"/>
      <c r="E430" s="146"/>
      <c r="F430" s="146"/>
      <c r="G430" s="146"/>
      <c r="H430" s="146"/>
      <c r="I430" s="146"/>
      <c r="J430" s="146"/>
      <c r="K430" s="146"/>
      <c r="L430" s="146"/>
      <c r="R430" s="157"/>
      <c r="S430" s="157"/>
      <c r="T430" s="157"/>
      <c r="W430" s="157"/>
      <c r="X430" s="157"/>
      <c r="Y430" s="157"/>
      <c r="AB430" s="157"/>
      <c r="AC430" s="157"/>
      <c r="AD430" s="157"/>
      <c r="AG430" s="157"/>
      <c r="AH430" s="157"/>
      <c r="AI430" s="157"/>
    </row>
    <row r="431" spans="2:35" x14ac:dyDescent="0.3">
      <c r="B431" s="146"/>
      <c r="C431" s="146"/>
      <c r="D431" s="146"/>
      <c r="E431" s="146"/>
      <c r="F431" s="146"/>
      <c r="G431" s="146"/>
      <c r="H431" s="146"/>
      <c r="I431" s="146"/>
      <c r="J431" s="146"/>
      <c r="K431" s="146"/>
      <c r="L431" s="146"/>
      <c r="R431" s="157"/>
      <c r="S431" s="157"/>
      <c r="T431" s="157"/>
      <c r="W431" s="157"/>
      <c r="X431" s="157"/>
      <c r="Y431" s="157"/>
      <c r="AB431" s="157"/>
      <c r="AC431" s="157"/>
      <c r="AD431" s="157"/>
      <c r="AG431" s="157"/>
      <c r="AH431" s="157"/>
      <c r="AI431" s="157"/>
    </row>
    <row r="432" spans="2:35" x14ac:dyDescent="0.3">
      <c r="B432" s="146"/>
      <c r="C432" s="146"/>
      <c r="D432" s="146"/>
      <c r="E432" s="146"/>
      <c r="F432" s="146"/>
      <c r="G432" s="146"/>
      <c r="H432" s="146"/>
      <c r="I432" s="146"/>
      <c r="J432" s="146"/>
      <c r="K432" s="146"/>
      <c r="L432" s="146"/>
      <c r="R432" s="157"/>
      <c r="S432" s="157"/>
      <c r="T432" s="157"/>
      <c r="W432" s="157"/>
      <c r="X432" s="157"/>
      <c r="Y432" s="157"/>
      <c r="AB432" s="157"/>
      <c r="AC432" s="157"/>
      <c r="AD432" s="157"/>
      <c r="AG432" s="157"/>
      <c r="AH432" s="157"/>
      <c r="AI432" s="157"/>
    </row>
    <row r="433" spans="2:35" x14ac:dyDescent="0.3">
      <c r="B433" s="146"/>
      <c r="C433" s="146"/>
      <c r="D433" s="146"/>
      <c r="E433" s="146"/>
      <c r="F433" s="146"/>
      <c r="G433" s="146"/>
      <c r="H433" s="146"/>
      <c r="I433" s="146"/>
      <c r="J433" s="146"/>
      <c r="K433" s="146"/>
      <c r="L433" s="146"/>
      <c r="R433" s="157"/>
      <c r="S433" s="157"/>
      <c r="T433" s="157"/>
      <c r="W433" s="157"/>
      <c r="X433" s="157"/>
      <c r="Y433" s="157"/>
      <c r="AB433" s="157"/>
      <c r="AC433" s="157"/>
      <c r="AD433" s="157"/>
      <c r="AG433" s="157"/>
      <c r="AH433" s="157"/>
      <c r="AI433" s="157"/>
    </row>
    <row r="434" spans="2:35" x14ac:dyDescent="0.3">
      <c r="B434" s="146"/>
      <c r="C434" s="146"/>
      <c r="D434" s="146"/>
      <c r="E434" s="146"/>
      <c r="F434" s="146"/>
      <c r="G434" s="146"/>
      <c r="H434" s="146"/>
      <c r="I434" s="146"/>
      <c r="J434" s="146"/>
      <c r="K434" s="146"/>
      <c r="L434" s="146"/>
      <c r="R434" s="157"/>
      <c r="S434" s="157"/>
      <c r="T434" s="157"/>
      <c r="W434" s="157"/>
      <c r="X434" s="157"/>
      <c r="Y434" s="157"/>
      <c r="AB434" s="157"/>
      <c r="AC434" s="157"/>
      <c r="AD434" s="157"/>
      <c r="AG434" s="157"/>
      <c r="AH434" s="157"/>
      <c r="AI434" s="157"/>
    </row>
    <row r="435" spans="2:35" x14ac:dyDescent="0.3">
      <c r="B435" s="146"/>
      <c r="C435" s="146"/>
      <c r="D435" s="146"/>
      <c r="E435" s="146"/>
      <c r="F435" s="146"/>
      <c r="G435" s="146"/>
      <c r="H435" s="146"/>
      <c r="I435" s="146"/>
      <c r="J435" s="146"/>
      <c r="K435" s="146"/>
      <c r="L435" s="146"/>
      <c r="R435" s="157"/>
      <c r="S435" s="157"/>
      <c r="T435" s="157"/>
      <c r="W435" s="157"/>
      <c r="X435" s="157"/>
      <c r="Y435" s="157"/>
      <c r="AB435" s="157"/>
      <c r="AC435" s="157"/>
      <c r="AD435" s="157"/>
      <c r="AG435" s="157"/>
      <c r="AH435" s="157"/>
      <c r="AI435" s="157"/>
    </row>
    <row r="436" spans="2:35" x14ac:dyDescent="0.3">
      <c r="B436" s="146"/>
      <c r="C436" s="146"/>
      <c r="D436" s="146"/>
      <c r="E436" s="146"/>
      <c r="F436" s="146"/>
      <c r="G436" s="146"/>
      <c r="H436" s="146"/>
      <c r="I436" s="146"/>
      <c r="J436" s="146"/>
      <c r="K436" s="146"/>
      <c r="L436" s="146"/>
      <c r="R436" s="157"/>
      <c r="S436" s="157"/>
      <c r="T436" s="157"/>
      <c r="W436" s="157"/>
      <c r="X436" s="157"/>
      <c r="Y436" s="157"/>
      <c r="AB436" s="157"/>
      <c r="AC436" s="157"/>
      <c r="AD436" s="157"/>
      <c r="AG436" s="157"/>
      <c r="AH436" s="157"/>
      <c r="AI436" s="157"/>
    </row>
    <row r="437" spans="2:35" x14ac:dyDescent="0.3">
      <c r="B437" s="146"/>
      <c r="C437" s="146"/>
      <c r="D437" s="146"/>
      <c r="E437" s="146"/>
      <c r="F437" s="146"/>
      <c r="G437" s="146"/>
      <c r="H437" s="146"/>
      <c r="I437" s="146"/>
      <c r="J437" s="146"/>
      <c r="K437" s="146"/>
      <c r="L437" s="146"/>
      <c r="R437" s="157"/>
      <c r="S437" s="157"/>
      <c r="T437" s="157"/>
      <c r="W437" s="157"/>
      <c r="X437" s="157"/>
      <c r="Y437" s="157"/>
      <c r="AB437" s="157"/>
      <c r="AC437" s="157"/>
      <c r="AD437" s="157"/>
      <c r="AG437" s="157"/>
      <c r="AH437" s="157"/>
      <c r="AI437" s="157"/>
    </row>
    <row r="438" spans="2:35" x14ac:dyDescent="0.3">
      <c r="B438" s="146"/>
      <c r="C438" s="146"/>
      <c r="D438" s="146"/>
      <c r="E438" s="146"/>
      <c r="F438" s="146"/>
      <c r="G438" s="146"/>
      <c r="H438" s="146"/>
      <c r="I438" s="146"/>
      <c r="J438" s="146"/>
      <c r="K438" s="146"/>
      <c r="L438" s="146"/>
      <c r="R438" s="157"/>
      <c r="S438" s="157"/>
      <c r="T438" s="157"/>
      <c r="W438" s="157"/>
      <c r="X438" s="157"/>
      <c r="Y438" s="157"/>
      <c r="AB438" s="157"/>
      <c r="AC438" s="157"/>
      <c r="AD438" s="157"/>
      <c r="AG438" s="157"/>
      <c r="AH438" s="157"/>
      <c r="AI438" s="157"/>
    </row>
    <row r="439" spans="2:35" x14ac:dyDescent="0.3">
      <c r="B439" s="146"/>
      <c r="C439" s="146"/>
      <c r="D439" s="146"/>
      <c r="E439" s="146"/>
      <c r="F439" s="146"/>
      <c r="G439" s="146"/>
      <c r="H439" s="146"/>
      <c r="I439" s="146"/>
      <c r="J439" s="146"/>
      <c r="K439" s="146"/>
      <c r="L439" s="146"/>
      <c r="R439" s="157"/>
      <c r="S439" s="157"/>
      <c r="T439" s="157"/>
      <c r="W439" s="157"/>
      <c r="X439" s="157"/>
      <c r="Y439" s="157"/>
      <c r="AB439" s="157"/>
      <c r="AC439" s="157"/>
      <c r="AD439" s="157"/>
      <c r="AG439" s="157"/>
      <c r="AH439" s="157"/>
      <c r="AI439" s="157"/>
    </row>
    <row r="440" spans="2:35" x14ac:dyDescent="0.3">
      <c r="B440" s="146"/>
      <c r="C440" s="146"/>
      <c r="D440" s="146"/>
      <c r="E440" s="146"/>
      <c r="F440" s="146"/>
      <c r="G440" s="146"/>
      <c r="H440" s="146"/>
      <c r="I440" s="146"/>
      <c r="J440" s="146"/>
      <c r="K440" s="146"/>
      <c r="L440" s="146"/>
      <c r="R440" s="157"/>
      <c r="S440" s="157"/>
      <c r="T440" s="157"/>
      <c r="W440" s="157"/>
      <c r="X440" s="157"/>
      <c r="Y440" s="157"/>
      <c r="AB440" s="157"/>
      <c r="AC440" s="157"/>
      <c r="AD440" s="157"/>
      <c r="AG440" s="157"/>
      <c r="AH440" s="157"/>
      <c r="AI440" s="157"/>
    </row>
    <row r="441" spans="2:35" x14ac:dyDescent="0.3">
      <c r="B441" s="146"/>
      <c r="C441" s="146"/>
      <c r="D441" s="146"/>
      <c r="E441" s="146"/>
      <c r="F441" s="146"/>
      <c r="G441" s="146"/>
      <c r="H441" s="146"/>
      <c r="I441" s="146"/>
      <c r="J441" s="146"/>
      <c r="K441" s="146"/>
      <c r="L441" s="146"/>
      <c r="R441" s="157"/>
      <c r="S441" s="157"/>
      <c r="T441" s="157"/>
      <c r="W441" s="157"/>
      <c r="X441" s="157"/>
      <c r="Y441" s="157"/>
      <c r="AB441" s="157"/>
      <c r="AC441" s="157"/>
      <c r="AD441" s="157"/>
      <c r="AG441" s="157"/>
      <c r="AH441" s="157"/>
      <c r="AI441" s="157"/>
    </row>
    <row r="442" spans="2:35" x14ac:dyDescent="0.3">
      <c r="B442" s="146"/>
      <c r="C442" s="146"/>
      <c r="D442" s="146"/>
      <c r="E442" s="146"/>
      <c r="F442" s="146"/>
      <c r="G442" s="146"/>
      <c r="H442" s="146"/>
      <c r="I442" s="146"/>
      <c r="J442" s="146"/>
      <c r="K442" s="146"/>
      <c r="L442" s="146"/>
      <c r="R442" s="157"/>
      <c r="S442" s="157"/>
      <c r="T442" s="157"/>
      <c r="W442" s="157"/>
      <c r="X442" s="157"/>
      <c r="Y442" s="157"/>
      <c r="AB442" s="157"/>
      <c r="AC442" s="157"/>
      <c r="AD442" s="157"/>
      <c r="AG442" s="157"/>
      <c r="AH442" s="157"/>
      <c r="AI442" s="157"/>
    </row>
    <row r="443" spans="2:35" x14ac:dyDescent="0.3">
      <c r="B443" s="146"/>
      <c r="C443" s="146"/>
      <c r="D443" s="146"/>
      <c r="E443" s="146"/>
      <c r="F443" s="146"/>
      <c r="G443" s="146"/>
      <c r="H443" s="146"/>
      <c r="I443" s="146"/>
      <c r="J443" s="146"/>
      <c r="K443" s="146"/>
      <c r="L443" s="146"/>
      <c r="R443" s="157"/>
      <c r="S443" s="157"/>
      <c r="T443" s="157"/>
      <c r="W443" s="157"/>
      <c r="X443" s="157"/>
      <c r="Y443" s="157"/>
      <c r="AB443" s="157"/>
      <c r="AC443" s="157"/>
      <c r="AD443" s="157"/>
      <c r="AG443" s="157"/>
      <c r="AH443" s="157"/>
      <c r="AI443" s="157"/>
    </row>
    <row r="444" spans="2:35" x14ac:dyDescent="0.3">
      <c r="B444" s="146"/>
      <c r="C444" s="146"/>
      <c r="D444" s="146"/>
      <c r="E444" s="146"/>
      <c r="F444" s="146"/>
      <c r="G444" s="146"/>
      <c r="H444" s="146"/>
      <c r="I444" s="146"/>
      <c r="J444" s="146"/>
      <c r="K444" s="146"/>
      <c r="L444" s="146"/>
      <c r="R444" s="157"/>
      <c r="S444" s="157"/>
      <c r="T444" s="157"/>
      <c r="W444" s="157"/>
      <c r="X444" s="157"/>
      <c r="Y444" s="157"/>
      <c r="AB444" s="157"/>
      <c r="AC444" s="157"/>
      <c r="AD444" s="157"/>
      <c r="AG444" s="157"/>
      <c r="AH444" s="157"/>
      <c r="AI444" s="157"/>
    </row>
    <row r="445" spans="2:35" x14ac:dyDescent="0.3">
      <c r="B445" s="146"/>
      <c r="C445" s="146"/>
      <c r="D445" s="146"/>
      <c r="E445" s="146"/>
      <c r="F445" s="146"/>
      <c r="G445" s="146"/>
      <c r="H445" s="146"/>
      <c r="I445" s="146"/>
      <c r="J445" s="146"/>
      <c r="K445" s="146"/>
      <c r="L445" s="146"/>
      <c r="R445" s="157"/>
      <c r="S445" s="157"/>
      <c r="T445" s="157"/>
      <c r="W445" s="157"/>
      <c r="X445" s="157"/>
      <c r="Y445" s="157"/>
      <c r="AB445" s="157"/>
      <c r="AC445" s="157"/>
      <c r="AD445" s="157"/>
      <c r="AG445" s="157"/>
      <c r="AH445" s="157"/>
      <c r="AI445" s="157"/>
    </row>
    <row r="446" spans="2:35" x14ac:dyDescent="0.3">
      <c r="B446" s="146"/>
      <c r="C446" s="146"/>
      <c r="D446" s="146"/>
      <c r="E446" s="146"/>
      <c r="F446" s="146"/>
      <c r="G446" s="146"/>
      <c r="H446" s="146"/>
      <c r="I446" s="146"/>
      <c r="J446" s="146"/>
      <c r="K446" s="146"/>
      <c r="L446" s="146"/>
      <c r="R446" s="157"/>
      <c r="S446" s="157"/>
      <c r="T446" s="157"/>
      <c r="W446" s="157"/>
      <c r="X446" s="157"/>
      <c r="Y446" s="157"/>
      <c r="AB446" s="157"/>
      <c r="AC446" s="157"/>
      <c r="AD446" s="157"/>
      <c r="AG446" s="157"/>
      <c r="AH446" s="157"/>
      <c r="AI446" s="157"/>
    </row>
    <row r="447" spans="2:35" x14ac:dyDescent="0.3">
      <c r="B447" s="146"/>
      <c r="C447" s="146"/>
      <c r="D447" s="146"/>
      <c r="E447" s="146"/>
      <c r="F447" s="146"/>
      <c r="G447" s="146"/>
      <c r="H447" s="146"/>
      <c r="I447" s="146"/>
      <c r="J447" s="146"/>
      <c r="K447" s="146"/>
      <c r="L447" s="146"/>
      <c r="R447" s="157"/>
      <c r="S447" s="157"/>
      <c r="T447" s="157"/>
      <c r="W447" s="157"/>
      <c r="X447" s="157"/>
      <c r="Y447" s="157"/>
      <c r="AB447" s="157"/>
      <c r="AC447" s="157"/>
      <c r="AD447" s="157"/>
      <c r="AG447" s="157"/>
      <c r="AH447" s="157"/>
      <c r="AI447" s="157"/>
    </row>
    <row r="448" spans="2:35" x14ac:dyDescent="0.3">
      <c r="B448" s="146"/>
      <c r="C448" s="146"/>
      <c r="D448" s="146"/>
      <c r="E448" s="146"/>
      <c r="F448" s="146"/>
      <c r="G448" s="146"/>
      <c r="H448" s="146"/>
      <c r="I448" s="146"/>
      <c r="J448" s="146"/>
      <c r="K448" s="146"/>
      <c r="L448" s="146"/>
      <c r="R448" s="157"/>
      <c r="S448" s="157"/>
      <c r="T448" s="157"/>
      <c r="W448" s="157"/>
      <c r="X448" s="157"/>
      <c r="Y448" s="157"/>
      <c r="AB448" s="157"/>
      <c r="AC448" s="157"/>
      <c r="AD448" s="157"/>
      <c r="AG448" s="157"/>
      <c r="AH448" s="157"/>
      <c r="AI448" s="157"/>
    </row>
    <row r="449" spans="2:35" x14ac:dyDescent="0.3">
      <c r="B449" s="146"/>
      <c r="C449" s="146"/>
      <c r="D449" s="146"/>
      <c r="E449" s="146"/>
      <c r="F449" s="146"/>
      <c r="G449" s="146"/>
      <c r="H449" s="146"/>
      <c r="I449" s="146"/>
      <c r="J449" s="146"/>
      <c r="K449" s="146"/>
      <c r="L449" s="146"/>
      <c r="R449" s="157"/>
      <c r="S449" s="157"/>
      <c r="T449" s="157"/>
      <c r="W449" s="157"/>
      <c r="X449" s="157"/>
      <c r="Y449" s="157"/>
      <c r="AB449" s="157"/>
      <c r="AC449" s="157"/>
      <c r="AD449" s="157"/>
      <c r="AG449" s="157"/>
      <c r="AH449" s="157"/>
      <c r="AI449" s="157"/>
    </row>
    <row r="450" spans="2:35" x14ac:dyDescent="0.3">
      <c r="B450" s="146"/>
      <c r="C450" s="146"/>
      <c r="D450" s="146"/>
      <c r="E450" s="146"/>
      <c r="F450" s="146"/>
      <c r="G450" s="146"/>
      <c r="H450" s="146"/>
      <c r="I450" s="146"/>
      <c r="J450" s="146"/>
      <c r="K450" s="146"/>
      <c r="L450" s="146"/>
      <c r="R450" s="157"/>
      <c r="S450" s="157"/>
      <c r="T450" s="157"/>
      <c r="W450" s="157"/>
      <c r="X450" s="157"/>
      <c r="Y450" s="157"/>
      <c r="AB450" s="157"/>
      <c r="AC450" s="157"/>
      <c r="AD450" s="157"/>
      <c r="AG450" s="157"/>
      <c r="AH450" s="157"/>
      <c r="AI450" s="157"/>
    </row>
    <row r="451" spans="2:35" x14ac:dyDescent="0.3">
      <c r="B451" s="146"/>
      <c r="C451" s="146"/>
      <c r="D451" s="146"/>
      <c r="E451" s="146"/>
      <c r="F451" s="146"/>
      <c r="G451" s="146"/>
      <c r="H451" s="146"/>
      <c r="I451" s="146"/>
      <c r="J451" s="146"/>
      <c r="K451" s="146"/>
      <c r="L451" s="146"/>
      <c r="R451" s="157"/>
      <c r="S451" s="157"/>
      <c r="T451" s="157"/>
      <c r="W451" s="157"/>
      <c r="X451" s="157"/>
      <c r="Y451" s="157"/>
      <c r="AB451" s="157"/>
      <c r="AC451" s="157"/>
      <c r="AD451" s="157"/>
      <c r="AG451" s="157"/>
      <c r="AH451" s="157"/>
      <c r="AI451" s="157"/>
    </row>
    <row r="452" spans="2:35" x14ac:dyDescent="0.3">
      <c r="B452" s="146"/>
      <c r="C452" s="146"/>
      <c r="D452" s="146"/>
      <c r="E452" s="146"/>
      <c r="F452" s="146"/>
      <c r="G452" s="146"/>
      <c r="H452" s="146"/>
      <c r="I452" s="146"/>
      <c r="J452" s="146"/>
      <c r="K452" s="146"/>
      <c r="L452" s="146"/>
      <c r="R452" s="157"/>
      <c r="S452" s="157"/>
      <c r="T452" s="157"/>
      <c r="W452" s="157"/>
      <c r="X452" s="157"/>
      <c r="Y452" s="157"/>
      <c r="AB452" s="157"/>
      <c r="AC452" s="157"/>
      <c r="AD452" s="157"/>
      <c r="AG452" s="157"/>
      <c r="AH452" s="157"/>
      <c r="AI452" s="157"/>
    </row>
    <row r="453" spans="2:35" x14ac:dyDescent="0.3">
      <c r="B453" s="146"/>
      <c r="C453" s="146"/>
      <c r="D453" s="146"/>
      <c r="E453" s="146"/>
      <c r="F453" s="146"/>
      <c r="G453" s="146"/>
      <c r="H453" s="146"/>
      <c r="I453" s="146"/>
      <c r="J453" s="146"/>
      <c r="K453" s="146"/>
      <c r="L453" s="146"/>
      <c r="R453" s="157"/>
      <c r="S453" s="157"/>
      <c r="T453" s="157"/>
      <c r="W453" s="157"/>
      <c r="X453" s="157"/>
      <c r="Y453" s="157"/>
      <c r="AB453" s="157"/>
      <c r="AC453" s="157"/>
      <c r="AD453" s="157"/>
      <c r="AG453" s="157"/>
      <c r="AH453" s="157"/>
      <c r="AI453" s="157"/>
    </row>
    <row r="454" spans="2:35" x14ac:dyDescent="0.3">
      <c r="B454" s="146"/>
      <c r="C454" s="146"/>
      <c r="D454" s="146"/>
      <c r="E454" s="146"/>
      <c r="F454" s="146"/>
      <c r="G454" s="146"/>
      <c r="H454" s="146"/>
      <c r="I454" s="146"/>
      <c r="J454" s="146"/>
      <c r="K454" s="146"/>
      <c r="L454" s="146"/>
      <c r="AG454" s="157"/>
      <c r="AH454" s="157"/>
      <c r="AI454" s="157"/>
    </row>
    <row r="455" spans="2:35" x14ac:dyDescent="0.3">
      <c r="B455" s="146"/>
      <c r="C455" s="146"/>
      <c r="D455" s="146"/>
      <c r="E455" s="146"/>
      <c r="F455" s="146"/>
      <c r="G455" s="146"/>
      <c r="H455" s="146"/>
      <c r="I455" s="146"/>
      <c r="J455" s="146"/>
      <c r="K455" s="146"/>
      <c r="L455" s="146"/>
    </row>
    <row r="456" spans="2:35" x14ac:dyDescent="0.3">
      <c r="B456" s="146"/>
      <c r="C456" s="146"/>
      <c r="D456" s="146"/>
      <c r="E456" s="146"/>
      <c r="F456" s="146"/>
      <c r="G456" s="146"/>
      <c r="H456" s="146"/>
      <c r="I456" s="146"/>
      <c r="J456" s="146"/>
      <c r="K456" s="146"/>
      <c r="L456" s="146"/>
    </row>
    <row r="457" spans="2:35" x14ac:dyDescent="0.3">
      <c r="B457" s="146"/>
      <c r="C457" s="146"/>
      <c r="D457" s="146"/>
      <c r="E457" s="146"/>
      <c r="F457" s="146"/>
      <c r="G457" s="146"/>
      <c r="H457" s="146"/>
      <c r="I457" s="146"/>
      <c r="J457" s="146"/>
      <c r="K457" s="146"/>
      <c r="L457" s="146"/>
    </row>
    <row r="458" spans="2:35" x14ac:dyDescent="0.3">
      <c r="B458" s="146"/>
      <c r="C458" s="146"/>
      <c r="D458" s="146"/>
      <c r="E458" s="146"/>
      <c r="F458" s="146"/>
      <c r="G458" s="146"/>
      <c r="H458" s="146"/>
      <c r="I458" s="146"/>
      <c r="J458" s="146"/>
      <c r="K458" s="146"/>
      <c r="L458" s="146"/>
    </row>
    <row r="459" spans="2:35" x14ac:dyDescent="0.3">
      <c r="B459" s="146"/>
      <c r="C459" s="146"/>
      <c r="D459" s="146"/>
      <c r="E459" s="146"/>
      <c r="F459" s="146"/>
      <c r="G459" s="146"/>
      <c r="H459" s="146"/>
      <c r="I459" s="146"/>
      <c r="J459" s="146"/>
      <c r="K459" s="146"/>
      <c r="L459" s="146"/>
    </row>
    <row r="460" spans="2:35" x14ac:dyDescent="0.3">
      <c r="B460" s="146"/>
      <c r="C460" s="146"/>
      <c r="D460" s="146"/>
      <c r="E460" s="146"/>
      <c r="F460" s="146"/>
      <c r="G460" s="146"/>
      <c r="H460" s="146"/>
      <c r="I460" s="146"/>
      <c r="J460" s="146"/>
      <c r="K460" s="146"/>
      <c r="L460" s="146"/>
    </row>
    <row r="461" spans="2:35" x14ac:dyDescent="0.3">
      <c r="B461" s="146"/>
      <c r="C461" s="146"/>
      <c r="D461" s="146"/>
      <c r="E461" s="146"/>
      <c r="F461" s="146"/>
      <c r="G461" s="146"/>
      <c r="H461" s="146"/>
      <c r="I461" s="146"/>
      <c r="J461" s="146"/>
      <c r="K461" s="146"/>
      <c r="L461" s="146"/>
    </row>
    <row r="462" spans="2:35" x14ac:dyDescent="0.3">
      <c r="B462" s="146"/>
      <c r="C462" s="146"/>
      <c r="D462" s="146"/>
      <c r="E462" s="146"/>
      <c r="F462" s="146"/>
      <c r="G462" s="146"/>
      <c r="H462" s="146"/>
      <c r="I462" s="146"/>
      <c r="J462" s="146"/>
      <c r="K462" s="146"/>
      <c r="L462" s="146"/>
    </row>
    <row r="463" spans="2:35" x14ac:dyDescent="0.3">
      <c r="B463" s="146"/>
      <c r="C463" s="146"/>
      <c r="D463" s="146"/>
      <c r="E463" s="146"/>
      <c r="F463" s="146"/>
      <c r="G463" s="146"/>
      <c r="H463" s="146"/>
      <c r="I463" s="146"/>
      <c r="J463" s="146"/>
      <c r="K463" s="146"/>
      <c r="L463" s="146"/>
    </row>
    <row r="464" spans="2:35" x14ac:dyDescent="0.3">
      <c r="B464" s="146"/>
      <c r="C464" s="146"/>
      <c r="D464" s="146"/>
      <c r="E464" s="146"/>
      <c r="F464" s="146"/>
      <c r="G464" s="146"/>
      <c r="H464" s="146"/>
      <c r="I464" s="146"/>
      <c r="J464" s="146"/>
      <c r="K464" s="146"/>
      <c r="L464" s="146"/>
    </row>
    <row r="465" spans="2:12" x14ac:dyDescent="0.3">
      <c r="B465" s="146"/>
      <c r="C465" s="146"/>
      <c r="D465" s="146"/>
      <c r="E465" s="146"/>
      <c r="F465" s="146"/>
      <c r="G465" s="146"/>
      <c r="H465" s="146"/>
      <c r="I465" s="146"/>
      <c r="J465" s="146"/>
      <c r="K465" s="146"/>
      <c r="L465" s="146"/>
    </row>
    <row r="466" spans="2:12" x14ac:dyDescent="0.3">
      <c r="B466" s="146"/>
      <c r="C466" s="146"/>
      <c r="D466" s="146"/>
      <c r="E466" s="146"/>
      <c r="F466" s="146"/>
      <c r="G466" s="146"/>
      <c r="H466" s="146"/>
      <c r="I466" s="146"/>
      <c r="J466" s="146"/>
      <c r="K466" s="146"/>
      <c r="L466" s="146"/>
    </row>
    <row r="467" spans="2:12" x14ac:dyDescent="0.3">
      <c r="B467" s="146"/>
      <c r="C467" s="146"/>
      <c r="D467" s="146"/>
      <c r="E467" s="146"/>
      <c r="F467" s="146"/>
      <c r="G467" s="146"/>
      <c r="H467" s="146"/>
      <c r="I467" s="146"/>
      <c r="J467" s="146"/>
      <c r="K467" s="146"/>
      <c r="L467" s="146"/>
    </row>
    <row r="468" spans="2:12" x14ac:dyDescent="0.3">
      <c r="B468" s="146"/>
      <c r="C468" s="146"/>
      <c r="D468" s="146"/>
      <c r="E468" s="146"/>
      <c r="F468" s="146"/>
      <c r="G468" s="146"/>
      <c r="H468" s="146"/>
      <c r="I468" s="146"/>
      <c r="J468" s="146"/>
      <c r="K468" s="146"/>
      <c r="L468" s="146"/>
    </row>
    <row r="469" spans="2:12" x14ac:dyDescent="0.3">
      <c r="B469" s="146"/>
      <c r="C469" s="146"/>
      <c r="D469" s="146"/>
      <c r="E469" s="146"/>
      <c r="F469" s="146"/>
      <c r="G469" s="146"/>
      <c r="H469" s="146"/>
      <c r="I469" s="146"/>
      <c r="J469" s="146"/>
      <c r="K469" s="146"/>
      <c r="L469" s="146"/>
    </row>
    <row r="470" spans="2:12" x14ac:dyDescent="0.3">
      <c r="B470" s="146"/>
      <c r="C470" s="146"/>
      <c r="D470" s="146"/>
      <c r="E470" s="146"/>
      <c r="F470" s="146"/>
      <c r="G470" s="146"/>
      <c r="H470" s="146"/>
      <c r="I470" s="146"/>
      <c r="J470" s="146"/>
      <c r="K470" s="146"/>
      <c r="L470" s="146"/>
    </row>
    <row r="471" spans="2:12" x14ac:dyDescent="0.3">
      <c r="B471" s="146"/>
      <c r="C471" s="146"/>
      <c r="D471" s="146"/>
      <c r="E471" s="146"/>
      <c r="F471" s="146"/>
      <c r="G471" s="146"/>
      <c r="H471" s="146"/>
      <c r="I471" s="146"/>
      <c r="J471" s="146"/>
      <c r="K471" s="146"/>
      <c r="L471" s="146"/>
    </row>
    <row r="472" spans="2:12" x14ac:dyDescent="0.3">
      <c r="B472" s="146"/>
      <c r="C472" s="146"/>
      <c r="D472" s="146"/>
      <c r="E472" s="146"/>
      <c r="F472" s="146"/>
      <c r="G472" s="146"/>
      <c r="H472" s="146"/>
      <c r="I472" s="146"/>
      <c r="J472" s="146"/>
      <c r="K472" s="146"/>
      <c r="L472" s="146"/>
    </row>
    <row r="473" spans="2:12" x14ac:dyDescent="0.3">
      <c r="B473" s="146"/>
      <c r="C473" s="146"/>
      <c r="D473" s="146"/>
      <c r="E473" s="146"/>
      <c r="F473" s="146"/>
      <c r="G473" s="146"/>
      <c r="H473" s="146"/>
      <c r="I473" s="146"/>
      <c r="J473" s="146"/>
      <c r="K473" s="146"/>
      <c r="L473" s="146"/>
    </row>
    <row r="474" spans="2:12" x14ac:dyDescent="0.3">
      <c r="B474" s="146"/>
      <c r="C474" s="146"/>
      <c r="D474" s="146"/>
      <c r="E474" s="146"/>
      <c r="F474" s="146"/>
      <c r="G474" s="146"/>
      <c r="H474" s="146"/>
      <c r="I474" s="146"/>
      <c r="J474" s="146"/>
      <c r="K474" s="146"/>
      <c r="L474" s="146"/>
    </row>
    <row r="475" spans="2:12" x14ac:dyDescent="0.3">
      <c r="B475" s="146"/>
      <c r="C475" s="146"/>
      <c r="D475" s="146"/>
      <c r="E475" s="146"/>
      <c r="F475" s="146"/>
      <c r="G475" s="146"/>
      <c r="H475" s="146"/>
      <c r="I475" s="146"/>
      <c r="J475" s="146"/>
      <c r="K475" s="146"/>
      <c r="L475" s="146"/>
    </row>
    <row r="476" spans="2:12" x14ac:dyDescent="0.3">
      <c r="B476" s="146"/>
      <c r="C476" s="146"/>
      <c r="D476" s="146"/>
      <c r="E476" s="146"/>
      <c r="F476" s="146"/>
      <c r="G476" s="146"/>
      <c r="H476" s="146"/>
      <c r="I476" s="146"/>
      <c r="J476" s="146"/>
      <c r="K476" s="146"/>
      <c r="L476" s="146"/>
    </row>
    <row r="477" spans="2:12" x14ac:dyDescent="0.3">
      <c r="B477" s="146"/>
      <c r="C477" s="146"/>
      <c r="D477" s="146"/>
      <c r="E477" s="146"/>
      <c r="F477" s="146"/>
      <c r="G477" s="146"/>
      <c r="H477" s="146"/>
      <c r="I477" s="146"/>
      <c r="J477" s="146"/>
      <c r="K477" s="146"/>
      <c r="L477" s="146"/>
    </row>
    <row r="478" spans="2:12" x14ac:dyDescent="0.3">
      <c r="B478" s="146"/>
      <c r="C478" s="146"/>
      <c r="D478" s="146"/>
      <c r="E478" s="146"/>
      <c r="F478" s="146"/>
      <c r="G478" s="146"/>
      <c r="H478" s="146"/>
      <c r="I478" s="146"/>
      <c r="J478" s="146"/>
      <c r="K478" s="146"/>
      <c r="L478" s="146"/>
    </row>
    <row r="479" spans="2:12" x14ac:dyDescent="0.3">
      <c r="B479" s="146"/>
      <c r="C479" s="146"/>
      <c r="D479" s="146"/>
      <c r="E479" s="146"/>
      <c r="F479" s="146"/>
      <c r="G479" s="146"/>
      <c r="H479" s="146"/>
      <c r="I479" s="146"/>
      <c r="J479" s="146"/>
      <c r="K479" s="146"/>
      <c r="L479" s="146"/>
    </row>
    <row r="480" spans="2:12" x14ac:dyDescent="0.3">
      <c r="B480" s="146"/>
      <c r="C480" s="146"/>
      <c r="D480" s="146"/>
      <c r="E480" s="146"/>
      <c r="F480" s="146"/>
      <c r="G480" s="146"/>
      <c r="H480" s="146"/>
      <c r="I480" s="146"/>
      <c r="J480" s="146"/>
      <c r="K480" s="146"/>
      <c r="L480" s="146"/>
    </row>
    <row r="481" spans="2:12" x14ac:dyDescent="0.3">
      <c r="B481" s="146"/>
      <c r="C481" s="146"/>
      <c r="D481" s="146"/>
      <c r="E481" s="146"/>
      <c r="F481" s="146"/>
      <c r="G481" s="146"/>
      <c r="H481" s="146"/>
      <c r="I481" s="146"/>
      <c r="J481" s="146"/>
      <c r="K481" s="146"/>
      <c r="L481" s="146"/>
    </row>
    <row r="482" spans="2:12" x14ac:dyDescent="0.3">
      <c r="B482" s="146"/>
      <c r="C482" s="146"/>
      <c r="D482" s="146"/>
      <c r="E482" s="146"/>
      <c r="F482" s="146"/>
      <c r="G482" s="146"/>
      <c r="H482" s="146"/>
      <c r="I482" s="146"/>
      <c r="J482" s="146"/>
      <c r="K482" s="146"/>
      <c r="L482" s="146"/>
    </row>
    <row r="483" spans="2:12" x14ac:dyDescent="0.3">
      <c r="B483" s="146"/>
      <c r="C483" s="146"/>
      <c r="D483" s="146"/>
      <c r="E483" s="146"/>
      <c r="F483" s="146"/>
      <c r="G483" s="146"/>
      <c r="H483" s="146"/>
      <c r="I483" s="146"/>
      <c r="J483" s="146"/>
      <c r="K483" s="146"/>
      <c r="L483" s="146"/>
    </row>
    <row r="484" spans="2:12" x14ac:dyDescent="0.3">
      <c r="B484" s="146"/>
      <c r="C484" s="146"/>
      <c r="D484" s="146"/>
      <c r="E484" s="146"/>
      <c r="F484" s="146"/>
      <c r="G484" s="146"/>
      <c r="H484" s="146"/>
      <c r="I484" s="146"/>
      <c r="J484" s="146"/>
      <c r="K484" s="146"/>
      <c r="L484" s="146"/>
    </row>
    <row r="485" spans="2:12" x14ac:dyDescent="0.3">
      <c r="B485" s="146"/>
      <c r="C485" s="146"/>
      <c r="D485" s="146"/>
      <c r="E485" s="146"/>
      <c r="F485" s="146"/>
      <c r="G485" s="146"/>
      <c r="H485" s="146"/>
      <c r="I485" s="146"/>
      <c r="J485" s="146"/>
      <c r="K485" s="146"/>
      <c r="L485" s="146"/>
    </row>
    <row r="486" spans="2:12" x14ac:dyDescent="0.3">
      <c r="B486" s="146"/>
      <c r="C486" s="146"/>
      <c r="D486" s="146"/>
      <c r="E486" s="146"/>
      <c r="F486" s="146"/>
      <c r="G486" s="146"/>
      <c r="H486" s="146"/>
      <c r="I486" s="146"/>
      <c r="J486" s="146"/>
      <c r="K486" s="146"/>
      <c r="L486" s="146"/>
    </row>
    <row r="487" spans="2:12" x14ac:dyDescent="0.3">
      <c r="B487" s="146"/>
      <c r="C487" s="146"/>
      <c r="D487" s="146"/>
      <c r="E487" s="146"/>
      <c r="F487" s="146"/>
      <c r="G487" s="146"/>
      <c r="H487" s="146"/>
      <c r="I487" s="146"/>
      <c r="J487" s="146"/>
      <c r="K487" s="146"/>
      <c r="L487" s="146"/>
    </row>
    <row r="488" spans="2:12" x14ac:dyDescent="0.3">
      <c r="B488" s="146"/>
      <c r="C488" s="146"/>
      <c r="D488" s="146"/>
      <c r="E488" s="146"/>
      <c r="F488" s="146"/>
      <c r="G488" s="146"/>
      <c r="H488" s="146"/>
      <c r="I488" s="146"/>
      <c r="J488" s="146"/>
      <c r="K488" s="146"/>
      <c r="L488" s="146"/>
    </row>
    <row r="489" spans="2:12" x14ac:dyDescent="0.3">
      <c r="B489" s="146"/>
      <c r="C489" s="146"/>
      <c r="D489" s="146"/>
      <c r="E489" s="146"/>
      <c r="F489" s="146"/>
      <c r="G489" s="146"/>
      <c r="H489" s="146"/>
      <c r="I489" s="146"/>
      <c r="J489" s="146"/>
      <c r="K489" s="146"/>
      <c r="L489" s="146"/>
    </row>
    <row r="490" spans="2:12" x14ac:dyDescent="0.3">
      <c r="B490" s="146"/>
      <c r="C490" s="146"/>
      <c r="D490" s="146"/>
      <c r="E490" s="146"/>
      <c r="F490" s="146"/>
      <c r="G490" s="146"/>
      <c r="H490" s="146"/>
      <c r="I490" s="146"/>
      <c r="J490" s="146"/>
      <c r="K490" s="146"/>
      <c r="L490" s="146"/>
    </row>
    <row r="491" spans="2:12" x14ac:dyDescent="0.3">
      <c r="B491" s="146"/>
      <c r="C491" s="146"/>
      <c r="D491" s="146"/>
      <c r="E491" s="146"/>
      <c r="F491" s="146"/>
      <c r="G491" s="146"/>
      <c r="H491" s="146"/>
      <c r="I491" s="146"/>
      <c r="J491" s="146"/>
      <c r="K491" s="146"/>
      <c r="L491" s="146"/>
    </row>
    <row r="492" spans="2:12" x14ac:dyDescent="0.3">
      <c r="B492" s="146"/>
      <c r="C492" s="146"/>
      <c r="D492" s="146"/>
      <c r="E492" s="146"/>
      <c r="F492" s="146"/>
      <c r="G492" s="146"/>
      <c r="H492" s="146"/>
      <c r="I492" s="146"/>
      <c r="J492" s="146"/>
      <c r="K492" s="146"/>
      <c r="L492" s="146"/>
    </row>
    <row r="493" spans="2:12" x14ac:dyDescent="0.3">
      <c r="B493" s="146"/>
      <c r="C493" s="146"/>
      <c r="D493" s="146"/>
      <c r="E493" s="146"/>
      <c r="F493" s="146"/>
      <c r="G493" s="146"/>
      <c r="H493" s="146"/>
      <c r="I493" s="146"/>
      <c r="J493" s="146"/>
      <c r="K493" s="146"/>
      <c r="L493" s="146"/>
    </row>
    <row r="494" spans="2:12" x14ac:dyDescent="0.3">
      <c r="B494" s="146"/>
      <c r="C494" s="146"/>
      <c r="D494" s="146"/>
      <c r="E494" s="146"/>
      <c r="F494" s="146"/>
      <c r="G494" s="146"/>
      <c r="H494" s="146"/>
      <c r="I494" s="146"/>
      <c r="J494" s="146"/>
      <c r="K494" s="146"/>
      <c r="L494" s="146"/>
    </row>
    <row r="495" spans="2:12" x14ac:dyDescent="0.3">
      <c r="B495" s="146"/>
      <c r="C495" s="146"/>
      <c r="D495" s="146"/>
      <c r="E495" s="146"/>
      <c r="F495" s="146"/>
      <c r="G495" s="146"/>
      <c r="H495" s="146"/>
      <c r="I495" s="146"/>
      <c r="J495" s="146"/>
      <c r="K495" s="146"/>
      <c r="L495" s="146"/>
    </row>
    <row r="496" spans="2:12" x14ac:dyDescent="0.3">
      <c r="B496" s="146"/>
      <c r="C496" s="146"/>
      <c r="D496" s="146"/>
      <c r="E496" s="146"/>
      <c r="F496" s="146"/>
      <c r="G496" s="146"/>
      <c r="H496" s="146"/>
      <c r="I496" s="146"/>
      <c r="J496" s="146"/>
      <c r="K496" s="146"/>
      <c r="L496" s="146"/>
    </row>
    <row r="497" spans="2:12" x14ac:dyDescent="0.3">
      <c r="B497" s="146"/>
      <c r="C497" s="146"/>
      <c r="D497" s="146"/>
      <c r="E497" s="146"/>
      <c r="F497" s="146"/>
      <c r="G497" s="146"/>
      <c r="H497" s="146"/>
      <c r="I497" s="146"/>
      <c r="J497" s="146"/>
      <c r="K497" s="146"/>
      <c r="L497" s="146"/>
    </row>
    <row r="498" spans="2:12" x14ac:dyDescent="0.3">
      <c r="B498" s="146"/>
      <c r="C498" s="146"/>
      <c r="D498" s="146"/>
      <c r="E498" s="146"/>
      <c r="F498" s="146"/>
      <c r="G498" s="146"/>
      <c r="H498" s="146"/>
      <c r="I498" s="146"/>
      <c r="J498" s="146"/>
      <c r="K498" s="146"/>
      <c r="L498" s="146"/>
    </row>
    <row r="499" spans="2:12" x14ac:dyDescent="0.3">
      <c r="B499" s="146"/>
      <c r="C499" s="146"/>
      <c r="D499" s="146"/>
      <c r="E499" s="146"/>
      <c r="F499" s="146"/>
      <c r="G499" s="146"/>
      <c r="H499" s="146"/>
      <c r="I499" s="146"/>
      <c r="J499" s="146"/>
      <c r="K499" s="146"/>
      <c r="L499" s="146"/>
    </row>
    <row r="500" spans="2:12" x14ac:dyDescent="0.3">
      <c r="B500" s="146"/>
      <c r="C500" s="146"/>
      <c r="D500" s="146"/>
      <c r="E500" s="146"/>
      <c r="F500" s="146"/>
      <c r="G500" s="146"/>
      <c r="H500" s="146"/>
      <c r="I500" s="146"/>
      <c r="J500" s="146"/>
      <c r="K500" s="146"/>
      <c r="L500" s="146"/>
    </row>
    <row r="501" spans="2:12" x14ac:dyDescent="0.3">
      <c r="B501" s="146"/>
      <c r="C501" s="146"/>
      <c r="D501" s="146"/>
      <c r="E501" s="146"/>
      <c r="F501" s="146"/>
      <c r="G501" s="146"/>
      <c r="H501" s="146"/>
      <c r="I501" s="146"/>
      <c r="J501" s="146"/>
      <c r="K501" s="146"/>
      <c r="L501" s="146"/>
    </row>
    <row r="502" spans="2:12" x14ac:dyDescent="0.3">
      <c r="B502" s="146"/>
      <c r="C502" s="146"/>
      <c r="D502" s="146"/>
      <c r="E502" s="146"/>
      <c r="F502" s="146"/>
      <c r="G502" s="146"/>
      <c r="H502" s="146"/>
      <c r="I502" s="146"/>
      <c r="J502" s="146"/>
      <c r="K502" s="146"/>
      <c r="L502" s="146"/>
    </row>
    <row r="503" spans="2:12" x14ac:dyDescent="0.3">
      <c r="B503" s="146"/>
      <c r="C503" s="146"/>
      <c r="D503" s="146"/>
      <c r="E503" s="146"/>
      <c r="F503" s="146"/>
      <c r="G503" s="146"/>
      <c r="H503" s="146"/>
      <c r="I503" s="146"/>
      <c r="J503" s="146"/>
      <c r="K503" s="146"/>
      <c r="L503" s="146"/>
    </row>
    <row r="504" spans="2:12" x14ac:dyDescent="0.3">
      <c r="B504" s="146"/>
      <c r="C504" s="146"/>
      <c r="D504" s="146"/>
      <c r="E504" s="146"/>
      <c r="F504" s="146"/>
      <c r="G504" s="146"/>
      <c r="H504" s="146"/>
      <c r="I504" s="146"/>
      <c r="J504" s="146"/>
      <c r="K504" s="146"/>
      <c r="L504" s="146"/>
    </row>
    <row r="505" spans="2:12" x14ac:dyDescent="0.3">
      <c r="B505" s="146"/>
      <c r="C505" s="146"/>
      <c r="D505" s="146"/>
      <c r="E505" s="146"/>
      <c r="F505" s="146"/>
      <c r="G505" s="146"/>
      <c r="H505" s="146"/>
      <c r="I505" s="146"/>
      <c r="J505" s="146"/>
      <c r="K505" s="146"/>
      <c r="L505" s="146"/>
    </row>
    <row r="506" spans="2:12" x14ac:dyDescent="0.3">
      <c r="B506" s="146"/>
      <c r="C506" s="146"/>
      <c r="D506" s="146"/>
      <c r="E506" s="146"/>
      <c r="F506" s="146"/>
      <c r="G506" s="146"/>
      <c r="H506" s="146"/>
      <c r="I506" s="146"/>
      <c r="J506" s="146"/>
      <c r="K506" s="146"/>
      <c r="L506" s="146"/>
    </row>
    <row r="507" spans="2:12" x14ac:dyDescent="0.3">
      <c r="B507" s="146"/>
      <c r="C507" s="146"/>
      <c r="D507" s="146"/>
      <c r="E507" s="146"/>
      <c r="F507" s="146"/>
      <c r="G507" s="146"/>
      <c r="H507" s="146"/>
      <c r="I507" s="146"/>
      <c r="J507" s="146"/>
      <c r="K507" s="146"/>
      <c r="L507" s="146"/>
    </row>
    <row r="508" spans="2:12" x14ac:dyDescent="0.3">
      <c r="B508" s="146"/>
      <c r="C508" s="146"/>
      <c r="D508" s="146"/>
      <c r="E508" s="146"/>
      <c r="F508" s="146"/>
      <c r="G508" s="146"/>
      <c r="H508" s="146"/>
      <c r="I508" s="146"/>
      <c r="J508" s="146"/>
      <c r="K508" s="146"/>
      <c r="L508" s="146"/>
    </row>
    <row r="509" spans="2:12" x14ac:dyDescent="0.3">
      <c r="B509" s="146"/>
      <c r="C509" s="146"/>
      <c r="D509" s="146"/>
      <c r="E509" s="146"/>
      <c r="F509" s="146"/>
      <c r="G509" s="146"/>
      <c r="H509" s="146"/>
      <c r="I509" s="146"/>
      <c r="J509" s="146"/>
      <c r="K509" s="146"/>
      <c r="L509" s="146"/>
    </row>
    <row r="510" spans="2:12" x14ac:dyDescent="0.3">
      <c r="B510" s="146"/>
      <c r="C510" s="146"/>
      <c r="D510" s="146"/>
      <c r="E510" s="146"/>
      <c r="F510" s="146"/>
      <c r="G510" s="146"/>
      <c r="H510" s="146"/>
      <c r="I510" s="146"/>
      <c r="J510" s="146"/>
      <c r="K510" s="146"/>
      <c r="L510" s="146"/>
    </row>
    <row r="511" spans="2:12" x14ac:dyDescent="0.3">
      <c r="B511" s="146"/>
      <c r="C511" s="146"/>
      <c r="D511" s="146"/>
      <c r="E511" s="146"/>
      <c r="F511" s="146"/>
      <c r="G511" s="146"/>
      <c r="H511" s="146"/>
      <c r="I511" s="146"/>
      <c r="J511" s="146"/>
      <c r="K511" s="146"/>
      <c r="L511" s="146"/>
    </row>
    <row r="512" spans="2:12" x14ac:dyDescent="0.3">
      <c r="B512" s="146"/>
      <c r="C512" s="146"/>
      <c r="D512" s="146"/>
      <c r="E512" s="146"/>
      <c r="F512" s="146"/>
      <c r="G512" s="146"/>
      <c r="H512" s="146"/>
      <c r="I512" s="146"/>
      <c r="J512" s="146"/>
      <c r="K512" s="146"/>
      <c r="L512" s="146"/>
    </row>
    <row r="513" spans="2:12" x14ac:dyDescent="0.3">
      <c r="B513" s="146"/>
      <c r="C513" s="146"/>
      <c r="D513" s="146"/>
      <c r="E513" s="146"/>
      <c r="F513" s="146"/>
      <c r="G513" s="146"/>
      <c r="H513" s="146"/>
      <c r="I513" s="146"/>
      <c r="J513" s="146"/>
      <c r="K513" s="146"/>
      <c r="L513" s="146"/>
    </row>
    <row r="514" spans="2:12" x14ac:dyDescent="0.3">
      <c r="B514" s="146"/>
      <c r="C514" s="146"/>
      <c r="D514" s="146"/>
      <c r="E514" s="146"/>
      <c r="F514" s="146"/>
      <c r="G514" s="146"/>
      <c r="H514" s="146"/>
      <c r="I514" s="146"/>
      <c r="J514" s="146"/>
      <c r="K514" s="146"/>
      <c r="L514" s="146"/>
    </row>
    <row r="515" spans="2:12" x14ac:dyDescent="0.3">
      <c r="B515" s="146"/>
      <c r="C515" s="146"/>
      <c r="D515" s="146"/>
      <c r="E515" s="146"/>
      <c r="F515" s="146"/>
      <c r="G515" s="146"/>
      <c r="H515" s="146"/>
      <c r="I515" s="146"/>
      <c r="J515" s="146"/>
      <c r="K515" s="146"/>
      <c r="L515" s="146"/>
    </row>
    <row r="516" spans="2:12" x14ac:dyDescent="0.3">
      <c r="B516" s="146"/>
      <c r="C516" s="146"/>
      <c r="D516" s="146"/>
      <c r="E516" s="146"/>
      <c r="F516" s="146"/>
      <c r="G516" s="146"/>
      <c r="H516" s="146"/>
      <c r="I516" s="146"/>
      <c r="J516" s="146"/>
      <c r="K516" s="146"/>
      <c r="L516" s="146"/>
    </row>
    <row r="517" spans="2:12" x14ac:dyDescent="0.3">
      <c r="B517" s="146"/>
      <c r="C517" s="146"/>
      <c r="D517" s="146"/>
      <c r="E517" s="146"/>
      <c r="F517" s="146"/>
      <c r="G517" s="146"/>
      <c r="H517" s="146"/>
      <c r="I517" s="146"/>
      <c r="J517" s="146"/>
      <c r="K517" s="146"/>
      <c r="L517" s="146"/>
    </row>
    <row r="518" spans="2:12" x14ac:dyDescent="0.3">
      <c r="B518" s="146"/>
      <c r="C518" s="146"/>
      <c r="D518" s="146"/>
      <c r="E518" s="146"/>
      <c r="F518" s="146"/>
      <c r="G518" s="146"/>
      <c r="H518" s="146"/>
      <c r="I518" s="146"/>
      <c r="J518" s="146"/>
      <c r="K518" s="146"/>
      <c r="L518" s="146"/>
    </row>
    <row r="519" spans="2:12" x14ac:dyDescent="0.3">
      <c r="B519" s="146"/>
      <c r="C519" s="146"/>
      <c r="D519" s="146"/>
      <c r="E519" s="146"/>
      <c r="F519" s="146"/>
      <c r="G519" s="146"/>
      <c r="H519" s="146"/>
      <c r="I519" s="146"/>
      <c r="J519" s="146"/>
      <c r="K519" s="146"/>
      <c r="L519" s="146"/>
    </row>
    <row r="520" spans="2:12" x14ac:dyDescent="0.3">
      <c r="B520" s="146"/>
      <c r="C520" s="146"/>
      <c r="D520" s="146"/>
      <c r="E520" s="146"/>
      <c r="F520" s="146"/>
      <c r="G520" s="146"/>
      <c r="H520" s="146"/>
      <c r="I520" s="146"/>
      <c r="J520" s="146"/>
      <c r="K520" s="146"/>
      <c r="L520" s="146"/>
    </row>
    <row r="521" spans="2:12" x14ac:dyDescent="0.3">
      <c r="B521" s="146"/>
      <c r="C521" s="146"/>
      <c r="D521" s="146"/>
      <c r="E521" s="146"/>
      <c r="F521" s="146"/>
      <c r="G521" s="146"/>
      <c r="H521" s="146"/>
      <c r="I521" s="146"/>
      <c r="J521" s="146"/>
      <c r="K521" s="146"/>
      <c r="L521" s="146"/>
    </row>
    <row r="522" spans="2:12" x14ac:dyDescent="0.3">
      <c r="B522" s="146"/>
      <c r="C522" s="146"/>
      <c r="D522" s="146"/>
      <c r="E522" s="146"/>
      <c r="F522" s="146"/>
      <c r="G522" s="146"/>
      <c r="H522" s="146"/>
      <c r="I522" s="146"/>
      <c r="J522" s="146"/>
      <c r="K522" s="146"/>
      <c r="L522" s="146"/>
    </row>
    <row r="523" spans="2:12" x14ac:dyDescent="0.3">
      <c r="B523" s="146"/>
      <c r="C523" s="146"/>
      <c r="D523" s="146"/>
      <c r="E523" s="146"/>
      <c r="F523" s="146"/>
      <c r="G523" s="146"/>
      <c r="H523" s="146"/>
      <c r="I523" s="146"/>
      <c r="J523" s="146"/>
      <c r="K523" s="146"/>
      <c r="L523" s="146"/>
    </row>
    <row r="524" spans="2:12" x14ac:dyDescent="0.3">
      <c r="B524" s="146"/>
      <c r="C524" s="146"/>
      <c r="D524" s="146"/>
      <c r="E524" s="146"/>
      <c r="F524" s="146"/>
      <c r="G524" s="146"/>
      <c r="H524" s="146"/>
      <c r="I524" s="146"/>
      <c r="J524" s="146"/>
      <c r="K524" s="146"/>
      <c r="L524" s="146"/>
    </row>
    <row r="525" spans="2:12" x14ac:dyDescent="0.3">
      <c r="B525" s="146"/>
      <c r="C525" s="146"/>
      <c r="D525" s="146"/>
      <c r="E525" s="146"/>
      <c r="F525" s="146"/>
      <c r="G525" s="146"/>
      <c r="H525" s="146"/>
      <c r="I525" s="146"/>
      <c r="J525" s="146"/>
      <c r="K525" s="146"/>
      <c r="L525" s="146"/>
    </row>
    <row r="526" spans="2:12" x14ac:dyDescent="0.3">
      <c r="B526" s="146"/>
      <c r="C526" s="146"/>
      <c r="D526" s="146"/>
      <c r="E526" s="146"/>
      <c r="F526" s="146"/>
      <c r="G526" s="146"/>
      <c r="H526" s="146"/>
      <c r="I526" s="146"/>
      <c r="J526" s="146"/>
      <c r="K526" s="146"/>
      <c r="L526" s="146"/>
    </row>
    <row r="527" spans="2:12" x14ac:dyDescent="0.3">
      <c r="B527" s="146"/>
      <c r="C527" s="146"/>
      <c r="D527" s="146"/>
      <c r="E527" s="146"/>
      <c r="F527" s="146"/>
      <c r="G527" s="146"/>
      <c r="H527" s="146"/>
      <c r="I527" s="146"/>
      <c r="J527" s="146"/>
      <c r="K527" s="146"/>
      <c r="L527" s="146"/>
    </row>
    <row r="528" spans="2:12" x14ac:dyDescent="0.3">
      <c r="B528" s="146"/>
      <c r="C528" s="146"/>
      <c r="D528" s="146"/>
      <c r="E528" s="146"/>
      <c r="F528" s="146"/>
      <c r="G528" s="146"/>
      <c r="H528" s="146"/>
      <c r="I528" s="146"/>
      <c r="J528" s="146"/>
      <c r="K528" s="146"/>
      <c r="L528" s="146"/>
    </row>
    <row r="529" spans="2:12" x14ac:dyDescent="0.3">
      <c r="B529" s="146"/>
      <c r="C529" s="146"/>
      <c r="D529" s="146"/>
      <c r="E529" s="146"/>
      <c r="F529" s="146"/>
      <c r="G529" s="146"/>
      <c r="H529" s="146"/>
      <c r="I529" s="146"/>
      <c r="J529" s="146"/>
      <c r="K529" s="146"/>
      <c r="L529" s="146"/>
    </row>
    <row r="530" spans="2:12" x14ac:dyDescent="0.3">
      <c r="B530" s="146"/>
      <c r="C530" s="146"/>
      <c r="D530" s="146"/>
      <c r="E530" s="146"/>
      <c r="F530" s="146"/>
      <c r="G530" s="146"/>
      <c r="H530" s="146"/>
      <c r="I530" s="146"/>
      <c r="J530" s="146"/>
      <c r="K530" s="146"/>
      <c r="L530" s="146"/>
    </row>
    <row r="531" spans="2:12" x14ac:dyDescent="0.3">
      <c r="B531" s="146"/>
      <c r="C531" s="146"/>
      <c r="D531" s="146"/>
      <c r="E531" s="146"/>
      <c r="F531" s="146"/>
      <c r="G531" s="146"/>
      <c r="H531" s="146"/>
      <c r="I531" s="146"/>
      <c r="J531" s="146"/>
      <c r="K531" s="146"/>
      <c r="L531" s="146"/>
    </row>
    <row r="532" spans="2:12" x14ac:dyDescent="0.3">
      <c r="B532" s="146"/>
      <c r="C532" s="146"/>
      <c r="D532" s="146"/>
      <c r="E532" s="146"/>
      <c r="F532" s="146"/>
      <c r="G532" s="146"/>
      <c r="H532" s="146"/>
      <c r="I532" s="146"/>
      <c r="J532" s="146"/>
      <c r="K532" s="146"/>
      <c r="L532" s="146"/>
    </row>
    <row r="533" spans="2:12" x14ac:dyDescent="0.3">
      <c r="B533" s="146"/>
      <c r="C533" s="146"/>
      <c r="D533" s="146"/>
      <c r="E533" s="146"/>
      <c r="F533" s="146"/>
      <c r="G533" s="146"/>
      <c r="H533" s="146"/>
      <c r="I533" s="146"/>
      <c r="J533" s="146"/>
      <c r="K533" s="146"/>
      <c r="L533" s="146"/>
    </row>
    <row r="534" spans="2:12" x14ac:dyDescent="0.3">
      <c r="B534" s="146"/>
      <c r="C534" s="146"/>
      <c r="D534" s="146"/>
      <c r="E534" s="146"/>
      <c r="F534" s="146"/>
      <c r="G534" s="146"/>
      <c r="H534" s="146"/>
      <c r="I534" s="146"/>
      <c r="J534" s="146"/>
      <c r="K534" s="146"/>
      <c r="L534" s="146"/>
    </row>
    <row r="535" spans="2:12" x14ac:dyDescent="0.3">
      <c r="B535" s="146"/>
      <c r="C535" s="146"/>
      <c r="D535" s="146"/>
      <c r="E535" s="146"/>
      <c r="F535" s="146"/>
      <c r="G535" s="146"/>
      <c r="H535" s="146"/>
      <c r="I535" s="146"/>
      <c r="J535" s="146"/>
      <c r="K535" s="146"/>
      <c r="L535" s="146"/>
    </row>
    <row r="536" spans="2:12" x14ac:dyDescent="0.3">
      <c r="B536" s="146"/>
      <c r="C536" s="146"/>
      <c r="D536" s="146"/>
      <c r="E536" s="146"/>
      <c r="F536" s="146"/>
      <c r="G536" s="146"/>
      <c r="H536" s="146"/>
      <c r="I536" s="146"/>
      <c r="J536" s="146"/>
      <c r="K536" s="146"/>
      <c r="L536" s="146"/>
    </row>
    <row r="537" spans="2:12" x14ac:dyDescent="0.3">
      <c r="B537" s="146"/>
      <c r="C537" s="146"/>
      <c r="D537" s="146"/>
      <c r="E537" s="146"/>
      <c r="F537" s="146"/>
      <c r="G537" s="146"/>
      <c r="H537" s="146"/>
      <c r="I537" s="146"/>
      <c r="J537" s="146"/>
      <c r="K537" s="146"/>
      <c r="L537" s="146"/>
    </row>
    <row r="538" spans="2:12" x14ac:dyDescent="0.3">
      <c r="B538" s="146"/>
      <c r="C538" s="146"/>
      <c r="D538" s="146"/>
      <c r="E538" s="146"/>
      <c r="F538" s="146"/>
      <c r="G538" s="146"/>
      <c r="H538" s="146"/>
      <c r="I538" s="146"/>
      <c r="J538" s="146"/>
      <c r="K538" s="146"/>
      <c r="L538" s="146"/>
    </row>
    <row r="539" spans="2:12" x14ac:dyDescent="0.3">
      <c r="B539" s="146"/>
      <c r="C539" s="146"/>
      <c r="D539" s="146"/>
      <c r="E539" s="146"/>
      <c r="F539" s="146"/>
      <c r="G539" s="146"/>
      <c r="H539" s="146"/>
      <c r="I539" s="146"/>
      <c r="J539" s="146"/>
      <c r="K539" s="146"/>
      <c r="L539" s="146"/>
    </row>
    <row r="540" spans="2:12" x14ac:dyDescent="0.3">
      <c r="B540" s="146"/>
      <c r="C540" s="146"/>
      <c r="D540" s="146"/>
      <c r="E540" s="146"/>
      <c r="F540" s="146"/>
      <c r="G540" s="146"/>
      <c r="H540" s="146"/>
      <c r="I540" s="146"/>
      <c r="J540" s="146"/>
      <c r="K540" s="146"/>
      <c r="L540" s="146"/>
    </row>
    <row r="541" spans="2:12" x14ac:dyDescent="0.3">
      <c r="B541" s="146"/>
      <c r="C541" s="146"/>
      <c r="D541" s="146"/>
      <c r="E541" s="146"/>
      <c r="F541" s="146"/>
      <c r="G541" s="146"/>
      <c r="H541" s="146"/>
      <c r="I541" s="146"/>
      <c r="J541" s="146"/>
      <c r="K541" s="146"/>
      <c r="L541" s="146"/>
    </row>
    <row r="542" spans="2:12" x14ac:dyDescent="0.3">
      <c r="B542" s="146"/>
      <c r="C542" s="146"/>
      <c r="D542" s="146"/>
      <c r="E542" s="146"/>
      <c r="F542" s="146"/>
      <c r="G542" s="146"/>
      <c r="H542" s="146"/>
      <c r="I542" s="146"/>
      <c r="J542" s="146"/>
      <c r="K542" s="146"/>
      <c r="L542" s="146"/>
    </row>
    <row r="543" spans="2:12" x14ac:dyDescent="0.3">
      <c r="B543" s="146"/>
      <c r="C543" s="146"/>
      <c r="D543" s="146"/>
      <c r="E543" s="146"/>
      <c r="F543" s="146"/>
      <c r="G543" s="146"/>
      <c r="H543" s="146"/>
      <c r="I543" s="146"/>
      <c r="J543" s="146"/>
      <c r="K543" s="146"/>
      <c r="L543" s="146"/>
    </row>
    <row r="544" spans="2:12" x14ac:dyDescent="0.3">
      <c r="B544" s="146"/>
      <c r="C544" s="146"/>
      <c r="D544" s="146"/>
      <c r="E544" s="146"/>
      <c r="F544" s="146"/>
      <c r="G544" s="146"/>
      <c r="H544" s="146"/>
      <c r="I544" s="146"/>
      <c r="J544" s="146"/>
      <c r="K544" s="146"/>
      <c r="L544" s="146"/>
    </row>
    <row r="545" spans="2:12" x14ac:dyDescent="0.3">
      <c r="B545" s="146"/>
      <c r="C545" s="146"/>
      <c r="D545" s="146"/>
      <c r="E545" s="146"/>
      <c r="F545" s="146"/>
      <c r="G545" s="146"/>
      <c r="H545" s="146"/>
      <c r="I545" s="146"/>
      <c r="J545" s="146"/>
      <c r="K545" s="146"/>
      <c r="L545" s="146"/>
    </row>
    <row r="546" spans="2:12" x14ac:dyDescent="0.3">
      <c r="B546" s="146"/>
      <c r="C546" s="146"/>
      <c r="D546" s="146"/>
      <c r="E546" s="146"/>
      <c r="F546" s="146"/>
      <c r="G546" s="146"/>
      <c r="H546" s="146"/>
      <c r="I546" s="146"/>
      <c r="J546" s="146"/>
      <c r="K546" s="146"/>
      <c r="L546" s="146"/>
    </row>
    <row r="547" spans="2:12" x14ac:dyDescent="0.3">
      <c r="B547" s="146"/>
      <c r="C547" s="146"/>
      <c r="D547" s="146"/>
      <c r="E547" s="146"/>
      <c r="F547" s="146"/>
      <c r="G547" s="146"/>
      <c r="H547" s="146"/>
      <c r="I547" s="146"/>
      <c r="J547" s="146"/>
      <c r="K547" s="146"/>
      <c r="L547" s="146"/>
    </row>
    <row r="548" spans="2:12" x14ac:dyDescent="0.3">
      <c r="B548" s="146"/>
      <c r="C548" s="146"/>
      <c r="D548" s="146"/>
      <c r="E548" s="146"/>
      <c r="F548" s="146"/>
      <c r="G548" s="146"/>
      <c r="H548" s="146"/>
      <c r="I548" s="146"/>
      <c r="J548" s="146"/>
      <c r="K548" s="146"/>
      <c r="L548" s="146"/>
    </row>
    <row r="549" spans="2:12" x14ac:dyDescent="0.3">
      <c r="B549" s="146"/>
      <c r="C549" s="146"/>
      <c r="D549" s="146"/>
      <c r="E549" s="146"/>
      <c r="F549" s="146"/>
      <c r="G549" s="146"/>
      <c r="H549" s="146"/>
      <c r="I549" s="146"/>
      <c r="J549" s="146"/>
      <c r="K549" s="146"/>
      <c r="L549" s="146"/>
    </row>
    <row r="550" spans="2:12" x14ac:dyDescent="0.3">
      <c r="B550" s="146"/>
      <c r="C550" s="146"/>
      <c r="D550" s="146"/>
      <c r="E550" s="146"/>
      <c r="F550" s="146"/>
      <c r="G550" s="146"/>
      <c r="H550" s="146"/>
      <c r="I550" s="146"/>
      <c r="J550" s="146"/>
      <c r="K550" s="146"/>
      <c r="L550" s="146"/>
    </row>
    <row r="551" spans="2:12" x14ac:dyDescent="0.3">
      <c r="B551" s="146"/>
      <c r="C551" s="146"/>
      <c r="D551" s="146"/>
      <c r="E551" s="146"/>
      <c r="F551" s="146"/>
      <c r="G551" s="146"/>
      <c r="H551" s="146"/>
      <c r="I551" s="146"/>
      <c r="J551" s="146"/>
      <c r="K551" s="146"/>
      <c r="L551" s="146"/>
    </row>
    <row r="552" spans="2:12" x14ac:dyDescent="0.3">
      <c r="B552" s="146"/>
      <c r="C552" s="146"/>
      <c r="D552" s="146"/>
      <c r="E552" s="146"/>
      <c r="F552" s="146"/>
      <c r="G552" s="146"/>
      <c r="H552" s="146"/>
      <c r="I552" s="146"/>
      <c r="J552" s="146"/>
      <c r="K552" s="146"/>
      <c r="L552" s="146"/>
    </row>
    <row r="553" spans="2:12" x14ac:dyDescent="0.3">
      <c r="B553" s="146"/>
      <c r="C553" s="146"/>
      <c r="D553" s="146"/>
      <c r="E553" s="146"/>
      <c r="F553" s="146"/>
      <c r="G553" s="146"/>
      <c r="H553" s="146"/>
      <c r="I553" s="146"/>
      <c r="J553" s="146"/>
      <c r="K553" s="146"/>
      <c r="L553" s="146"/>
    </row>
    <row r="554" spans="2:12" x14ac:dyDescent="0.3">
      <c r="B554" s="146"/>
      <c r="C554" s="146"/>
      <c r="D554" s="146"/>
      <c r="E554" s="146"/>
      <c r="F554" s="146"/>
      <c r="G554" s="146"/>
      <c r="H554" s="146"/>
      <c r="I554" s="146"/>
      <c r="J554" s="146"/>
      <c r="K554" s="146"/>
      <c r="L554" s="146"/>
    </row>
    <row r="555" spans="2:12" x14ac:dyDescent="0.3">
      <c r="B555" s="146"/>
      <c r="C555" s="146"/>
      <c r="D555" s="146"/>
      <c r="E555" s="146"/>
      <c r="F555" s="146"/>
      <c r="G555" s="146"/>
      <c r="H555" s="146"/>
      <c r="I555" s="146"/>
      <c r="J555" s="146"/>
      <c r="K555" s="146"/>
      <c r="L555" s="146"/>
    </row>
    <row r="556" spans="2:12" x14ac:dyDescent="0.3">
      <c r="B556" s="146"/>
      <c r="C556" s="146"/>
      <c r="D556" s="146"/>
      <c r="E556" s="146"/>
      <c r="F556" s="146"/>
      <c r="G556" s="146"/>
      <c r="H556" s="146"/>
      <c r="I556" s="146"/>
      <c r="J556" s="146"/>
      <c r="K556" s="146"/>
      <c r="L556" s="146"/>
    </row>
    <row r="557" spans="2:12" x14ac:dyDescent="0.3">
      <c r="B557" s="146"/>
      <c r="C557" s="146"/>
      <c r="D557" s="146"/>
      <c r="E557" s="146"/>
      <c r="F557" s="146"/>
      <c r="G557" s="146"/>
      <c r="H557" s="146"/>
      <c r="I557" s="146"/>
      <c r="J557" s="146"/>
      <c r="K557" s="146"/>
      <c r="L557" s="146"/>
    </row>
    <row r="558" spans="2:12" x14ac:dyDescent="0.3">
      <c r="B558" s="146"/>
      <c r="C558" s="146"/>
      <c r="D558" s="146"/>
      <c r="E558" s="146"/>
      <c r="F558" s="146"/>
      <c r="G558" s="146"/>
      <c r="H558" s="146"/>
      <c r="I558" s="146"/>
      <c r="J558" s="146"/>
      <c r="K558" s="146"/>
      <c r="L558" s="146"/>
    </row>
    <row r="559" spans="2:12" x14ac:dyDescent="0.3">
      <c r="B559" s="146"/>
      <c r="C559" s="146"/>
      <c r="D559" s="146"/>
      <c r="E559" s="146"/>
      <c r="F559" s="146"/>
      <c r="G559" s="146"/>
      <c r="H559" s="146"/>
      <c r="I559" s="146"/>
      <c r="J559" s="146"/>
      <c r="K559" s="146"/>
      <c r="L559" s="146"/>
    </row>
    <row r="560" spans="2:12" x14ac:dyDescent="0.3">
      <c r="B560" s="146"/>
      <c r="C560" s="146"/>
      <c r="D560" s="146"/>
      <c r="E560" s="146"/>
      <c r="F560" s="146"/>
      <c r="G560" s="146"/>
      <c r="H560" s="146"/>
      <c r="I560" s="146"/>
      <c r="J560" s="146"/>
      <c r="K560" s="146"/>
      <c r="L560" s="146"/>
    </row>
    <row r="561" spans="2:12" x14ac:dyDescent="0.3">
      <c r="B561" s="146"/>
      <c r="C561" s="146"/>
      <c r="D561" s="146"/>
      <c r="E561" s="146"/>
      <c r="F561" s="146"/>
      <c r="G561" s="146"/>
      <c r="H561" s="146"/>
      <c r="I561" s="146"/>
      <c r="J561" s="146"/>
      <c r="K561" s="146"/>
      <c r="L561" s="146"/>
    </row>
    <row r="562" spans="2:12" x14ac:dyDescent="0.3">
      <c r="B562" s="146"/>
      <c r="C562" s="146"/>
      <c r="D562" s="146"/>
      <c r="E562" s="146"/>
      <c r="F562" s="146"/>
      <c r="G562" s="146"/>
      <c r="H562" s="146"/>
      <c r="I562" s="146"/>
      <c r="J562" s="146"/>
      <c r="K562" s="146"/>
      <c r="L562" s="146"/>
    </row>
    <row r="563" spans="2:12" x14ac:dyDescent="0.3">
      <c r="B563" s="146"/>
      <c r="C563" s="146"/>
      <c r="D563" s="146"/>
      <c r="E563" s="146"/>
      <c r="F563" s="146"/>
      <c r="G563" s="146"/>
      <c r="H563" s="146"/>
      <c r="I563" s="146"/>
      <c r="J563" s="146"/>
      <c r="K563" s="146"/>
      <c r="L563" s="146"/>
    </row>
    <row r="564" spans="2:12" x14ac:dyDescent="0.3">
      <c r="B564" s="146"/>
      <c r="C564" s="146"/>
      <c r="D564" s="146"/>
      <c r="E564" s="146"/>
      <c r="F564" s="146"/>
      <c r="G564" s="146"/>
      <c r="H564" s="146"/>
      <c r="I564" s="146"/>
      <c r="J564" s="146"/>
      <c r="K564" s="146"/>
      <c r="L564" s="146"/>
    </row>
    <row r="565" spans="2:12" x14ac:dyDescent="0.3">
      <c r="B565" s="146"/>
      <c r="C565" s="146"/>
      <c r="D565" s="146"/>
      <c r="E565" s="146"/>
      <c r="F565" s="146"/>
      <c r="G565" s="146"/>
      <c r="H565" s="146"/>
      <c r="I565" s="146"/>
      <c r="J565" s="146"/>
      <c r="K565" s="146"/>
      <c r="L565" s="146"/>
    </row>
    <row r="566" spans="2:12" x14ac:dyDescent="0.3">
      <c r="B566" s="146"/>
      <c r="C566" s="146"/>
      <c r="D566" s="146"/>
      <c r="E566" s="146"/>
      <c r="F566" s="146"/>
      <c r="G566" s="146"/>
      <c r="H566" s="146"/>
      <c r="I566" s="146"/>
      <c r="J566" s="146"/>
      <c r="K566" s="146"/>
      <c r="L566" s="146"/>
    </row>
    <row r="567" spans="2:12" x14ac:dyDescent="0.3">
      <c r="B567" s="146"/>
      <c r="C567" s="146"/>
      <c r="D567" s="146"/>
      <c r="E567" s="146"/>
      <c r="F567" s="146"/>
      <c r="G567" s="146"/>
      <c r="H567" s="146"/>
      <c r="I567" s="146"/>
      <c r="J567" s="146"/>
      <c r="K567" s="146"/>
      <c r="L567" s="146"/>
    </row>
    <row r="568" spans="2:12" x14ac:dyDescent="0.3">
      <c r="B568" s="146"/>
      <c r="C568" s="146"/>
      <c r="D568" s="146"/>
      <c r="E568" s="146"/>
      <c r="F568" s="146"/>
      <c r="G568" s="146"/>
      <c r="H568" s="146"/>
      <c r="I568" s="146"/>
      <c r="J568" s="146"/>
      <c r="K568" s="146"/>
      <c r="L568" s="146"/>
    </row>
    <row r="569" spans="2:12" x14ac:dyDescent="0.3">
      <c r="B569" s="146"/>
      <c r="C569" s="146"/>
      <c r="D569" s="146"/>
      <c r="E569" s="146"/>
      <c r="F569" s="146"/>
      <c r="G569" s="146"/>
      <c r="H569" s="146"/>
      <c r="I569" s="146"/>
      <c r="J569" s="146"/>
      <c r="K569" s="146"/>
      <c r="L569" s="146"/>
    </row>
    <row r="570" spans="2:12" x14ac:dyDescent="0.3">
      <c r="B570" s="146"/>
      <c r="C570" s="146"/>
      <c r="D570" s="146"/>
      <c r="E570" s="146"/>
      <c r="F570" s="146"/>
      <c r="G570" s="146"/>
      <c r="H570" s="146"/>
      <c r="I570" s="146"/>
      <c r="J570" s="146"/>
      <c r="K570" s="146"/>
      <c r="L570" s="146"/>
    </row>
    <row r="571" spans="2:12" x14ac:dyDescent="0.3">
      <c r="B571" s="146"/>
      <c r="C571" s="146"/>
      <c r="D571" s="146"/>
      <c r="E571" s="146"/>
      <c r="F571" s="146"/>
      <c r="G571" s="146"/>
      <c r="H571" s="146"/>
      <c r="I571" s="146"/>
      <c r="J571" s="146"/>
      <c r="K571" s="146"/>
      <c r="L571" s="146"/>
    </row>
    <row r="572" spans="2:12" x14ac:dyDescent="0.3">
      <c r="B572" s="146"/>
      <c r="C572" s="146"/>
      <c r="D572" s="146"/>
      <c r="E572" s="146"/>
      <c r="F572" s="146"/>
      <c r="G572" s="146"/>
      <c r="H572" s="146"/>
      <c r="I572" s="146"/>
      <c r="J572" s="146"/>
      <c r="K572" s="146"/>
      <c r="L572" s="146"/>
    </row>
    <row r="573" spans="2:12" x14ac:dyDescent="0.3">
      <c r="B573" s="146"/>
      <c r="C573" s="146"/>
      <c r="D573" s="146"/>
      <c r="E573" s="146"/>
      <c r="F573" s="146"/>
      <c r="G573" s="146"/>
      <c r="H573" s="146"/>
      <c r="I573" s="146"/>
      <c r="J573" s="146"/>
      <c r="K573" s="146"/>
      <c r="L573" s="146"/>
    </row>
    <row r="574" spans="2:12" x14ac:dyDescent="0.3">
      <c r="B574" s="146"/>
      <c r="C574" s="146"/>
      <c r="D574" s="146"/>
      <c r="E574" s="146"/>
      <c r="F574" s="146"/>
      <c r="G574" s="146"/>
      <c r="H574" s="146"/>
      <c r="I574" s="146"/>
      <c r="J574" s="146"/>
      <c r="K574" s="146"/>
      <c r="L574" s="146"/>
    </row>
    <row r="575" spans="2:12" x14ac:dyDescent="0.3">
      <c r="B575" s="146"/>
      <c r="C575" s="146"/>
      <c r="D575" s="146"/>
      <c r="E575" s="146"/>
      <c r="F575" s="146"/>
      <c r="G575" s="146"/>
      <c r="H575" s="146"/>
      <c r="I575" s="146"/>
      <c r="J575" s="146"/>
      <c r="K575" s="146"/>
      <c r="L575" s="146"/>
    </row>
    <row r="576" spans="2:12" x14ac:dyDescent="0.3">
      <c r="B576" s="146"/>
      <c r="C576" s="146"/>
      <c r="D576" s="146"/>
      <c r="E576" s="146"/>
      <c r="F576" s="146"/>
      <c r="G576" s="146"/>
      <c r="H576" s="146"/>
      <c r="I576" s="146"/>
      <c r="J576" s="146"/>
      <c r="K576" s="146"/>
      <c r="L576" s="146"/>
    </row>
    <row r="577" spans="2:12" x14ac:dyDescent="0.3">
      <c r="B577" s="146"/>
      <c r="C577" s="146"/>
      <c r="D577" s="146"/>
      <c r="E577" s="146"/>
      <c r="F577" s="146"/>
      <c r="G577" s="146"/>
      <c r="H577" s="146"/>
      <c r="I577" s="146"/>
      <c r="J577" s="146"/>
      <c r="K577" s="146"/>
      <c r="L577" s="146"/>
    </row>
    <row r="578" spans="2:12" x14ac:dyDescent="0.3">
      <c r="B578" s="146"/>
      <c r="C578" s="146"/>
      <c r="D578" s="146"/>
      <c r="E578" s="146"/>
      <c r="F578" s="146"/>
      <c r="G578" s="146"/>
      <c r="H578" s="146"/>
      <c r="I578" s="146"/>
      <c r="J578" s="146"/>
      <c r="K578" s="146"/>
      <c r="L578" s="146"/>
    </row>
    <row r="579" spans="2:12" x14ac:dyDescent="0.3">
      <c r="B579" s="146"/>
      <c r="C579" s="146"/>
      <c r="D579" s="146"/>
      <c r="E579" s="146"/>
      <c r="F579" s="146"/>
      <c r="G579" s="146"/>
      <c r="H579" s="146"/>
      <c r="I579" s="146"/>
      <c r="J579" s="146"/>
      <c r="K579" s="146"/>
      <c r="L579" s="146"/>
    </row>
    <row r="580" spans="2:12" x14ac:dyDescent="0.3">
      <c r="B580" s="146"/>
      <c r="C580" s="146"/>
      <c r="D580" s="146"/>
      <c r="E580" s="146"/>
      <c r="F580" s="146"/>
      <c r="G580" s="146"/>
      <c r="H580" s="146"/>
      <c r="I580" s="146"/>
      <c r="J580" s="146"/>
      <c r="K580" s="146"/>
      <c r="L580" s="146"/>
    </row>
    <row r="581" spans="2:12" x14ac:dyDescent="0.3">
      <c r="B581" s="146"/>
      <c r="C581" s="146"/>
      <c r="D581" s="146"/>
      <c r="E581" s="146"/>
      <c r="F581" s="146"/>
      <c r="G581" s="146"/>
      <c r="H581" s="146"/>
      <c r="I581" s="146"/>
      <c r="J581" s="146"/>
      <c r="K581" s="146"/>
      <c r="L581" s="146"/>
    </row>
    <row r="582" spans="2:12" x14ac:dyDescent="0.3">
      <c r="B582" s="146"/>
      <c r="C582" s="146"/>
      <c r="D582" s="146"/>
      <c r="E582" s="146"/>
      <c r="F582" s="146"/>
      <c r="G582" s="146"/>
      <c r="H582" s="146"/>
      <c r="I582" s="146"/>
      <c r="J582" s="146"/>
      <c r="K582" s="146"/>
      <c r="L582" s="146"/>
    </row>
    <row r="583" spans="2:12" x14ac:dyDescent="0.3">
      <c r="B583" s="146"/>
      <c r="C583" s="146"/>
      <c r="D583" s="146"/>
      <c r="E583" s="146"/>
      <c r="F583" s="146"/>
      <c r="G583" s="146"/>
      <c r="H583" s="146"/>
      <c r="I583" s="146"/>
      <c r="J583" s="146"/>
      <c r="K583" s="146"/>
      <c r="L583" s="146"/>
    </row>
    <row r="584" spans="2:12" x14ac:dyDescent="0.3">
      <c r="B584" s="146"/>
      <c r="C584" s="146"/>
      <c r="D584" s="146"/>
      <c r="E584" s="146"/>
      <c r="F584" s="146"/>
      <c r="G584" s="146"/>
      <c r="H584" s="146"/>
      <c r="I584" s="146"/>
      <c r="J584" s="146"/>
      <c r="K584" s="146"/>
      <c r="L584" s="146"/>
    </row>
    <row r="585" spans="2:12" x14ac:dyDescent="0.3">
      <c r="B585" s="146"/>
      <c r="C585" s="146"/>
      <c r="D585" s="146"/>
      <c r="E585" s="146"/>
      <c r="F585" s="146"/>
      <c r="G585" s="146"/>
      <c r="H585" s="146"/>
      <c r="I585" s="146"/>
      <c r="J585" s="146"/>
      <c r="K585" s="146"/>
      <c r="L585" s="146"/>
    </row>
    <row r="586" spans="2:12" x14ac:dyDescent="0.3">
      <c r="B586" s="146"/>
      <c r="C586" s="146"/>
      <c r="D586" s="146"/>
      <c r="E586" s="146"/>
      <c r="F586" s="146"/>
      <c r="G586" s="146"/>
      <c r="H586" s="146"/>
      <c r="I586" s="146"/>
      <c r="J586" s="146"/>
      <c r="K586" s="146"/>
      <c r="L586" s="146"/>
    </row>
    <row r="587" spans="2:12" x14ac:dyDescent="0.3">
      <c r="B587" s="146"/>
      <c r="C587" s="146"/>
      <c r="D587" s="146"/>
      <c r="E587" s="146"/>
      <c r="F587" s="146"/>
      <c r="G587" s="146"/>
      <c r="H587" s="146"/>
      <c r="I587" s="146"/>
      <c r="J587" s="146"/>
      <c r="K587" s="146"/>
      <c r="L587" s="146"/>
    </row>
    <row r="588" spans="2:12" x14ac:dyDescent="0.3">
      <c r="B588" s="146"/>
      <c r="C588" s="146"/>
      <c r="D588" s="146"/>
      <c r="E588" s="146"/>
      <c r="F588" s="146"/>
      <c r="G588" s="146"/>
      <c r="H588" s="146"/>
      <c r="I588" s="146"/>
      <c r="J588" s="146"/>
      <c r="K588" s="146"/>
      <c r="L588" s="146"/>
    </row>
    <row r="589" spans="2:12" x14ac:dyDescent="0.3">
      <c r="B589" s="146"/>
      <c r="C589" s="146"/>
      <c r="D589" s="146"/>
      <c r="E589" s="146"/>
      <c r="F589" s="146"/>
      <c r="G589" s="146"/>
      <c r="H589" s="146"/>
      <c r="I589" s="146"/>
      <c r="J589" s="146"/>
      <c r="K589" s="146"/>
      <c r="L589" s="146"/>
    </row>
    <row r="590" spans="2:12" x14ac:dyDescent="0.3">
      <c r="B590" s="146"/>
      <c r="C590" s="146"/>
      <c r="D590" s="146"/>
      <c r="E590" s="146"/>
      <c r="F590" s="146"/>
      <c r="G590" s="146"/>
      <c r="H590" s="146"/>
      <c r="I590" s="146"/>
      <c r="J590" s="146"/>
      <c r="K590" s="146"/>
      <c r="L590" s="146"/>
    </row>
    <row r="591" spans="2:12" x14ac:dyDescent="0.3">
      <c r="B591" s="146"/>
      <c r="C591" s="146"/>
      <c r="D591" s="146"/>
      <c r="E591" s="146"/>
      <c r="F591" s="146"/>
      <c r="G591" s="146"/>
      <c r="H591" s="146"/>
      <c r="I591" s="146"/>
      <c r="J591" s="146"/>
      <c r="K591" s="146"/>
      <c r="L591" s="146"/>
    </row>
    <row r="592" spans="2:12" x14ac:dyDescent="0.3">
      <c r="B592" s="146"/>
      <c r="C592" s="146"/>
      <c r="D592" s="146"/>
      <c r="E592" s="146"/>
      <c r="F592" s="146"/>
      <c r="G592" s="146"/>
      <c r="H592" s="146"/>
      <c r="I592" s="146"/>
      <c r="J592" s="146"/>
      <c r="K592" s="146"/>
      <c r="L592" s="146"/>
    </row>
    <row r="593" spans="2:12" x14ac:dyDescent="0.3">
      <c r="B593" s="146"/>
      <c r="C593" s="146"/>
      <c r="D593" s="146"/>
      <c r="E593" s="146"/>
      <c r="F593" s="146"/>
      <c r="G593" s="146"/>
      <c r="H593" s="146"/>
      <c r="I593" s="146"/>
      <c r="J593" s="146"/>
      <c r="K593" s="146"/>
      <c r="L593" s="146"/>
    </row>
    <row r="594" spans="2:12" x14ac:dyDescent="0.3">
      <c r="B594" s="146"/>
      <c r="C594" s="146"/>
      <c r="D594" s="146"/>
      <c r="E594" s="146"/>
      <c r="F594" s="146"/>
      <c r="G594" s="146"/>
      <c r="H594" s="146"/>
      <c r="I594" s="146"/>
      <c r="J594" s="146"/>
      <c r="K594" s="146"/>
      <c r="L594" s="146"/>
    </row>
    <row r="595" spans="2:12" x14ac:dyDescent="0.3">
      <c r="B595" s="146"/>
      <c r="C595" s="146"/>
      <c r="D595" s="146"/>
      <c r="E595" s="146"/>
      <c r="F595" s="146"/>
      <c r="G595" s="146"/>
      <c r="H595" s="146"/>
      <c r="I595" s="146"/>
      <c r="J595" s="146"/>
      <c r="K595" s="146"/>
      <c r="L595" s="146"/>
    </row>
    <row r="596" spans="2:12" x14ac:dyDescent="0.3">
      <c r="B596" s="146"/>
      <c r="C596" s="146"/>
      <c r="D596" s="146"/>
      <c r="E596" s="146"/>
      <c r="F596" s="146"/>
      <c r="G596" s="146"/>
      <c r="H596" s="146"/>
      <c r="I596" s="146"/>
      <c r="J596" s="146"/>
      <c r="K596" s="146"/>
      <c r="L596" s="146"/>
    </row>
    <row r="597" spans="2:12" x14ac:dyDescent="0.3">
      <c r="B597" s="146"/>
      <c r="C597" s="146"/>
      <c r="D597" s="146"/>
      <c r="E597" s="146"/>
      <c r="F597" s="146"/>
      <c r="G597" s="146"/>
      <c r="H597" s="146"/>
      <c r="I597" s="146"/>
      <c r="J597" s="146"/>
      <c r="K597" s="146"/>
      <c r="L597" s="146"/>
    </row>
    <row r="598" spans="2:12" x14ac:dyDescent="0.3">
      <c r="B598" s="146"/>
      <c r="C598" s="146"/>
      <c r="D598" s="146"/>
      <c r="E598" s="146"/>
      <c r="F598" s="146"/>
      <c r="G598" s="146"/>
      <c r="H598" s="146"/>
      <c r="I598" s="146"/>
      <c r="J598" s="146"/>
      <c r="K598" s="146"/>
      <c r="L598" s="146"/>
    </row>
    <row r="599" spans="2:12" x14ac:dyDescent="0.3">
      <c r="B599" s="146"/>
      <c r="C599" s="146"/>
      <c r="D599" s="146"/>
      <c r="E599" s="146"/>
      <c r="F599" s="146"/>
      <c r="G599" s="146"/>
      <c r="H599" s="146"/>
      <c r="I599" s="146"/>
      <c r="J599" s="146"/>
      <c r="K599" s="146"/>
      <c r="L599" s="146"/>
    </row>
    <row r="600" spans="2:12" x14ac:dyDescent="0.3">
      <c r="B600" s="146"/>
      <c r="C600" s="146"/>
      <c r="D600" s="146"/>
      <c r="E600" s="146"/>
      <c r="F600" s="146"/>
      <c r="G600" s="146"/>
      <c r="H600" s="146"/>
      <c r="I600" s="146"/>
      <c r="J600" s="146"/>
      <c r="K600" s="146"/>
      <c r="L600" s="146"/>
    </row>
    <row r="601" spans="2:12" x14ac:dyDescent="0.3">
      <c r="B601" s="146"/>
      <c r="C601" s="146"/>
      <c r="D601" s="146"/>
      <c r="E601" s="146"/>
      <c r="F601" s="146"/>
      <c r="G601" s="146"/>
      <c r="H601" s="146"/>
      <c r="I601" s="146"/>
      <c r="J601" s="146"/>
      <c r="K601" s="146"/>
      <c r="L601" s="146"/>
    </row>
    <row r="602" spans="2:12" x14ac:dyDescent="0.3">
      <c r="B602" s="146"/>
      <c r="C602" s="146"/>
      <c r="D602" s="146"/>
      <c r="E602" s="146"/>
      <c r="F602" s="146"/>
      <c r="G602" s="146"/>
      <c r="H602" s="146"/>
      <c r="I602" s="146"/>
      <c r="J602" s="146"/>
      <c r="K602" s="146"/>
      <c r="L602" s="146"/>
    </row>
    <row r="603" spans="2:12" x14ac:dyDescent="0.3">
      <c r="B603" s="146"/>
      <c r="C603" s="146"/>
      <c r="D603" s="146"/>
      <c r="E603" s="146"/>
      <c r="F603" s="146"/>
      <c r="G603" s="146"/>
      <c r="H603" s="146"/>
      <c r="I603" s="146"/>
      <c r="J603" s="146"/>
      <c r="K603" s="146"/>
      <c r="L603" s="146"/>
    </row>
    <row r="604" spans="2:12" x14ac:dyDescent="0.3">
      <c r="B604" s="146"/>
      <c r="C604" s="146"/>
      <c r="D604" s="146"/>
      <c r="E604" s="146"/>
      <c r="F604" s="146"/>
      <c r="G604" s="146"/>
      <c r="H604" s="146"/>
      <c r="I604" s="146"/>
      <c r="J604" s="146"/>
      <c r="K604" s="146"/>
      <c r="L604" s="146"/>
    </row>
    <row r="605" spans="2:12" x14ac:dyDescent="0.3">
      <c r="B605" s="146"/>
      <c r="C605" s="146"/>
      <c r="D605" s="146"/>
      <c r="E605" s="146"/>
      <c r="F605" s="146"/>
      <c r="G605" s="146"/>
      <c r="H605" s="146"/>
      <c r="I605" s="146"/>
      <c r="J605" s="146"/>
      <c r="K605" s="146"/>
      <c r="L605" s="146"/>
    </row>
    <row r="606" spans="2:12" x14ac:dyDescent="0.3">
      <c r="B606" s="146"/>
      <c r="C606" s="146"/>
      <c r="D606" s="146"/>
      <c r="E606" s="146"/>
      <c r="F606" s="146"/>
      <c r="G606" s="146"/>
      <c r="H606" s="146"/>
      <c r="I606" s="146"/>
      <c r="J606" s="146"/>
      <c r="K606" s="146"/>
      <c r="L606" s="146"/>
    </row>
    <row r="607" spans="2:12" x14ac:dyDescent="0.3">
      <c r="B607" s="146"/>
      <c r="C607" s="146"/>
      <c r="D607" s="146"/>
      <c r="E607" s="146"/>
      <c r="F607" s="146"/>
      <c r="G607" s="146"/>
      <c r="H607" s="146"/>
      <c r="I607" s="146"/>
      <c r="J607" s="146"/>
      <c r="K607" s="146"/>
      <c r="L607" s="146"/>
    </row>
    <row r="608" spans="2:12" x14ac:dyDescent="0.3">
      <c r="B608" s="146"/>
      <c r="C608" s="146"/>
      <c r="D608" s="146"/>
      <c r="E608" s="146"/>
      <c r="F608" s="146"/>
      <c r="G608" s="146"/>
      <c r="H608" s="146"/>
      <c r="I608" s="146"/>
      <c r="J608" s="146"/>
      <c r="K608" s="146"/>
      <c r="L608" s="146"/>
    </row>
    <row r="609" spans="2:12" x14ac:dyDescent="0.3">
      <c r="B609" s="146"/>
      <c r="C609" s="146"/>
      <c r="D609" s="146"/>
      <c r="E609" s="146"/>
      <c r="F609" s="146"/>
      <c r="G609" s="146"/>
      <c r="H609" s="146"/>
      <c r="I609" s="146"/>
      <c r="J609" s="146"/>
      <c r="K609" s="146"/>
      <c r="L609" s="146"/>
    </row>
    <row r="610" spans="2:12" x14ac:dyDescent="0.3">
      <c r="B610" s="146"/>
      <c r="C610" s="146"/>
      <c r="D610" s="146"/>
      <c r="E610" s="146"/>
      <c r="F610" s="146"/>
      <c r="G610" s="146"/>
      <c r="H610" s="146"/>
      <c r="I610" s="146"/>
      <c r="J610" s="146"/>
      <c r="K610" s="146"/>
      <c r="L610" s="146"/>
    </row>
    <row r="611" spans="2:12" x14ac:dyDescent="0.3">
      <c r="B611" s="146"/>
      <c r="C611" s="146"/>
      <c r="D611" s="146"/>
      <c r="E611" s="146"/>
      <c r="F611" s="146"/>
      <c r="G611" s="146"/>
      <c r="H611" s="146"/>
      <c r="I611" s="146"/>
      <c r="J611" s="146"/>
      <c r="K611" s="146"/>
      <c r="L611" s="146"/>
    </row>
    <row r="612" spans="2:12" x14ac:dyDescent="0.3">
      <c r="B612" s="146"/>
      <c r="C612" s="146"/>
      <c r="D612" s="146"/>
      <c r="E612" s="146"/>
      <c r="F612" s="146"/>
      <c r="G612" s="146"/>
      <c r="H612" s="146"/>
      <c r="I612" s="146"/>
      <c r="J612" s="146"/>
      <c r="K612" s="146"/>
      <c r="L612" s="146"/>
    </row>
    <row r="613" spans="2:12" x14ac:dyDescent="0.3">
      <c r="B613" s="146"/>
      <c r="C613" s="146"/>
      <c r="D613" s="146"/>
      <c r="E613" s="146"/>
      <c r="F613" s="146"/>
      <c r="G613" s="146"/>
      <c r="H613" s="146"/>
      <c r="I613" s="146"/>
      <c r="J613" s="146"/>
      <c r="K613" s="146"/>
      <c r="L613" s="146"/>
    </row>
    <row r="614" spans="2:12" x14ac:dyDescent="0.3">
      <c r="B614" s="146"/>
      <c r="C614" s="146"/>
      <c r="D614" s="146"/>
      <c r="E614" s="146"/>
      <c r="F614" s="146"/>
      <c r="G614" s="146"/>
      <c r="H614" s="146"/>
      <c r="I614" s="146"/>
      <c r="J614" s="146"/>
      <c r="K614" s="146"/>
      <c r="L614" s="146"/>
    </row>
    <row r="615" spans="2:12" x14ac:dyDescent="0.3">
      <c r="B615" s="146"/>
      <c r="C615" s="146"/>
      <c r="D615" s="146"/>
      <c r="E615" s="146"/>
      <c r="F615" s="146"/>
      <c r="G615" s="146"/>
      <c r="H615" s="146"/>
      <c r="I615" s="146"/>
      <c r="J615" s="146"/>
      <c r="K615" s="146"/>
      <c r="L615" s="146"/>
    </row>
    <row r="616" spans="2:12" x14ac:dyDescent="0.3">
      <c r="B616" s="146"/>
      <c r="C616" s="146"/>
      <c r="D616" s="146"/>
      <c r="E616" s="146"/>
      <c r="F616" s="146"/>
      <c r="G616" s="146"/>
      <c r="H616" s="146"/>
      <c r="I616" s="146"/>
      <c r="J616" s="146"/>
      <c r="K616" s="146"/>
      <c r="L616" s="146"/>
    </row>
    <row r="617" spans="2:12" x14ac:dyDescent="0.3">
      <c r="B617" s="146"/>
      <c r="C617" s="146"/>
      <c r="D617" s="146"/>
      <c r="E617" s="146"/>
      <c r="F617" s="146"/>
      <c r="G617" s="146"/>
      <c r="H617" s="146"/>
      <c r="I617" s="146"/>
      <c r="J617" s="146"/>
      <c r="K617" s="146"/>
      <c r="L617" s="146"/>
    </row>
    <row r="618" spans="2:12" x14ac:dyDescent="0.3">
      <c r="B618" s="146"/>
      <c r="C618" s="146"/>
      <c r="D618" s="146"/>
      <c r="E618" s="146"/>
      <c r="F618" s="146"/>
      <c r="G618" s="146"/>
      <c r="H618" s="146"/>
      <c r="I618" s="146"/>
      <c r="J618" s="146"/>
      <c r="K618" s="146"/>
      <c r="L618" s="146"/>
    </row>
    <row r="619" spans="2:12" x14ac:dyDescent="0.3">
      <c r="B619" s="146"/>
      <c r="C619" s="146"/>
      <c r="D619" s="146"/>
      <c r="E619" s="146"/>
      <c r="F619" s="146"/>
      <c r="G619" s="146"/>
      <c r="H619" s="146"/>
      <c r="I619" s="146"/>
      <c r="J619" s="146"/>
      <c r="K619" s="146"/>
      <c r="L619" s="146"/>
    </row>
    <row r="620" spans="2:12" x14ac:dyDescent="0.3">
      <c r="B620" s="146"/>
      <c r="C620" s="146"/>
      <c r="D620" s="146"/>
      <c r="E620" s="146"/>
      <c r="F620" s="146"/>
      <c r="G620" s="146"/>
      <c r="H620" s="146"/>
      <c r="I620" s="146"/>
      <c r="J620" s="146"/>
      <c r="K620" s="146"/>
      <c r="L620" s="146"/>
    </row>
    <row r="621" spans="2:12" x14ac:dyDescent="0.3">
      <c r="B621" s="146"/>
      <c r="C621" s="146"/>
      <c r="D621" s="146"/>
      <c r="E621" s="146"/>
      <c r="F621" s="146"/>
      <c r="G621" s="146"/>
      <c r="H621" s="146"/>
      <c r="I621" s="146"/>
      <c r="J621" s="146"/>
      <c r="K621" s="146"/>
      <c r="L621" s="146"/>
    </row>
    <row r="622" spans="2:12" x14ac:dyDescent="0.3">
      <c r="B622" s="146"/>
      <c r="C622" s="146"/>
      <c r="D622" s="146"/>
      <c r="E622" s="146"/>
      <c r="F622" s="146"/>
      <c r="G622" s="146"/>
      <c r="H622" s="146"/>
      <c r="I622" s="146"/>
      <c r="J622" s="146"/>
      <c r="K622" s="146"/>
      <c r="L622" s="146"/>
    </row>
    <row r="623" spans="2:12" x14ac:dyDescent="0.3">
      <c r="B623" s="146"/>
      <c r="C623" s="146"/>
      <c r="D623" s="146"/>
      <c r="E623" s="146"/>
      <c r="F623" s="146"/>
      <c r="G623" s="146"/>
      <c r="H623" s="146"/>
      <c r="I623" s="146"/>
      <c r="J623" s="146"/>
      <c r="K623" s="146"/>
      <c r="L623" s="146"/>
    </row>
    <row r="624" spans="2:12" x14ac:dyDescent="0.3">
      <c r="B624" s="146"/>
      <c r="C624" s="146"/>
      <c r="D624" s="146"/>
      <c r="E624" s="146"/>
      <c r="F624" s="146"/>
      <c r="G624" s="146"/>
      <c r="H624" s="146"/>
      <c r="I624" s="146"/>
      <c r="J624" s="146"/>
      <c r="K624" s="146"/>
      <c r="L624" s="146"/>
    </row>
    <row r="625" spans="2:12" x14ac:dyDescent="0.3">
      <c r="B625" s="146"/>
      <c r="C625" s="146"/>
      <c r="D625" s="146"/>
      <c r="E625" s="146"/>
      <c r="F625" s="146"/>
      <c r="G625" s="146"/>
      <c r="H625" s="146"/>
      <c r="I625" s="146"/>
      <c r="J625" s="146"/>
      <c r="K625" s="146"/>
      <c r="L625" s="146"/>
    </row>
    <row r="626" spans="2:12" x14ac:dyDescent="0.3">
      <c r="B626" s="146"/>
      <c r="C626" s="146"/>
      <c r="D626" s="146"/>
      <c r="E626" s="146"/>
      <c r="F626" s="146"/>
      <c r="G626" s="146"/>
      <c r="H626" s="146"/>
      <c r="I626" s="146"/>
      <c r="J626" s="146"/>
      <c r="K626" s="146"/>
      <c r="L626" s="146"/>
    </row>
    <row r="627" spans="2:12" x14ac:dyDescent="0.3">
      <c r="B627" s="146"/>
      <c r="C627" s="146"/>
      <c r="D627" s="146"/>
      <c r="E627" s="146"/>
      <c r="F627" s="146"/>
      <c r="G627" s="146"/>
      <c r="H627" s="146"/>
      <c r="I627" s="146"/>
      <c r="J627" s="146"/>
      <c r="K627" s="146"/>
      <c r="L627" s="146"/>
    </row>
    <row r="628" spans="2:12" x14ac:dyDescent="0.3">
      <c r="B628" s="146"/>
      <c r="C628" s="146"/>
      <c r="D628" s="146"/>
      <c r="E628" s="146"/>
      <c r="F628" s="146"/>
      <c r="G628" s="146"/>
      <c r="H628" s="146"/>
      <c r="I628" s="146"/>
      <c r="J628" s="146"/>
      <c r="K628" s="146"/>
      <c r="L628" s="146"/>
    </row>
    <row r="629" spans="2:12" x14ac:dyDescent="0.3">
      <c r="B629" s="146"/>
      <c r="C629" s="146"/>
      <c r="D629" s="146"/>
      <c r="E629" s="146"/>
      <c r="F629" s="146"/>
      <c r="G629" s="146"/>
      <c r="H629" s="146"/>
      <c r="I629" s="146"/>
      <c r="J629" s="146"/>
      <c r="K629" s="146"/>
      <c r="L629" s="146"/>
    </row>
    <row r="630" spans="2:12" x14ac:dyDescent="0.3">
      <c r="B630" s="146"/>
      <c r="C630" s="146"/>
      <c r="D630" s="146"/>
      <c r="E630" s="146"/>
      <c r="F630" s="146"/>
      <c r="G630" s="146"/>
      <c r="H630" s="146"/>
      <c r="I630" s="146"/>
      <c r="J630" s="146"/>
      <c r="K630" s="146"/>
      <c r="L630" s="146"/>
    </row>
    <row r="631" spans="2:12" x14ac:dyDescent="0.3">
      <c r="B631" s="146"/>
      <c r="C631" s="146"/>
      <c r="D631" s="146"/>
      <c r="E631" s="146"/>
      <c r="F631" s="146"/>
      <c r="G631" s="146"/>
      <c r="H631" s="146"/>
      <c r="I631" s="146"/>
      <c r="J631" s="146"/>
      <c r="K631" s="146"/>
      <c r="L631" s="146"/>
    </row>
    <row r="632" spans="2:12" x14ac:dyDescent="0.3">
      <c r="B632" s="146"/>
      <c r="C632" s="146"/>
      <c r="D632" s="146"/>
      <c r="E632" s="146"/>
      <c r="F632" s="146"/>
      <c r="G632" s="146"/>
      <c r="H632" s="146"/>
      <c r="I632" s="146"/>
      <c r="J632" s="146"/>
      <c r="K632" s="146"/>
      <c r="L632" s="146"/>
    </row>
    <row r="633" spans="2:12" x14ac:dyDescent="0.3">
      <c r="B633" s="146"/>
      <c r="C633" s="146"/>
      <c r="D633" s="146"/>
      <c r="E633" s="146"/>
      <c r="F633" s="146"/>
      <c r="G633" s="146"/>
      <c r="H633" s="146"/>
      <c r="I633" s="146"/>
      <c r="J633" s="146"/>
      <c r="K633" s="146"/>
      <c r="L633" s="146"/>
    </row>
    <row r="634" spans="2:12" x14ac:dyDescent="0.3">
      <c r="B634" s="146"/>
      <c r="C634" s="146"/>
      <c r="D634" s="146"/>
      <c r="E634" s="146"/>
      <c r="F634" s="146"/>
      <c r="G634" s="146"/>
      <c r="H634" s="146"/>
      <c r="I634" s="146"/>
      <c r="J634" s="146"/>
      <c r="K634" s="146"/>
      <c r="L634" s="146"/>
    </row>
    <row r="635" spans="2:12" x14ac:dyDescent="0.3">
      <c r="B635" s="146"/>
      <c r="C635" s="146"/>
      <c r="D635" s="146"/>
      <c r="E635" s="146"/>
      <c r="F635" s="146"/>
      <c r="G635" s="146"/>
      <c r="H635" s="146"/>
      <c r="I635" s="146"/>
      <c r="J635" s="146"/>
      <c r="K635" s="146"/>
      <c r="L635" s="146"/>
    </row>
    <row r="636" spans="2:12" x14ac:dyDescent="0.3">
      <c r="B636" s="146"/>
      <c r="C636" s="146"/>
      <c r="D636" s="146"/>
      <c r="E636" s="146"/>
      <c r="F636" s="146"/>
      <c r="G636" s="146"/>
      <c r="H636" s="146"/>
      <c r="I636" s="146"/>
      <c r="J636" s="146"/>
      <c r="K636" s="146"/>
      <c r="L636" s="146"/>
    </row>
    <row r="637" spans="2:12" x14ac:dyDescent="0.3">
      <c r="B637" s="146"/>
      <c r="C637" s="146"/>
      <c r="D637" s="146"/>
      <c r="E637" s="146"/>
      <c r="F637" s="146"/>
      <c r="G637" s="146"/>
      <c r="H637" s="146"/>
      <c r="I637" s="146"/>
      <c r="J637" s="146"/>
      <c r="K637" s="146"/>
      <c r="L637" s="146"/>
    </row>
    <row r="638" spans="2:12" x14ac:dyDescent="0.3">
      <c r="B638" s="146"/>
      <c r="C638" s="146"/>
      <c r="D638" s="146"/>
      <c r="E638" s="146"/>
      <c r="F638" s="146"/>
      <c r="G638" s="146"/>
      <c r="H638" s="146"/>
      <c r="I638" s="146"/>
      <c r="J638" s="146"/>
      <c r="K638" s="146"/>
      <c r="L638" s="146"/>
    </row>
    <row r="639" spans="2:12" x14ac:dyDescent="0.3">
      <c r="B639" s="146"/>
      <c r="C639" s="146"/>
      <c r="D639" s="146"/>
      <c r="E639" s="146"/>
      <c r="F639" s="146"/>
      <c r="G639" s="146"/>
      <c r="H639" s="146"/>
      <c r="I639" s="146"/>
      <c r="J639" s="146"/>
      <c r="K639" s="146"/>
      <c r="L639" s="146"/>
    </row>
    <row r="640" spans="2:12" x14ac:dyDescent="0.3">
      <c r="B640" s="146"/>
      <c r="C640" s="146"/>
      <c r="D640" s="146"/>
      <c r="E640" s="146"/>
      <c r="F640" s="146"/>
      <c r="G640" s="146"/>
      <c r="H640" s="146"/>
      <c r="I640" s="146"/>
      <c r="J640" s="146"/>
      <c r="K640" s="146"/>
      <c r="L640" s="146"/>
    </row>
    <row r="641" spans="2:12" x14ac:dyDescent="0.3">
      <c r="B641" s="146"/>
      <c r="C641" s="146"/>
      <c r="D641" s="146"/>
      <c r="E641" s="146"/>
      <c r="F641" s="146"/>
      <c r="G641" s="146"/>
      <c r="H641" s="146"/>
      <c r="I641" s="146"/>
      <c r="J641" s="146"/>
      <c r="K641" s="146"/>
      <c r="L641" s="146"/>
    </row>
    <row r="642" spans="2:12" x14ac:dyDescent="0.3">
      <c r="B642" s="146"/>
      <c r="C642" s="146"/>
      <c r="D642" s="146"/>
      <c r="E642" s="146"/>
      <c r="F642" s="146"/>
      <c r="G642" s="146"/>
      <c r="H642" s="146"/>
      <c r="I642" s="146"/>
      <c r="J642" s="146"/>
      <c r="K642" s="146"/>
      <c r="L642" s="146"/>
    </row>
    <row r="643" spans="2:12" x14ac:dyDescent="0.3">
      <c r="B643" s="146"/>
      <c r="C643" s="146"/>
      <c r="D643" s="146"/>
      <c r="E643" s="146"/>
      <c r="F643" s="146"/>
      <c r="G643" s="146"/>
      <c r="H643" s="146"/>
      <c r="I643" s="146"/>
      <c r="J643" s="146"/>
      <c r="K643" s="146"/>
      <c r="L643" s="146"/>
    </row>
    <row r="644" spans="2:12" x14ac:dyDescent="0.3">
      <c r="B644" s="146"/>
      <c r="C644" s="146"/>
      <c r="D644" s="146"/>
      <c r="E644" s="146"/>
      <c r="F644" s="146"/>
      <c r="G644" s="146"/>
      <c r="H644" s="146"/>
      <c r="I644" s="146"/>
      <c r="J644" s="146"/>
      <c r="K644" s="146"/>
      <c r="L644" s="146"/>
    </row>
    <row r="645" spans="2:12" x14ac:dyDescent="0.3">
      <c r="B645" s="146"/>
      <c r="C645" s="146"/>
      <c r="D645" s="146"/>
      <c r="E645" s="146"/>
      <c r="F645" s="146"/>
      <c r="G645" s="146"/>
      <c r="H645" s="146"/>
      <c r="I645" s="146"/>
      <c r="J645" s="146"/>
      <c r="K645" s="146"/>
      <c r="L645" s="146"/>
    </row>
    <row r="646" spans="2:12" x14ac:dyDescent="0.3">
      <c r="B646" s="146"/>
      <c r="C646" s="146"/>
      <c r="D646" s="146"/>
      <c r="E646" s="146"/>
      <c r="F646" s="146"/>
      <c r="G646" s="146"/>
      <c r="H646" s="146"/>
      <c r="I646" s="146"/>
      <c r="J646" s="146"/>
      <c r="K646" s="146"/>
      <c r="L646" s="146"/>
    </row>
    <row r="647" spans="2:12" x14ac:dyDescent="0.3">
      <c r="B647" s="146"/>
      <c r="C647" s="146"/>
      <c r="D647" s="146"/>
      <c r="E647" s="146"/>
      <c r="F647" s="146"/>
      <c r="G647" s="146"/>
      <c r="H647" s="146"/>
      <c r="I647" s="146"/>
      <c r="J647" s="146"/>
      <c r="K647" s="146"/>
      <c r="L647" s="146"/>
    </row>
    <row r="648" spans="2:12" x14ac:dyDescent="0.3">
      <c r="B648" s="146"/>
      <c r="C648" s="146"/>
      <c r="D648" s="146"/>
      <c r="E648" s="146"/>
      <c r="F648" s="146"/>
      <c r="G648" s="146"/>
      <c r="H648" s="146"/>
      <c r="I648" s="146"/>
      <c r="J648" s="146"/>
      <c r="K648" s="146"/>
      <c r="L648" s="146"/>
    </row>
    <row r="649" spans="2:12" x14ac:dyDescent="0.3">
      <c r="B649" s="146"/>
      <c r="C649" s="146"/>
      <c r="D649" s="146"/>
      <c r="E649" s="146"/>
      <c r="F649" s="146"/>
      <c r="G649" s="146"/>
      <c r="H649" s="146"/>
      <c r="I649" s="146"/>
      <c r="J649" s="146"/>
      <c r="K649" s="146"/>
      <c r="L649" s="146"/>
    </row>
    <row r="650" spans="2:12" x14ac:dyDescent="0.3">
      <c r="B650" s="146"/>
      <c r="C650" s="146"/>
      <c r="D650" s="146"/>
      <c r="E650" s="146"/>
      <c r="F650" s="146"/>
      <c r="G650" s="146"/>
      <c r="H650" s="146"/>
      <c r="I650" s="146"/>
      <c r="J650" s="146"/>
      <c r="K650" s="146"/>
      <c r="L650" s="146"/>
    </row>
    <row r="651" spans="2:12" x14ac:dyDescent="0.3">
      <c r="B651" s="146"/>
      <c r="C651" s="146"/>
      <c r="D651" s="146"/>
      <c r="E651" s="146"/>
      <c r="F651" s="146"/>
      <c r="G651" s="146"/>
      <c r="H651" s="146"/>
      <c r="I651" s="146"/>
      <c r="J651" s="146"/>
      <c r="K651" s="146"/>
      <c r="L651" s="146"/>
    </row>
    <row r="652" spans="2:12" x14ac:dyDescent="0.3">
      <c r="B652" s="146"/>
      <c r="C652" s="146"/>
      <c r="D652" s="146"/>
      <c r="E652" s="146"/>
      <c r="F652" s="146"/>
      <c r="G652" s="146"/>
      <c r="H652" s="146"/>
      <c r="I652" s="146"/>
      <c r="J652" s="146"/>
      <c r="K652" s="146"/>
      <c r="L652" s="146"/>
    </row>
    <row r="653" spans="2:12" x14ac:dyDescent="0.3">
      <c r="B653" s="146"/>
      <c r="C653" s="146"/>
      <c r="D653" s="146"/>
      <c r="E653" s="146"/>
      <c r="F653" s="146"/>
      <c r="G653" s="146"/>
      <c r="H653" s="146"/>
      <c r="I653" s="146"/>
      <c r="J653" s="146"/>
      <c r="K653" s="146"/>
      <c r="L653" s="146"/>
    </row>
    <row r="654" spans="2:12" x14ac:dyDescent="0.3">
      <c r="B654" s="146"/>
      <c r="C654" s="146"/>
      <c r="D654" s="146"/>
      <c r="E654" s="146"/>
      <c r="F654" s="146"/>
      <c r="G654" s="146"/>
      <c r="H654" s="146"/>
      <c r="I654" s="146"/>
      <c r="J654" s="146"/>
      <c r="K654" s="146"/>
      <c r="L654" s="146"/>
    </row>
    <row r="655" spans="2:12" x14ac:dyDescent="0.3">
      <c r="B655" s="146"/>
      <c r="C655" s="146"/>
      <c r="D655" s="146"/>
      <c r="E655" s="146"/>
      <c r="F655" s="146"/>
      <c r="G655" s="146"/>
      <c r="H655" s="146"/>
      <c r="I655" s="146"/>
      <c r="J655" s="146"/>
      <c r="K655" s="146"/>
      <c r="L655" s="146"/>
    </row>
    <row r="656" spans="2:12" x14ac:dyDescent="0.3">
      <c r="B656" s="146"/>
      <c r="C656" s="146"/>
      <c r="D656" s="146"/>
      <c r="E656" s="146"/>
      <c r="F656" s="146"/>
      <c r="G656" s="146"/>
      <c r="H656" s="146"/>
      <c r="I656" s="146"/>
      <c r="J656" s="146"/>
      <c r="K656" s="146"/>
      <c r="L656" s="146"/>
    </row>
    <row r="657" spans="2:12" x14ac:dyDescent="0.3">
      <c r="B657" s="146"/>
      <c r="C657" s="146"/>
      <c r="D657" s="146"/>
      <c r="E657" s="146"/>
      <c r="F657" s="146"/>
      <c r="G657" s="146"/>
      <c r="H657" s="146"/>
      <c r="I657" s="146"/>
      <c r="J657" s="146"/>
      <c r="K657" s="146"/>
      <c r="L657" s="146"/>
    </row>
    <row r="658" spans="2:12" x14ac:dyDescent="0.3">
      <c r="B658" s="146"/>
      <c r="C658" s="146"/>
      <c r="D658" s="146"/>
      <c r="E658" s="146"/>
      <c r="F658" s="146"/>
      <c r="G658" s="146"/>
      <c r="H658" s="146"/>
      <c r="I658" s="146"/>
      <c r="J658" s="146"/>
      <c r="K658" s="146"/>
      <c r="L658" s="146"/>
    </row>
    <row r="659" spans="2:12" x14ac:dyDescent="0.3">
      <c r="B659" s="146"/>
      <c r="C659" s="146"/>
      <c r="D659" s="146"/>
      <c r="E659" s="146"/>
      <c r="F659" s="146"/>
      <c r="G659" s="146"/>
      <c r="H659" s="146"/>
      <c r="I659" s="146"/>
      <c r="J659" s="146"/>
      <c r="K659" s="146"/>
      <c r="L659" s="146"/>
    </row>
    <row r="660" spans="2:12" x14ac:dyDescent="0.3">
      <c r="B660" s="146"/>
      <c r="C660" s="146"/>
      <c r="D660" s="146"/>
      <c r="E660" s="146"/>
      <c r="F660" s="146"/>
      <c r="G660" s="146"/>
      <c r="H660" s="146"/>
      <c r="I660" s="146"/>
      <c r="J660" s="146"/>
      <c r="K660" s="146"/>
      <c r="L660" s="146"/>
    </row>
    <row r="661" spans="2:12" x14ac:dyDescent="0.3">
      <c r="B661" s="146"/>
      <c r="C661" s="146"/>
      <c r="D661" s="146"/>
      <c r="E661" s="146"/>
      <c r="F661" s="146"/>
      <c r="G661" s="146"/>
      <c r="H661" s="146"/>
      <c r="I661" s="146"/>
      <c r="J661" s="146"/>
      <c r="K661" s="146"/>
      <c r="L661" s="146"/>
    </row>
    <row r="662" spans="2:12" x14ac:dyDescent="0.3">
      <c r="B662" s="146"/>
      <c r="C662" s="146"/>
      <c r="D662" s="146"/>
      <c r="E662" s="146"/>
      <c r="F662" s="146"/>
      <c r="G662" s="146"/>
      <c r="H662" s="146"/>
      <c r="I662" s="146"/>
      <c r="J662" s="146"/>
      <c r="K662" s="146"/>
      <c r="L662" s="146"/>
    </row>
    <row r="663" spans="2:12" x14ac:dyDescent="0.3">
      <c r="B663" s="146"/>
      <c r="C663" s="146"/>
      <c r="D663" s="146"/>
      <c r="E663" s="146"/>
      <c r="F663" s="146"/>
      <c r="G663" s="146"/>
      <c r="H663" s="146"/>
      <c r="I663" s="146"/>
      <c r="J663" s="146"/>
      <c r="K663" s="146"/>
      <c r="L663" s="146"/>
    </row>
    <row r="664" spans="2:12" x14ac:dyDescent="0.3">
      <c r="B664" s="146"/>
      <c r="C664" s="146"/>
      <c r="D664" s="146"/>
      <c r="E664" s="146"/>
      <c r="F664" s="146"/>
      <c r="G664" s="146"/>
      <c r="H664" s="146"/>
      <c r="I664" s="146"/>
      <c r="J664" s="146"/>
      <c r="K664" s="146"/>
      <c r="L664" s="146"/>
    </row>
    <row r="665" spans="2:12" x14ac:dyDescent="0.3">
      <c r="B665" s="146"/>
      <c r="C665" s="146"/>
      <c r="D665" s="146"/>
      <c r="E665" s="146"/>
      <c r="F665" s="146"/>
      <c r="G665" s="146"/>
      <c r="H665" s="146"/>
      <c r="I665" s="146"/>
      <c r="J665" s="146"/>
      <c r="K665" s="146"/>
      <c r="L665" s="146"/>
    </row>
    <row r="666" spans="2:12" x14ac:dyDescent="0.3">
      <c r="B666" s="146"/>
      <c r="C666" s="146"/>
      <c r="D666" s="146"/>
      <c r="E666" s="146"/>
      <c r="F666" s="146"/>
      <c r="G666" s="146"/>
      <c r="H666" s="146"/>
      <c r="I666" s="146"/>
      <c r="J666" s="146"/>
      <c r="K666" s="146"/>
      <c r="L666" s="146"/>
    </row>
    <row r="667" spans="2:12" x14ac:dyDescent="0.3">
      <c r="B667" s="146"/>
      <c r="C667" s="146"/>
      <c r="D667" s="146"/>
      <c r="E667" s="146"/>
      <c r="F667" s="146"/>
      <c r="G667" s="146"/>
      <c r="H667" s="146"/>
      <c r="I667" s="146"/>
      <c r="J667" s="146"/>
      <c r="K667" s="146"/>
      <c r="L667" s="146"/>
    </row>
    <row r="668" spans="2:12" x14ac:dyDescent="0.3">
      <c r="B668" s="146"/>
      <c r="C668" s="146"/>
      <c r="D668" s="146"/>
      <c r="E668" s="146"/>
      <c r="F668" s="146"/>
      <c r="G668" s="146"/>
      <c r="H668" s="146"/>
      <c r="I668" s="146"/>
      <c r="J668" s="146"/>
      <c r="K668" s="146"/>
      <c r="L668" s="146"/>
    </row>
    <row r="669" spans="2:12" x14ac:dyDescent="0.3">
      <c r="B669" s="146"/>
      <c r="C669" s="146"/>
      <c r="D669" s="146"/>
      <c r="E669" s="146"/>
      <c r="F669" s="146"/>
      <c r="G669" s="146"/>
      <c r="H669" s="146"/>
      <c r="I669" s="146"/>
      <c r="J669" s="146"/>
      <c r="K669" s="146"/>
      <c r="L669" s="146"/>
    </row>
    <row r="670" spans="2:12" x14ac:dyDescent="0.3">
      <c r="B670" s="146"/>
      <c r="C670" s="146"/>
      <c r="D670" s="146"/>
      <c r="E670" s="146"/>
      <c r="F670" s="146"/>
      <c r="G670" s="146"/>
      <c r="H670" s="146"/>
      <c r="I670" s="146"/>
      <c r="J670" s="146"/>
      <c r="K670" s="146"/>
      <c r="L670" s="146"/>
    </row>
    <row r="671" spans="2:12" x14ac:dyDescent="0.3">
      <c r="B671" s="146"/>
      <c r="C671" s="146"/>
      <c r="D671" s="146"/>
      <c r="E671" s="146"/>
      <c r="F671" s="146"/>
      <c r="G671" s="146"/>
      <c r="H671" s="146"/>
      <c r="I671" s="146"/>
      <c r="J671" s="146"/>
      <c r="K671" s="146"/>
      <c r="L671" s="146"/>
    </row>
    <row r="672" spans="2:12" x14ac:dyDescent="0.3">
      <c r="B672" s="146"/>
      <c r="C672" s="146"/>
      <c r="D672" s="146"/>
      <c r="E672" s="146"/>
      <c r="F672" s="146"/>
      <c r="G672" s="146"/>
      <c r="H672" s="146"/>
      <c r="I672" s="146"/>
      <c r="J672" s="146"/>
      <c r="K672" s="146"/>
      <c r="L672" s="146"/>
    </row>
    <row r="673" spans="2:12" x14ac:dyDescent="0.3">
      <c r="B673" s="146"/>
      <c r="C673" s="146"/>
      <c r="D673" s="146"/>
      <c r="E673" s="146"/>
      <c r="F673" s="146"/>
      <c r="G673" s="146"/>
      <c r="H673" s="146"/>
      <c r="I673" s="146"/>
      <c r="J673" s="146"/>
      <c r="K673" s="146"/>
      <c r="L673" s="146"/>
    </row>
    <row r="674" spans="2:12" x14ac:dyDescent="0.3">
      <c r="B674" s="146"/>
      <c r="C674" s="146"/>
      <c r="D674" s="146"/>
      <c r="E674" s="146"/>
      <c r="F674" s="146"/>
      <c r="G674" s="146"/>
      <c r="H674" s="146"/>
      <c r="I674" s="146"/>
      <c r="J674" s="146"/>
      <c r="K674" s="146"/>
      <c r="L674" s="146"/>
    </row>
    <row r="675" spans="2:12" x14ac:dyDescent="0.3">
      <c r="B675" s="146"/>
      <c r="C675" s="146"/>
      <c r="D675" s="146"/>
      <c r="E675" s="146"/>
      <c r="F675" s="146"/>
      <c r="G675" s="146"/>
      <c r="H675" s="146"/>
      <c r="I675" s="146"/>
      <c r="J675" s="146"/>
      <c r="K675" s="146"/>
      <c r="L675" s="146"/>
    </row>
    <row r="676" spans="2:12" x14ac:dyDescent="0.3">
      <c r="B676" s="146"/>
      <c r="C676" s="146"/>
      <c r="D676" s="146"/>
      <c r="E676" s="146"/>
      <c r="F676" s="146"/>
      <c r="G676" s="146"/>
      <c r="H676" s="146"/>
      <c r="I676" s="146"/>
      <c r="J676" s="146"/>
      <c r="K676" s="146"/>
      <c r="L676" s="146"/>
    </row>
    <row r="677" spans="2:12" x14ac:dyDescent="0.3">
      <c r="B677" s="146"/>
      <c r="C677" s="146"/>
      <c r="D677" s="146"/>
      <c r="E677" s="146"/>
      <c r="F677" s="146"/>
      <c r="G677" s="146"/>
      <c r="H677" s="146"/>
      <c r="I677" s="146"/>
      <c r="J677" s="146"/>
      <c r="K677" s="146"/>
      <c r="L677" s="146"/>
    </row>
    <row r="678" spans="2:12" x14ac:dyDescent="0.3">
      <c r="B678" s="146"/>
      <c r="C678" s="146"/>
      <c r="D678" s="146"/>
      <c r="E678" s="146"/>
      <c r="F678" s="146"/>
      <c r="G678" s="146"/>
      <c r="H678" s="146"/>
      <c r="I678" s="146"/>
      <c r="J678" s="146"/>
      <c r="K678" s="146"/>
      <c r="L678" s="146"/>
    </row>
    <row r="679" spans="2:12" x14ac:dyDescent="0.3">
      <c r="B679" s="146"/>
      <c r="C679" s="146"/>
      <c r="D679" s="146"/>
      <c r="E679" s="146"/>
      <c r="F679" s="146"/>
      <c r="G679" s="146"/>
      <c r="H679" s="146"/>
      <c r="I679" s="146"/>
      <c r="J679" s="146"/>
      <c r="K679" s="146"/>
      <c r="L679" s="146"/>
    </row>
    <row r="680" spans="2:12" x14ac:dyDescent="0.3">
      <c r="B680" s="146"/>
      <c r="C680" s="146"/>
      <c r="D680" s="146"/>
      <c r="E680" s="146"/>
      <c r="F680" s="146"/>
      <c r="G680" s="146"/>
      <c r="H680" s="146"/>
      <c r="I680" s="146"/>
      <c r="J680" s="146"/>
      <c r="K680" s="146"/>
      <c r="L680" s="146"/>
    </row>
    <row r="681" spans="2:12" x14ac:dyDescent="0.3">
      <c r="B681" s="146"/>
      <c r="C681" s="146"/>
      <c r="D681" s="146"/>
      <c r="E681" s="146"/>
      <c r="F681" s="146"/>
      <c r="G681" s="146"/>
      <c r="H681" s="146"/>
      <c r="I681" s="146"/>
      <c r="J681" s="146"/>
      <c r="K681" s="146"/>
      <c r="L681" s="146"/>
    </row>
    <row r="682" spans="2:12" x14ac:dyDescent="0.3">
      <c r="B682" s="146"/>
      <c r="C682" s="146"/>
      <c r="D682" s="146"/>
      <c r="E682" s="146"/>
      <c r="F682" s="146"/>
      <c r="G682" s="146"/>
      <c r="H682" s="146"/>
      <c r="I682" s="146"/>
      <c r="J682" s="146"/>
      <c r="K682" s="146"/>
      <c r="L682" s="146"/>
    </row>
    <row r="683" spans="2:12" x14ac:dyDescent="0.3">
      <c r="B683" s="146"/>
      <c r="C683" s="146"/>
      <c r="D683" s="146"/>
      <c r="E683" s="146"/>
      <c r="F683" s="146"/>
      <c r="G683" s="146"/>
      <c r="H683" s="146"/>
      <c r="I683" s="146"/>
      <c r="J683" s="146"/>
      <c r="K683" s="146"/>
      <c r="L683" s="146"/>
    </row>
    <row r="684" spans="2:12" x14ac:dyDescent="0.3">
      <c r="B684" s="146"/>
      <c r="C684" s="146"/>
      <c r="D684" s="146"/>
      <c r="E684" s="146"/>
      <c r="F684" s="146"/>
      <c r="G684" s="146"/>
      <c r="H684" s="146"/>
      <c r="I684" s="146"/>
      <c r="J684" s="146"/>
      <c r="K684" s="146"/>
      <c r="L684" s="146"/>
    </row>
    <row r="685" spans="2:12" x14ac:dyDescent="0.3">
      <c r="B685" s="146"/>
      <c r="C685" s="146"/>
      <c r="D685" s="146"/>
      <c r="E685" s="146"/>
      <c r="F685" s="146"/>
      <c r="G685" s="146"/>
      <c r="H685" s="146"/>
      <c r="I685" s="146"/>
      <c r="J685" s="146"/>
      <c r="K685" s="146"/>
      <c r="L685" s="146"/>
    </row>
    <row r="686" spans="2:12" x14ac:dyDescent="0.3">
      <c r="B686" s="146"/>
      <c r="C686" s="146"/>
      <c r="D686" s="146"/>
      <c r="E686" s="146"/>
      <c r="F686" s="146"/>
      <c r="G686" s="146"/>
      <c r="H686" s="146"/>
      <c r="I686" s="146"/>
      <c r="J686" s="146"/>
      <c r="K686" s="146"/>
      <c r="L686" s="146"/>
    </row>
    <row r="687" spans="2:12" x14ac:dyDescent="0.3">
      <c r="B687" s="146"/>
      <c r="C687" s="146"/>
      <c r="D687" s="146"/>
      <c r="E687" s="146"/>
      <c r="F687" s="146"/>
      <c r="G687" s="146"/>
      <c r="H687" s="146"/>
      <c r="I687" s="146"/>
      <c r="J687" s="146"/>
      <c r="K687" s="146"/>
      <c r="L687" s="146"/>
    </row>
    <row r="688" spans="2:12" x14ac:dyDescent="0.3">
      <c r="B688" s="146"/>
      <c r="C688" s="146"/>
      <c r="D688" s="146"/>
      <c r="E688" s="146"/>
      <c r="F688" s="146"/>
      <c r="G688" s="146"/>
      <c r="H688" s="146"/>
      <c r="I688" s="146"/>
      <c r="J688" s="146"/>
      <c r="K688" s="146"/>
      <c r="L688" s="146"/>
    </row>
    <row r="689" spans="2:12" x14ac:dyDescent="0.3">
      <c r="B689" s="146"/>
      <c r="C689" s="146"/>
      <c r="D689" s="146"/>
      <c r="E689" s="146"/>
      <c r="F689" s="146"/>
      <c r="G689" s="146"/>
      <c r="H689" s="146"/>
      <c r="I689" s="146"/>
      <c r="J689" s="146"/>
      <c r="K689" s="146"/>
      <c r="L689" s="146"/>
    </row>
    <row r="690" spans="2:12" x14ac:dyDescent="0.3">
      <c r="B690" s="146"/>
      <c r="C690" s="146"/>
      <c r="D690" s="146"/>
      <c r="E690" s="146"/>
      <c r="F690" s="146"/>
      <c r="G690" s="146"/>
      <c r="H690" s="146"/>
      <c r="I690" s="146"/>
      <c r="J690" s="146"/>
      <c r="K690" s="146"/>
      <c r="L690" s="146"/>
    </row>
    <row r="691" spans="2:12" x14ac:dyDescent="0.3">
      <c r="B691" s="146"/>
      <c r="C691" s="146"/>
      <c r="D691" s="146"/>
      <c r="E691" s="146"/>
      <c r="F691" s="146"/>
      <c r="G691" s="146"/>
      <c r="H691" s="146"/>
      <c r="I691" s="146"/>
      <c r="J691" s="146"/>
      <c r="K691" s="146"/>
      <c r="L691" s="146"/>
    </row>
    <row r="692" spans="2:12" x14ac:dyDescent="0.3">
      <c r="B692" s="146"/>
      <c r="C692" s="146"/>
      <c r="D692" s="146"/>
      <c r="E692" s="146"/>
      <c r="F692" s="146"/>
      <c r="G692" s="146"/>
      <c r="H692" s="146"/>
      <c r="I692" s="146"/>
      <c r="J692" s="146"/>
      <c r="K692" s="146"/>
      <c r="L692" s="146"/>
    </row>
    <row r="693" spans="2:12" x14ac:dyDescent="0.3">
      <c r="B693" s="146"/>
      <c r="C693" s="146"/>
      <c r="D693" s="146"/>
      <c r="E693" s="146"/>
      <c r="F693" s="146"/>
      <c r="G693" s="146"/>
      <c r="H693" s="146"/>
      <c r="I693" s="146"/>
      <c r="J693" s="146"/>
      <c r="K693" s="146"/>
      <c r="L693" s="146"/>
    </row>
    <row r="694" spans="2:12" x14ac:dyDescent="0.3">
      <c r="B694" s="146"/>
      <c r="C694" s="146"/>
      <c r="D694" s="146"/>
      <c r="E694" s="146"/>
      <c r="F694" s="146"/>
      <c r="G694" s="146"/>
      <c r="H694" s="146"/>
      <c r="I694" s="146"/>
      <c r="J694" s="146"/>
      <c r="K694" s="146"/>
      <c r="L694" s="146"/>
    </row>
    <row r="695" spans="2:12" x14ac:dyDescent="0.3">
      <c r="B695" s="146"/>
      <c r="C695" s="146"/>
      <c r="D695" s="146"/>
      <c r="E695" s="146"/>
      <c r="F695" s="146"/>
      <c r="G695" s="146"/>
      <c r="H695" s="146"/>
      <c r="I695" s="146"/>
      <c r="J695" s="146"/>
      <c r="K695" s="146"/>
      <c r="L695" s="146"/>
    </row>
    <row r="696" spans="2:12" x14ac:dyDescent="0.3">
      <c r="B696" s="146"/>
      <c r="C696" s="146"/>
      <c r="D696" s="146"/>
      <c r="E696" s="146"/>
      <c r="F696" s="146"/>
      <c r="G696" s="146"/>
      <c r="H696" s="146"/>
      <c r="I696" s="146"/>
      <c r="J696" s="146"/>
      <c r="K696" s="146"/>
      <c r="L696" s="146"/>
    </row>
    <row r="697" spans="2:12" x14ac:dyDescent="0.3">
      <c r="B697" s="146"/>
      <c r="C697" s="146"/>
      <c r="D697" s="146"/>
      <c r="E697" s="146"/>
      <c r="F697" s="146"/>
      <c r="G697" s="146"/>
      <c r="H697" s="146"/>
      <c r="I697" s="146"/>
      <c r="J697" s="146"/>
      <c r="K697" s="146"/>
      <c r="L697" s="146"/>
    </row>
    <row r="698" spans="2:12" x14ac:dyDescent="0.3">
      <c r="B698" s="146"/>
      <c r="C698" s="146"/>
      <c r="D698" s="146"/>
      <c r="E698" s="146"/>
      <c r="F698" s="146"/>
      <c r="G698" s="146"/>
      <c r="H698" s="146"/>
      <c r="I698" s="146"/>
      <c r="J698" s="146"/>
      <c r="K698" s="146"/>
      <c r="L698" s="146"/>
    </row>
    <row r="699" spans="2:12" x14ac:dyDescent="0.3">
      <c r="B699" s="146"/>
      <c r="C699" s="146"/>
      <c r="D699" s="146"/>
      <c r="E699" s="146"/>
      <c r="F699" s="146"/>
      <c r="G699" s="146"/>
      <c r="H699" s="146"/>
      <c r="I699" s="146"/>
      <c r="J699" s="146"/>
      <c r="K699" s="146"/>
      <c r="L699" s="146"/>
    </row>
    <row r="700" spans="2:12" x14ac:dyDescent="0.3">
      <c r="B700" s="146"/>
      <c r="C700" s="146"/>
      <c r="D700" s="146"/>
      <c r="E700" s="146"/>
      <c r="F700" s="146"/>
      <c r="G700" s="146"/>
      <c r="H700" s="146"/>
      <c r="I700" s="146"/>
      <c r="J700" s="146"/>
      <c r="K700" s="146"/>
      <c r="L700" s="146"/>
    </row>
    <row r="701" spans="2:12" x14ac:dyDescent="0.3">
      <c r="B701" s="146"/>
      <c r="C701" s="146"/>
      <c r="D701" s="146"/>
      <c r="E701" s="146"/>
      <c r="F701" s="146"/>
      <c r="G701" s="146"/>
      <c r="H701" s="146"/>
      <c r="I701" s="146"/>
      <c r="J701" s="146"/>
      <c r="K701" s="146"/>
      <c r="L701" s="146"/>
    </row>
    <row r="702" spans="2:12" x14ac:dyDescent="0.3">
      <c r="B702" s="146"/>
      <c r="C702" s="146"/>
      <c r="D702" s="146"/>
      <c r="E702" s="146"/>
      <c r="F702" s="146"/>
      <c r="G702" s="146"/>
      <c r="H702" s="146"/>
      <c r="I702" s="146"/>
      <c r="J702" s="146"/>
      <c r="K702" s="146"/>
      <c r="L702" s="146"/>
    </row>
    <row r="703" spans="2:12" x14ac:dyDescent="0.3">
      <c r="B703" s="146"/>
      <c r="C703" s="146"/>
      <c r="D703" s="146"/>
      <c r="E703" s="146"/>
      <c r="F703" s="146"/>
      <c r="G703" s="146"/>
      <c r="H703" s="146"/>
      <c r="I703" s="146"/>
      <c r="J703" s="146"/>
      <c r="K703" s="146"/>
      <c r="L703" s="146"/>
    </row>
    <row r="704" spans="2:12" x14ac:dyDescent="0.3">
      <c r="B704" s="146"/>
      <c r="C704" s="146"/>
      <c r="D704" s="146"/>
      <c r="E704" s="146"/>
      <c r="F704" s="146"/>
      <c r="G704" s="146"/>
      <c r="H704" s="146"/>
      <c r="I704" s="146"/>
      <c r="J704" s="146"/>
      <c r="K704" s="146"/>
      <c r="L704" s="146"/>
    </row>
    <row r="705" spans="2:12" x14ac:dyDescent="0.3">
      <c r="B705" s="146"/>
      <c r="C705" s="146"/>
      <c r="D705" s="146"/>
      <c r="E705" s="146"/>
      <c r="F705" s="146"/>
      <c r="G705" s="146"/>
      <c r="H705" s="146"/>
      <c r="I705" s="146"/>
      <c r="J705" s="146"/>
      <c r="K705" s="146"/>
      <c r="L705" s="146"/>
    </row>
    <row r="706" spans="2:12" x14ac:dyDescent="0.3">
      <c r="B706" s="146"/>
      <c r="C706" s="146"/>
      <c r="D706" s="146"/>
      <c r="E706" s="146"/>
      <c r="F706" s="146"/>
      <c r="G706" s="146"/>
      <c r="H706" s="146"/>
      <c r="I706" s="146"/>
      <c r="J706" s="146"/>
      <c r="K706" s="146"/>
      <c r="L706" s="146"/>
    </row>
    <row r="707" spans="2:12" x14ac:dyDescent="0.3">
      <c r="B707" s="146"/>
      <c r="C707" s="146"/>
      <c r="D707" s="146"/>
      <c r="E707" s="146"/>
      <c r="F707" s="146"/>
      <c r="G707" s="146"/>
      <c r="H707" s="146"/>
      <c r="I707" s="146"/>
      <c r="J707" s="146"/>
      <c r="K707" s="146"/>
      <c r="L707" s="146"/>
    </row>
    <row r="708" spans="2:12" x14ac:dyDescent="0.3">
      <c r="B708" s="146"/>
      <c r="C708" s="146"/>
      <c r="D708" s="146"/>
      <c r="E708" s="146"/>
      <c r="F708" s="146"/>
      <c r="G708" s="146"/>
      <c r="H708" s="146"/>
      <c r="I708" s="146"/>
      <c r="J708" s="146"/>
      <c r="K708" s="146"/>
      <c r="L708" s="146"/>
    </row>
    <row r="709" spans="2:12" x14ac:dyDescent="0.3">
      <c r="B709" s="146"/>
      <c r="C709" s="146"/>
      <c r="D709" s="146"/>
      <c r="E709" s="146"/>
      <c r="F709" s="146"/>
      <c r="G709" s="146"/>
      <c r="H709" s="146"/>
      <c r="I709" s="146"/>
      <c r="J709" s="146"/>
      <c r="K709" s="146"/>
      <c r="L709" s="146"/>
    </row>
    <row r="710" spans="2:12" x14ac:dyDescent="0.3">
      <c r="B710" s="146"/>
      <c r="C710" s="146"/>
      <c r="D710" s="146"/>
      <c r="E710" s="146"/>
      <c r="F710" s="146"/>
      <c r="G710" s="146"/>
      <c r="H710" s="146"/>
      <c r="I710" s="146"/>
      <c r="J710" s="146"/>
      <c r="K710" s="146"/>
      <c r="L710" s="146"/>
    </row>
    <row r="711" spans="2:12" x14ac:dyDescent="0.3">
      <c r="B711" s="146"/>
      <c r="C711" s="146"/>
      <c r="D711" s="146"/>
      <c r="E711" s="146"/>
      <c r="F711" s="146"/>
      <c r="G711" s="146"/>
      <c r="H711" s="146"/>
      <c r="I711" s="146"/>
      <c r="J711" s="146"/>
      <c r="K711" s="146"/>
      <c r="L711" s="146"/>
    </row>
    <row r="712" spans="2:12" x14ac:dyDescent="0.3">
      <c r="B712" s="146"/>
      <c r="C712" s="146"/>
      <c r="D712" s="146"/>
      <c r="E712" s="146"/>
      <c r="F712" s="146"/>
      <c r="G712" s="146"/>
      <c r="H712" s="146"/>
      <c r="I712" s="146"/>
      <c r="J712" s="146"/>
      <c r="K712" s="146"/>
      <c r="L712" s="146"/>
    </row>
    <row r="713" spans="2:12" x14ac:dyDescent="0.3">
      <c r="B713" s="146"/>
      <c r="C713" s="146"/>
      <c r="D713" s="146"/>
      <c r="E713" s="146"/>
      <c r="F713" s="146"/>
      <c r="G713" s="146"/>
      <c r="H713" s="146"/>
      <c r="I713" s="146"/>
      <c r="J713" s="146"/>
      <c r="K713" s="146"/>
      <c r="L713" s="146"/>
    </row>
    <row r="714" spans="2:12" x14ac:dyDescent="0.3">
      <c r="B714" s="146"/>
      <c r="C714" s="146"/>
      <c r="D714" s="146"/>
      <c r="E714" s="146"/>
      <c r="F714" s="146"/>
      <c r="G714" s="146"/>
      <c r="H714" s="146"/>
      <c r="I714" s="146"/>
      <c r="J714" s="146"/>
      <c r="K714" s="146"/>
      <c r="L714" s="146"/>
    </row>
    <row r="715" spans="2:12" x14ac:dyDescent="0.3">
      <c r="B715" s="146"/>
      <c r="C715" s="146"/>
      <c r="D715" s="146"/>
      <c r="E715" s="146"/>
      <c r="F715" s="146"/>
      <c r="G715" s="146"/>
      <c r="H715" s="146"/>
      <c r="I715" s="146"/>
      <c r="J715" s="146"/>
      <c r="K715" s="146"/>
      <c r="L715" s="146"/>
    </row>
    <row r="716" spans="2:12" x14ac:dyDescent="0.3">
      <c r="B716" s="146"/>
      <c r="C716" s="146"/>
      <c r="D716" s="146"/>
      <c r="E716" s="146"/>
      <c r="F716" s="146"/>
      <c r="G716" s="146"/>
      <c r="H716" s="146"/>
      <c r="I716" s="146"/>
      <c r="J716" s="146"/>
      <c r="K716" s="146"/>
      <c r="L716" s="146"/>
    </row>
    <row r="717" spans="2:12" x14ac:dyDescent="0.3">
      <c r="B717" s="146"/>
      <c r="C717" s="146"/>
      <c r="D717" s="146"/>
      <c r="E717" s="146"/>
      <c r="F717" s="146"/>
      <c r="G717" s="146"/>
      <c r="H717" s="146"/>
      <c r="I717" s="146"/>
      <c r="J717" s="146"/>
      <c r="K717" s="146"/>
      <c r="L717" s="146"/>
    </row>
    <row r="718" spans="2:12" x14ac:dyDescent="0.3">
      <c r="B718" s="146"/>
      <c r="C718" s="146"/>
      <c r="D718" s="146"/>
      <c r="E718" s="146"/>
      <c r="F718" s="146"/>
      <c r="G718" s="146"/>
      <c r="H718" s="146"/>
      <c r="I718" s="146"/>
      <c r="J718" s="146"/>
      <c r="K718" s="146"/>
      <c r="L718" s="146"/>
    </row>
    <row r="719" spans="2:12" x14ac:dyDescent="0.3">
      <c r="B719" s="146"/>
      <c r="C719" s="146"/>
      <c r="D719" s="146"/>
      <c r="E719" s="146"/>
      <c r="F719" s="146"/>
      <c r="G719" s="146"/>
      <c r="H719" s="146"/>
      <c r="I719" s="146"/>
      <c r="J719" s="146"/>
      <c r="K719" s="146"/>
      <c r="L719" s="146"/>
    </row>
    <row r="720" spans="2:12" x14ac:dyDescent="0.3">
      <c r="B720" s="146"/>
      <c r="C720" s="146"/>
      <c r="D720" s="146"/>
      <c r="E720" s="146"/>
      <c r="F720" s="146"/>
      <c r="G720" s="146"/>
      <c r="H720" s="146"/>
      <c r="I720" s="146"/>
      <c r="J720" s="146"/>
      <c r="K720" s="146"/>
      <c r="L720" s="146"/>
    </row>
    <row r="721" spans="2:12" x14ac:dyDescent="0.3">
      <c r="B721" s="146"/>
      <c r="C721" s="146"/>
      <c r="D721" s="146"/>
      <c r="E721" s="146"/>
      <c r="F721" s="146"/>
      <c r="G721" s="146"/>
      <c r="H721" s="146"/>
      <c r="I721" s="146"/>
      <c r="J721" s="146"/>
      <c r="K721" s="146"/>
      <c r="L721" s="146"/>
    </row>
    <row r="722" spans="2:12" x14ac:dyDescent="0.3">
      <c r="B722" s="146"/>
      <c r="C722" s="146"/>
      <c r="D722" s="146"/>
      <c r="E722" s="146"/>
      <c r="F722" s="146"/>
      <c r="G722" s="146"/>
      <c r="H722" s="146"/>
      <c r="I722" s="146"/>
      <c r="J722" s="146"/>
      <c r="K722" s="146"/>
      <c r="L722" s="146"/>
    </row>
    <row r="723" spans="2:12" x14ac:dyDescent="0.3">
      <c r="B723" s="146"/>
      <c r="C723" s="146"/>
      <c r="D723" s="146"/>
      <c r="E723" s="146"/>
      <c r="F723" s="146"/>
      <c r="G723" s="146"/>
      <c r="H723" s="146"/>
      <c r="I723" s="146"/>
      <c r="J723" s="146"/>
      <c r="K723" s="146"/>
      <c r="L723" s="146"/>
    </row>
    <row r="724" spans="2:12" x14ac:dyDescent="0.3">
      <c r="B724" s="146"/>
      <c r="C724" s="146"/>
      <c r="D724" s="146"/>
      <c r="E724" s="146"/>
      <c r="F724" s="146"/>
      <c r="G724" s="146"/>
      <c r="H724" s="146"/>
      <c r="I724" s="146"/>
      <c r="J724" s="146"/>
      <c r="K724" s="146"/>
      <c r="L724" s="146"/>
    </row>
    <row r="725" spans="2:12" x14ac:dyDescent="0.3">
      <c r="B725" s="146"/>
      <c r="C725" s="146"/>
      <c r="D725" s="146"/>
      <c r="E725" s="146"/>
      <c r="F725" s="146"/>
      <c r="G725" s="146"/>
      <c r="H725" s="146"/>
      <c r="I725" s="146"/>
      <c r="J725" s="146"/>
      <c r="K725" s="146"/>
      <c r="L725" s="146"/>
    </row>
    <row r="726" spans="2:12" x14ac:dyDescent="0.3">
      <c r="B726" s="146"/>
      <c r="C726" s="146"/>
      <c r="D726" s="146"/>
      <c r="E726" s="146"/>
      <c r="F726" s="146"/>
      <c r="G726" s="146"/>
      <c r="H726" s="146"/>
      <c r="I726" s="146"/>
      <c r="J726" s="146"/>
      <c r="K726" s="146"/>
      <c r="L726" s="146"/>
    </row>
    <row r="727" spans="2:12" x14ac:dyDescent="0.3">
      <c r="B727" s="146"/>
      <c r="C727" s="146"/>
      <c r="D727" s="146"/>
      <c r="E727" s="146"/>
      <c r="F727" s="146"/>
      <c r="G727" s="146"/>
      <c r="H727" s="146"/>
      <c r="I727" s="146"/>
      <c r="J727" s="146"/>
      <c r="K727" s="146"/>
      <c r="L727" s="146"/>
    </row>
    <row r="728" spans="2:12" x14ac:dyDescent="0.3">
      <c r="B728" s="146"/>
      <c r="C728" s="146"/>
      <c r="D728" s="146"/>
      <c r="E728" s="146"/>
      <c r="F728" s="146"/>
      <c r="G728" s="146"/>
      <c r="H728" s="146"/>
      <c r="I728" s="146"/>
      <c r="J728" s="146"/>
      <c r="K728" s="146"/>
      <c r="L728" s="146"/>
    </row>
    <row r="729" spans="2:12" x14ac:dyDescent="0.3">
      <c r="B729" s="146"/>
      <c r="C729" s="146"/>
      <c r="D729" s="146"/>
      <c r="E729" s="146"/>
      <c r="F729" s="146"/>
      <c r="G729" s="146"/>
      <c r="H729" s="146"/>
      <c r="I729" s="146"/>
      <c r="J729" s="146"/>
      <c r="K729" s="146"/>
      <c r="L729" s="146"/>
    </row>
    <row r="730" spans="2:12" x14ac:dyDescent="0.3">
      <c r="B730" s="146"/>
      <c r="C730" s="146"/>
      <c r="D730" s="146"/>
      <c r="E730" s="146"/>
      <c r="F730" s="146"/>
      <c r="G730" s="146"/>
      <c r="H730" s="146"/>
      <c r="I730" s="146"/>
      <c r="J730" s="146"/>
      <c r="K730" s="146"/>
      <c r="L730" s="146"/>
    </row>
    <row r="731" spans="2:12" x14ac:dyDescent="0.3">
      <c r="B731" s="146"/>
      <c r="C731" s="146"/>
      <c r="D731" s="146"/>
      <c r="E731" s="146"/>
      <c r="F731" s="146"/>
      <c r="G731" s="146"/>
      <c r="H731" s="146"/>
      <c r="I731" s="146"/>
      <c r="J731" s="146"/>
      <c r="K731" s="146"/>
      <c r="L731" s="146"/>
    </row>
    <row r="732" spans="2:12" x14ac:dyDescent="0.3">
      <c r="B732" s="146"/>
      <c r="C732" s="146"/>
      <c r="D732" s="146"/>
      <c r="E732" s="146"/>
      <c r="F732" s="146"/>
      <c r="G732" s="146"/>
      <c r="H732" s="146"/>
      <c r="I732" s="146"/>
      <c r="J732" s="146"/>
      <c r="K732" s="146"/>
      <c r="L732" s="146"/>
    </row>
    <row r="733" spans="2:12" x14ac:dyDescent="0.3">
      <c r="B733" s="146"/>
      <c r="C733" s="146"/>
      <c r="D733" s="146"/>
      <c r="E733" s="146"/>
      <c r="F733" s="146"/>
      <c r="G733" s="146"/>
      <c r="H733" s="146"/>
      <c r="I733" s="146"/>
      <c r="J733" s="146"/>
      <c r="K733" s="146"/>
      <c r="L733" s="146"/>
    </row>
    <row r="734" spans="2:12" x14ac:dyDescent="0.3">
      <c r="B734" s="146"/>
      <c r="C734" s="146"/>
      <c r="D734" s="146"/>
      <c r="E734" s="146"/>
      <c r="F734" s="146"/>
      <c r="G734" s="146"/>
      <c r="H734" s="146"/>
      <c r="I734" s="146"/>
      <c r="J734" s="146"/>
      <c r="K734" s="146"/>
      <c r="L734" s="146"/>
    </row>
    <row r="735" spans="2:12" x14ac:dyDescent="0.3">
      <c r="B735" s="146"/>
      <c r="C735" s="146"/>
      <c r="D735" s="146"/>
      <c r="E735" s="146"/>
      <c r="F735" s="146"/>
      <c r="G735" s="146"/>
      <c r="H735" s="146"/>
      <c r="I735" s="146"/>
      <c r="J735" s="146"/>
      <c r="K735" s="146"/>
      <c r="L735" s="146"/>
    </row>
    <row r="736" spans="2:12" x14ac:dyDescent="0.3">
      <c r="B736" s="146"/>
      <c r="C736" s="146"/>
      <c r="D736" s="146"/>
      <c r="E736" s="146"/>
      <c r="F736" s="146"/>
      <c r="G736" s="146"/>
      <c r="H736" s="146"/>
      <c r="I736" s="146"/>
      <c r="J736" s="146"/>
      <c r="K736" s="146"/>
      <c r="L736" s="146"/>
    </row>
    <row r="737" spans="2:12" x14ac:dyDescent="0.3">
      <c r="B737" s="146"/>
      <c r="C737" s="146"/>
      <c r="D737" s="146"/>
      <c r="E737" s="146"/>
      <c r="F737" s="146"/>
      <c r="G737" s="146"/>
      <c r="H737" s="146"/>
      <c r="I737" s="146"/>
      <c r="J737" s="146"/>
      <c r="K737" s="146"/>
      <c r="L737" s="146"/>
    </row>
    <row r="738" spans="2:12" x14ac:dyDescent="0.3">
      <c r="B738" s="146"/>
      <c r="C738" s="146"/>
      <c r="D738" s="146"/>
      <c r="E738" s="146"/>
      <c r="F738" s="146"/>
      <c r="G738" s="146"/>
      <c r="H738" s="146"/>
      <c r="I738" s="146"/>
      <c r="J738" s="146"/>
      <c r="K738" s="146"/>
      <c r="L738" s="146"/>
    </row>
    <row r="739" spans="2:12" x14ac:dyDescent="0.3">
      <c r="B739" s="146"/>
      <c r="C739" s="146"/>
      <c r="D739" s="146"/>
      <c r="E739" s="146"/>
      <c r="F739" s="146"/>
      <c r="G739" s="146"/>
      <c r="H739" s="146"/>
      <c r="I739" s="146"/>
      <c r="J739" s="146"/>
      <c r="K739" s="146"/>
      <c r="L739" s="146"/>
    </row>
    <row r="740" spans="2:12" x14ac:dyDescent="0.3">
      <c r="B740" s="146"/>
      <c r="C740" s="146"/>
      <c r="D740" s="146"/>
      <c r="E740" s="146"/>
      <c r="F740" s="146"/>
      <c r="G740" s="146"/>
      <c r="H740" s="146"/>
      <c r="I740" s="146"/>
      <c r="J740" s="146"/>
      <c r="K740" s="146"/>
      <c r="L740" s="146"/>
    </row>
    <row r="741" spans="2:12" x14ac:dyDescent="0.3">
      <c r="B741" s="146"/>
      <c r="C741" s="146"/>
      <c r="D741" s="146"/>
      <c r="E741" s="146"/>
      <c r="F741" s="146"/>
      <c r="G741" s="146"/>
      <c r="H741" s="146"/>
      <c r="I741" s="146"/>
      <c r="J741" s="146"/>
      <c r="K741" s="146"/>
      <c r="L741" s="146"/>
    </row>
    <row r="742" spans="2:12" x14ac:dyDescent="0.3">
      <c r="B742" s="146"/>
      <c r="C742" s="146"/>
      <c r="D742" s="146"/>
      <c r="E742" s="146"/>
      <c r="F742" s="146"/>
      <c r="G742" s="146"/>
      <c r="H742" s="146"/>
      <c r="I742" s="146"/>
      <c r="J742" s="146"/>
      <c r="K742" s="146"/>
      <c r="L742" s="146"/>
    </row>
    <row r="743" spans="2:12" x14ac:dyDescent="0.3">
      <c r="B743" s="146"/>
      <c r="C743" s="146"/>
      <c r="D743" s="146"/>
      <c r="E743" s="146"/>
      <c r="F743" s="146"/>
      <c r="G743" s="146"/>
      <c r="H743" s="146"/>
      <c r="I743" s="146"/>
      <c r="J743" s="146"/>
      <c r="K743" s="146"/>
      <c r="L743" s="146"/>
    </row>
    <row r="744" spans="2:12" x14ac:dyDescent="0.3">
      <c r="B744" s="146"/>
      <c r="C744" s="146"/>
      <c r="D744" s="146"/>
      <c r="E744" s="146"/>
      <c r="F744" s="146"/>
      <c r="G744" s="146"/>
      <c r="H744" s="146"/>
      <c r="I744" s="146"/>
      <c r="J744" s="146"/>
      <c r="K744" s="146"/>
      <c r="L744" s="146"/>
    </row>
    <row r="745" spans="2:12" x14ac:dyDescent="0.3">
      <c r="B745" s="146"/>
      <c r="C745" s="146"/>
      <c r="D745" s="146"/>
      <c r="E745" s="146"/>
      <c r="F745" s="146"/>
      <c r="G745" s="146"/>
      <c r="H745" s="146"/>
      <c r="I745" s="146"/>
      <c r="J745" s="146"/>
      <c r="K745" s="146"/>
      <c r="L745" s="146"/>
    </row>
    <row r="746" spans="2:12" x14ac:dyDescent="0.3">
      <c r="B746" s="146"/>
      <c r="C746" s="146"/>
      <c r="D746" s="146"/>
      <c r="E746" s="146"/>
      <c r="F746" s="146"/>
      <c r="G746" s="146"/>
      <c r="H746" s="146"/>
      <c r="I746" s="146"/>
      <c r="J746" s="146"/>
      <c r="K746" s="146"/>
      <c r="L746" s="146"/>
    </row>
    <row r="747" spans="2:12" x14ac:dyDescent="0.3">
      <c r="B747" s="146"/>
      <c r="C747" s="146"/>
      <c r="D747" s="146"/>
      <c r="E747" s="146"/>
      <c r="F747" s="146"/>
      <c r="G747" s="146"/>
      <c r="H747" s="146"/>
      <c r="I747" s="146"/>
      <c r="J747" s="146"/>
      <c r="K747" s="146"/>
      <c r="L747" s="146"/>
    </row>
    <row r="748" spans="2:12" x14ac:dyDescent="0.3">
      <c r="B748" s="146"/>
      <c r="C748" s="146"/>
      <c r="D748" s="146"/>
      <c r="E748" s="146"/>
      <c r="F748" s="146"/>
      <c r="G748" s="146"/>
      <c r="H748" s="146"/>
      <c r="I748" s="146"/>
      <c r="J748" s="146"/>
      <c r="K748" s="146"/>
      <c r="L748" s="146"/>
    </row>
    <row r="749" spans="2:12" x14ac:dyDescent="0.3">
      <c r="B749" s="146"/>
      <c r="C749" s="146"/>
      <c r="D749" s="146"/>
      <c r="E749" s="146"/>
      <c r="F749" s="146"/>
      <c r="G749" s="146"/>
      <c r="H749" s="146"/>
      <c r="I749" s="146"/>
      <c r="J749" s="146"/>
      <c r="K749" s="146"/>
      <c r="L749" s="146"/>
    </row>
    <row r="750" spans="2:12" x14ac:dyDescent="0.3">
      <c r="B750" s="146"/>
      <c r="C750" s="146"/>
      <c r="D750" s="146"/>
      <c r="E750" s="146"/>
      <c r="F750" s="146"/>
      <c r="G750" s="146"/>
      <c r="H750" s="146"/>
      <c r="I750" s="146"/>
      <c r="J750" s="146"/>
      <c r="K750" s="146"/>
      <c r="L750" s="146"/>
    </row>
    <row r="751" spans="2:12" x14ac:dyDescent="0.3">
      <c r="B751" s="146"/>
      <c r="C751" s="146"/>
      <c r="D751" s="146"/>
      <c r="E751" s="146"/>
      <c r="F751" s="146"/>
      <c r="G751" s="146"/>
      <c r="H751" s="146"/>
      <c r="I751" s="146"/>
      <c r="J751" s="146"/>
      <c r="K751" s="146"/>
      <c r="L751" s="146"/>
    </row>
    <row r="752" spans="2:12" x14ac:dyDescent="0.3">
      <c r="B752" s="146"/>
      <c r="C752" s="146"/>
      <c r="D752" s="146"/>
      <c r="E752" s="146"/>
      <c r="F752" s="146"/>
      <c r="G752" s="146"/>
      <c r="H752" s="146"/>
      <c r="I752" s="146"/>
      <c r="J752" s="146"/>
      <c r="K752" s="146"/>
      <c r="L752" s="146"/>
    </row>
    <row r="753" spans="2:12" x14ac:dyDescent="0.3">
      <c r="B753" s="146"/>
      <c r="C753" s="146"/>
      <c r="D753" s="146"/>
      <c r="E753" s="146"/>
      <c r="F753" s="146"/>
      <c r="G753" s="146"/>
      <c r="H753" s="146"/>
      <c r="I753" s="146"/>
      <c r="J753" s="146"/>
      <c r="K753" s="146"/>
      <c r="L753" s="146"/>
    </row>
    <row r="754" spans="2:12" x14ac:dyDescent="0.3">
      <c r="B754" s="146"/>
      <c r="C754" s="146"/>
      <c r="D754" s="146"/>
      <c r="E754" s="146"/>
      <c r="F754" s="146"/>
      <c r="G754" s="146"/>
      <c r="H754" s="146"/>
      <c r="I754" s="146"/>
      <c r="J754" s="146"/>
      <c r="K754" s="146"/>
      <c r="L754" s="146"/>
    </row>
    <row r="755" spans="2:12" x14ac:dyDescent="0.3">
      <c r="B755" s="146"/>
      <c r="C755" s="146"/>
      <c r="D755" s="146"/>
      <c r="E755" s="146"/>
      <c r="F755" s="146"/>
      <c r="G755" s="146"/>
      <c r="H755" s="146"/>
      <c r="I755" s="146"/>
      <c r="J755" s="146"/>
      <c r="K755" s="146"/>
      <c r="L755" s="146"/>
    </row>
    <row r="756" spans="2:12" x14ac:dyDescent="0.3">
      <c r="B756" s="146"/>
      <c r="C756" s="146"/>
      <c r="D756" s="146"/>
      <c r="E756" s="146"/>
      <c r="F756" s="146"/>
      <c r="G756" s="146"/>
      <c r="H756" s="146"/>
      <c r="I756" s="146"/>
      <c r="J756" s="146"/>
      <c r="K756" s="146"/>
      <c r="L756" s="146"/>
    </row>
    <row r="757" spans="2:12" x14ac:dyDescent="0.3">
      <c r="B757" s="146"/>
      <c r="C757" s="146"/>
      <c r="D757" s="146"/>
      <c r="E757" s="146"/>
      <c r="F757" s="146"/>
      <c r="G757" s="146"/>
      <c r="H757" s="146"/>
      <c r="I757" s="146"/>
      <c r="J757" s="146"/>
      <c r="K757" s="146"/>
      <c r="L757" s="146"/>
    </row>
    <row r="758" spans="2:12" x14ac:dyDescent="0.3">
      <c r="B758" s="146"/>
      <c r="C758" s="146"/>
      <c r="D758" s="146"/>
      <c r="E758" s="146"/>
      <c r="F758" s="146"/>
      <c r="G758" s="146"/>
      <c r="H758" s="146"/>
      <c r="I758" s="146"/>
      <c r="J758" s="146"/>
      <c r="K758" s="146"/>
      <c r="L758" s="146"/>
    </row>
    <row r="759" spans="2:12" x14ac:dyDescent="0.3">
      <c r="B759" s="146"/>
      <c r="C759" s="146"/>
      <c r="D759" s="146"/>
      <c r="E759" s="146"/>
      <c r="F759" s="146"/>
      <c r="G759" s="146"/>
      <c r="H759" s="146"/>
      <c r="I759" s="146"/>
      <c r="J759" s="146"/>
      <c r="K759" s="146"/>
      <c r="L759" s="146"/>
    </row>
    <row r="760" spans="2:12" x14ac:dyDescent="0.3">
      <c r="B760" s="146"/>
      <c r="C760" s="146"/>
      <c r="D760" s="146"/>
      <c r="E760" s="146"/>
      <c r="F760" s="146"/>
      <c r="G760" s="146"/>
      <c r="H760" s="146"/>
      <c r="I760" s="146"/>
      <c r="J760" s="146"/>
      <c r="K760" s="146"/>
      <c r="L760" s="146"/>
    </row>
    <row r="761" spans="2:12" x14ac:dyDescent="0.3">
      <c r="B761" s="146"/>
      <c r="C761" s="146"/>
      <c r="D761" s="146"/>
      <c r="E761" s="146"/>
      <c r="F761" s="146"/>
      <c r="G761" s="146"/>
      <c r="H761" s="146"/>
      <c r="I761" s="146"/>
      <c r="J761" s="146"/>
      <c r="K761" s="146"/>
      <c r="L761" s="146"/>
    </row>
    <row r="762" spans="2:12" x14ac:dyDescent="0.3">
      <c r="B762" s="146"/>
      <c r="C762" s="146"/>
      <c r="D762" s="146"/>
      <c r="E762" s="146"/>
      <c r="F762" s="146"/>
      <c r="G762" s="146"/>
      <c r="H762" s="146"/>
      <c r="I762" s="146"/>
      <c r="J762" s="146"/>
      <c r="K762" s="146"/>
      <c r="L762" s="146"/>
    </row>
    <row r="763" spans="2:12" x14ac:dyDescent="0.3">
      <c r="B763" s="146"/>
      <c r="C763" s="146"/>
      <c r="D763" s="146"/>
      <c r="E763" s="146"/>
      <c r="F763" s="146"/>
      <c r="G763" s="146"/>
      <c r="H763" s="146"/>
      <c r="I763" s="146"/>
      <c r="J763" s="146"/>
      <c r="K763" s="146"/>
      <c r="L763" s="146"/>
    </row>
    <row r="764" spans="2:12" x14ac:dyDescent="0.3">
      <c r="B764" s="146"/>
      <c r="C764" s="146"/>
      <c r="D764" s="146"/>
      <c r="E764" s="146"/>
      <c r="F764" s="146"/>
      <c r="G764" s="146"/>
      <c r="H764" s="146"/>
      <c r="I764" s="146"/>
      <c r="J764" s="146"/>
      <c r="K764" s="146"/>
      <c r="L764" s="146"/>
    </row>
    <row r="765" spans="2:12" x14ac:dyDescent="0.3">
      <c r="B765" s="146"/>
      <c r="C765" s="146"/>
      <c r="D765" s="146"/>
      <c r="E765" s="146"/>
      <c r="F765" s="146"/>
      <c r="G765" s="146"/>
      <c r="H765" s="146"/>
      <c r="I765" s="146"/>
      <c r="J765" s="146"/>
      <c r="K765" s="146"/>
      <c r="L765" s="146"/>
    </row>
    <row r="766" spans="2:12" x14ac:dyDescent="0.3">
      <c r="B766" s="146"/>
      <c r="C766" s="146"/>
      <c r="D766" s="146"/>
      <c r="E766" s="146"/>
      <c r="F766" s="146"/>
      <c r="G766" s="146"/>
      <c r="H766" s="146"/>
      <c r="I766" s="146"/>
      <c r="J766" s="146"/>
      <c r="K766" s="146"/>
      <c r="L766" s="146"/>
    </row>
    <row r="767" spans="2:12" x14ac:dyDescent="0.3">
      <c r="B767" s="146"/>
      <c r="C767" s="146"/>
      <c r="D767" s="146"/>
      <c r="E767" s="146"/>
      <c r="F767" s="146"/>
      <c r="G767" s="146"/>
      <c r="H767" s="146"/>
      <c r="I767" s="146"/>
      <c r="J767" s="146"/>
      <c r="K767" s="146"/>
      <c r="L767" s="146"/>
    </row>
    <row r="768" spans="2:12" x14ac:dyDescent="0.3">
      <c r="B768" s="146"/>
      <c r="C768" s="146"/>
      <c r="D768" s="146"/>
      <c r="E768" s="146"/>
      <c r="F768" s="146"/>
      <c r="G768" s="146"/>
      <c r="H768" s="146"/>
      <c r="I768" s="146"/>
      <c r="J768" s="146"/>
      <c r="K768" s="146"/>
      <c r="L768" s="146"/>
    </row>
    <row r="769" spans="2:12" x14ac:dyDescent="0.3">
      <c r="B769" s="146"/>
      <c r="C769" s="146"/>
      <c r="D769" s="146"/>
      <c r="E769" s="146"/>
      <c r="F769" s="146"/>
      <c r="G769" s="146"/>
      <c r="H769" s="146"/>
      <c r="I769" s="146"/>
      <c r="J769" s="146"/>
      <c r="K769" s="146"/>
      <c r="L769" s="146"/>
    </row>
    <row r="770" spans="2:12" x14ac:dyDescent="0.3">
      <c r="B770" s="146"/>
      <c r="C770" s="146"/>
      <c r="D770" s="146"/>
      <c r="E770" s="146"/>
      <c r="F770" s="146"/>
      <c r="G770" s="146"/>
      <c r="H770" s="146"/>
      <c r="I770" s="146"/>
      <c r="J770" s="146"/>
      <c r="K770" s="146"/>
      <c r="L770" s="146"/>
    </row>
    <row r="771" spans="2:12" x14ac:dyDescent="0.3">
      <c r="B771" s="146"/>
      <c r="C771" s="146"/>
      <c r="D771" s="146"/>
      <c r="E771" s="146"/>
      <c r="F771" s="146"/>
      <c r="G771" s="146"/>
      <c r="H771" s="146"/>
      <c r="I771" s="146"/>
      <c r="J771" s="146"/>
      <c r="K771" s="146"/>
      <c r="L771" s="146"/>
    </row>
    <row r="772" spans="2:12" x14ac:dyDescent="0.3">
      <c r="B772" s="146"/>
      <c r="C772" s="146"/>
      <c r="D772" s="146"/>
      <c r="E772" s="146"/>
      <c r="F772" s="146"/>
      <c r="G772" s="146"/>
      <c r="H772" s="146"/>
      <c r="I772" s="146"/>
      <c r="J772" s="146"/>
      <c r="K772" s="146"/>
      <c r="L772" s="146"/>
    </row>
    <row r="773" spans="2:12" x14ac:dyDescent="0.3">
      <c r="B773" s="146"/>
      <c r="C773" s="146"/>
      <c r="D773" s="146"/>
      <c r="E773" s="146"/>
      <c r="F773" s="146"/>
      <c r="G773" s="146"/>
      <c r="H773" s="146"/>
      <c r="I773" s="146"/>
      <c r="J773" s="146"/>
      <c r="K773" s="146"/>
      <c r="L773" s="146"/>
    </row>
    <row r="774" spans="2:12" x14ac:dyDescent="0.3">
      <c r="B774" s="146"/>
      <c r="C774" s="146"/>
      <c r="D774" s="146"/>
      <c r="E774" s="146"/>
      <c r="F774" s="146"/>
      <c r="G774" s="146"/>
      <c r="H774" s="146"/>
      <c r="I774" s="146"/>
      <c r="J774" s="146"/>
      <c r="K774" s="146"/>
      <c r="L774" s="146"/>
    </row>
    <row r="775" spans="2:12" x14ac:dyDescent="0.3">
      <c r="B775" s="146"/>
      <c r="C775" s="146"/>
      <c r="D775" s="146"/>
      <c r="E775" s="146"/>
      <c r="F775" s="146"/>
      <c r="G775" s="146"/>
      <c r="H775" s="146"/>
      <c r="I775" s="146"/>
      <c r="J775" s="146"/>
      <c r="K775" s="146"/>
      <c r="L775" s="146"/>
    </row>
    <row r="776" spans="2:12" x14ac:dyDescent="0.3">
      <c r="B776" s="146"/>
      <c r="C776" s="146"/>
      <c r="D776" s="146"/>
      <c r="E776" s="146"/>
      <c r="F776" s="146"/>
      <c r="G776" s="146"/>
      <c r="H776" s="146"/>
      <c r="I776" s="146"/>
      <c r="J776" s="146"/>
      <c r="K776" s="146"/>
      <c r="L776" s="146"/>
    </row>
    <row r="777" spans="2:12" x14ac:dyDescent="0.3">
      <c r="B777" s="146"/>
      <c r="C777" s="146"/>
      <c r="D777" s="146"/>
      <c r="E777" s="146"/>
      <c r="F777" s="146"/>
      <c r="G777" s="146"/>
      <c r="H777" s="146"/>
      <c r="I777" s="146"/>
      <c r="J777" s="146"/>
      <c r="K777" s="146"/>
      <c r="L777" s="146"/>
    </row>
    <row r="778" spans="2:12" x14ac:dyDescent="0.3">
      <c r="B778" s="146"/>
      <c r="C778" s="146"/>
      <c r="D778" s="146"/>
      <c r="E778" s="146"/>
      <c r="F778" s="146"/>
      <c r="G778" s="146"/>
      <c r="H778" s="146"/>
      <c r="I778" s="146"/>
      <c r="J778" s="146"/>
      <c r="K778" s="146"/>
      <c r="L778" s="146"/>
    </row>
    <row r="779" spans="2:12" x14ac:dyDescent="0.3">
      <c r="B779" s="146"/>
      <c r="C779" s="146"/>
      <c r="D779" s="146"/>
      <c r="E779" s="146"/>
      <c r="F779" s="146"/>
      <c r="G779" s="146"/>
      <c r="H779" s="146"/>
      <c r="I779" s="146"/>
      <c r="J779" s="146"/>
      <c r="K779" s="146"/>
      <c r="L779" s="146"/>
    </row>
    <row r="780" spans="2:12" x14ac:dyDescent="0.3">
      <c r="B780" s="146"/>
      <c r="C780" s="146"/>
      <c r="D780" s="146"/>
      <c r="E780" s="146"/>
      <c r="F780" s="146"/>
      <c r="G780" s="146"/>
      <c r="H780" s="146"/>
      <c r="I780" s="146"/>
      <c r="J780" s="146"/>
      <c r="K780" s="146"/>
      <c r="L780" s="146"/>
    </row>
    <row r="781" spans="2:12" x14ac:dyDescent="0.3">
      <c r="B781" s="146"/>
      <c r="C781" s="146"/>
      <c r="D781" s="146"/>
      <c r="E781" s="146"/>
      <c r="F781" s="146"/>
      <c r="G781" s="146"/>
      <c r="H781" s="146"/>
      <c r="I781" s="146"/>
      <c r="J781" s="146"/>
      <c r="K781" s="146"/>
      <c r="L781" s="146"/>
    </row>
    <row r="782" spans="2:12" x14ac:dyDescent="0.3">
      <c r="B782" s="146"/>
      <c r="C782" s="146"/>
      <c r="D782" s="146"/>
      <c r="E782" s="146"/>
      <c r="F782" s="146"/>
      <c r="G782" s="146"/>
      <c r="H782" s="146"/>
      <c r="I782" s="146"/>
      <c r="J782" s="146"/>
      <c r="K782" s="146"/>
      <c r="L782" s="146"/>
    </row>
    <row r="783" spans="2:12" x14ac:dyDescent="0.3">
      <c r="B783" s="146"/>
      <c r="C783" s="146"/>
      <c r="D783" s="146"/>
      <c r="E783" s="146"/>
      <c r="F783" s="146"/>
      <c r="G783" s="146"/>
      <c r="H783" s="146"/>
      <c r="I783" s="146"/>
      <c r="J783" s="146"/>
      <c r="K783" s="146"/>
      <c r="L783" s="146"/>
    </row>
    <row r="784" spans="2:12" x14ac:dyDescent="0.3">
      <c r="B784" s="146"/>
      <c r="C784" s="146"/>
      <c r="D784" s="146"/>
      <c r="E784" s="146"/>
      <c r="F784" s="146"/>
      <c r="G784" s="146"/>
      <c r="H784" s="146"/>
      <c r="I784" s="146"/>
      <c r="J784" s="146"/>
      <c r="K784" s="146"/>
      <c r="L784" s="146"/>
    </row>
    <row r="785" spans="2:12" x14ac:dyDescent="0.3">
      <c r="B785" s="146"/>
      <c r="C785" s="146"/>
      <c r="D785" s="146"/>
      <c r="E785" s="146"/>
      <c r="F785" s="146"/>
      <c r="G785" s="146"/>
      <c r="H785" s="146"/>
      <c r="I785" s="146"/>
      <c r="J785" s="146"/>
      <c r="K785" s="146"/>
      <c r="L785" s="146"/>
    </row>
    <row r="786" spans="2:12" x14ac:dyDescent="0.3">
      <c r="B786" s="146"/>
      <c r="C786" s="146"/>
      <c r="D786" s="146"/>
      <c r="E786" s="146"/>
      <c r="F786" s="146"/>
      <c r="G786" s="146"/>
      <c r="H786" s="146"/>
      <c r="I786" s="146"/>
      <c r="J786" s="146"/>
      <c r="K786" s="146"/>
      <c r="L786" s="146"/>
    </row>
    <row r="787" spans="2:12" x14ac:dyDescent="0.3">
      <c r="B787" s="146"/>
      <c r="C787" s="146"/>
      <c r="D787" s="146"/>
      <c r="E787" s="146"/>
      <c r="F787" s="146"/>
      <c r="G787" s="146"/>
      <c r="H787" s="146"/>
      <c r="I787" s="146"/>
      <c r="J787" s="146"/>
      <c r="K787" s="146"/>
      <c r="L787" s="146"/>
    </row>
    <row r="788" spans="2:12" x14ac:dyDescent="0.3">
      <c r="B788" s="146"/>
      <c r="C788" s="146"/>
      <c r="D788" s="146"/>
      <c r="E788" s="146"/>
      <c r="F788" s="146"/>
      <c r="G788" s="146"/>
      <c r="H788" s="146"/>
      <c r="I788" s="146"/>
      <c r="J788" s="146"/>
      <c r="K788" s="146"/>
      <c r="L788" s="146"/>
    </row>
    <row r="789" spans="2:12" x14ac:dyDescent="0.3">
      <c r="B789" s="146"/>
      <c r="C789" s="146"/>
      <c r="D789" s="146"/>
      <c r="E789" s="146"/>
      <c r="F789" s="146"/>
      <c r="G789" s="146"/>
      <c r="H789" s="146"/>
      <c r="I789" s="146"/>
      <c r="J789" s="146"/>
      <c r="K789" s="146"/>
      <c r="L789" s="146"/>
    </row>
    <row r="790" spans="2:12" x14ac:dyDescent="0.3">
      <c r="B790" s="146"/>
      <c r="C790" s="146"/>
      <c r="D790" s="146"/>
      <c r="E790" s="146"/>
      <c r="F790" s="146"/>
      <c r="G790" s="146"/>
      <c r="H790" s="146"/>
      <c r="I790" s="146"/>
      <c r="J790" s="146"/>
      <c r="K790" s="146"/>
      <c r="L790" s="146"/>
    </row>
    <row r="791" spans="2:12" x14ac:dyDescent="0.3">
      <c r="B791" s="146"/>
      <c r="C791" s="146"/>
      <c r="D791" s="146"/>
      <c r="E791" s="146"/>
      <c r="F791" s="146"/>
      <c r="G791" s="146"/>
      <c r="H791" s="146"/>
      <c r="I791" s="146"/>
      <c r="J791" s="146"/>
      <c r="K791" s="146"/>
      <c r="L791" s="146"/>
    </row>
    <row r="792" spans="2:12" x14ac:dyDescent="0.3">
      <c r="B792" s="146"/>
      <c r="C792" s="146"/>
      <c r="D792" s="146"/>
      <c r="E792" s="146"/>
      <c r="F792" s="146"/>
      <c r="G792" s="146"/>
      <c r="H792" s="146"/>
      <c r="I792" s="146"/>
      <c r="J792" s="146"/>
      <c r="K792" s="146"/>
      <c r="L792" s="146"/>
    </row>
    <row r="793" spans="2:12" x14ac:dyDescent="0.3">
      <c r="B793" s="146"/>
      <c r="C793" s="146"/>
      <c r="D793" s="146"/>
      <c r="E793" s="146"/>
      <c r="F793" s="146"/>
      <c r="G793" s="146"/>
      <c r="H793" s="146"/>
      <c r="I793" s="146"/>
      <c r="J793" s="146"/>
      <c r="K793" s="146"/>
      <c r="L793" s="146"/>
    </row>
    <row r="794" spans="2:12" x14ac:dyDescent="0.3">
      <c r="B794" s="146"/>
      <c r="C794" s="146"/>
      <c r="D794" s="146"/>
      <c r="E794" s="146"/>
      <c r="F794" s="146"/>
      <c r="G794" s="146"/>
      <c r="H794" s="146"/>
      <c r="I794" s="146"/>
      <c r="J794" s="146"/>
      <c r="K794" s="146"/>
      <c r="L794" s="146"/>
    </row>
    <row r="795" spans="2:12" x14ac:dyDescent="0.3">
      <c r="B795" s="146"/>
      <c r="C795" s="146"/>
      <c r="D795" s="146"/>
      <c r="E795" s="146"/>
      <c r="F795" s="146"/>
      <c r="G795" s="146"/>
      <c r="H795" s="146"/>
      <c r="I795" s="146"/>
      <c r="J795" s="146"/>
      <c r="K795" s="146"/>
      <c r="L795" s="146"/>
    </row>
    <row r="796" spans="2:12" x14ac:dyDescent="0.3">
      <c r="B796" s="146"/>
      <c r="C796" s="146"/>
      <c r="D796" s="146"/>
      <c r="E796" s="146"/>
      <c r="F796" s="146"/>
      <c r="G796" s="146"/>
      <c r="H796" s="146"/>
      <c r="I796" s="146"/>
      <c r="J796" s="146"/>
      <c r="K796" s="146"/>
      <c r="L796" s="146"/>
    </row>
    <row r="797" spans="2:12" x14ac:dyDescent="0.3">
      <c r="B797" s="146"/>
      <c r="C797" s="146"/>
      <c r="D797" s="146"/>
      <c r="E797" s="146"/>
      <c r="F797" s="146"/>
      <c r="G797" s="146"/>
      <c r="H797" s="146"/>
      <c r="I797" s="146"/>
      <c r="J797" s="146"/>
      <c r="K797" s="146"/>
      <c r="L797" s="146"/>
    </row>
    <row r="798" spans="2:12" x14ac:dyDescent="0.3">
      <c r="B798" s="146"/>
      <c r="C798" s="146"/>
      <c r="D798" s="146"/>
      <c r="E798" s="146"/>
      <c r="F798" s="146"/>
      <c r="G798" s="146"/>
      <c r="H798" s="146"/>
      <c r="I798" s="146"/>
      <c r="J798" s="146"/>
      <c r="K798" s="146"/>
      <c r="L798" s="146"/>
    </row>
    <row r="799" spans="2:12" x14ac:dyDescent="0.3">
      <c r="B799" s="146"/>
      <c r="C799" s="146"/>
      <c r="D799" s="146"/>
      <c r="E799" s="146"/>
      <c r="F799" s="146"/>
      <c r="G799" s="146"/>
      <c r="H799" s="146"/>
      <c r="I799" s="146"/>
      <c r="J799" s="146"/>
      <c r="K799" s="146"/>
      <c r="L799" s="146"/>
    </row>
    <row r="800" spans="2:12" x14ac:dyDescent="0.3">
      <c r="B800" s="146"/>
      <c r="C800" s="146"/>
      <c r="D800" s="146"/>
      <c r="E800" s="146"/>
      <c r="F800" s="146"/>
      <c r="G800" s="146"/>
      <c r="H800" s="146"/>
      <c r="I800" s="146"/>
      <c r="J800" s="146"/>
      <c r="K800" s="146"/>
      <c r="L800" s="146"/>
    </row>
    <row r="801" spans="2:12" x14ac:dyDescent="0.3">
      <c r="B801" s="146"/>
      <c r="C801" s="146"/>
      <c r="D801" s="146"/>
      <c r="E801" s="146"/>
      <c r="F801" s="146"/>
      <c r="G801" s="146"/>
      <c r="H801" s="146"/>
      <c r="I801" s="146"/>
      <c r="J801" s="146"/>
      <c r="K801" s="146"/>
      <c r="L801" s="146"/>
    </row>
    <row r="802" spans="2:12" x14ac:dyDescent="0.3">
      <c r="B802" s="146"/>
      <c r="C802" s="146"/>
      <c r="D802" s="146"/>
      <c r="E802" s="146"/>
      <c r="F802" s="146"/>
      <c r="G802" s="146"/>
      <c r="H802" s="146"/>
      <c r="I802" s="146"/>
      <c r="J802" s="146"/>
      <c r="K802" s="146"/>
      <c r="L802" s="146"/>
    </row>
    <row r="803" spans="2:12" x14ac:dyDescent="0.3">
      <c r="B803" s="146"/>
      <c r="C803" s="146"/>
      <c r="D803" s="146"/>
      <c r="E803" s="146"/>
      <c r="F803" s="146"/>
      <c r="G803" s="146"/>
      <c r="H803" s="146"/>
      <c r="I803" s="146"/>
      <c r="J803" s="146"/>
      <c r="K803" s="146"/>
      <c r="L803" s="146"/>
    </row>
    <row r="804" spans="2:12" x14ac:dyDescent="0.3">
      <c r="B804" s="146"/>
      <c r="C804" s="146"/>
      <c r="D804" s="146"/>
      <c r="E804" s="146"/>
      <c r="F804" s="146"/>
      <c r="G804" s="146"/>
      <c r="H804" s="146"/>
      <c r="I804" s="146"/>
      <c r="J804" s="146"/>
      <c r="K804" s="146"/>
      <c r="L804" s="146"/>
    </row>
    <row r="805" spans="2:12" x14ac:dyDescent="0.3">
      <c r="B805" s="146"/>
      <c r="C805" s="146"/>
      <c r="D805" s="146"/>
      <c r="E805" s="146"/>
      <c r="F805" s="146"/>
      <c r="G805" s="146"/>
      <c r="H805" s="146"/>
      <c r="I805" s="146"/>
      <c r="J805" s="146"/>
      <c r="K805" s="146"/>
      <c r="L805" s="146"/>
    </row>
    <row r="806" spans="2:12" x14ac:dyDescent="0.3">
      <c r="B806" s="146"/>
      <c r="C806" s="146"/>
      <c r="D806" s="146"/>
      <c r="E806" s="146"/>
      <c r="F806" s="146"/>
      <c r="G806" s="146"/>
      <c r="H806" s="146"/>
      <c r="I806" s="146"/>
      <c r="J806" s="146"/>
      <c r="K806" s="146"/>
      <c r="L806" s="146"/>
    </row>
    <row r="807" spans="2:12" x14ac:dyDescent="0.3">
      <c r="B807" s="146"/>
      <c r="C807" s="146"/>
      <c r="D807" s="146"/>
      <c r="E807" s="146"/>
      <c r="F807" s="146"/>
      <c r="G807" s="146"/>
      <c r="H807" s="146"/>
      <c r="I807" s="146"/>
      <c r="J807" s="146"/>
      <c r="K807" s="146"/>
      <c r="L807" s="146"/>
    </row>
    <row r="808" spans="2:12" x14ac:dyDescent="0.3">
      <c r="B808" s="146"/>
      <c r="C808" s="146"/>
      <c r="D808" s="146"/>
      <c r="E808" s="146"/>
      <c r="F808" s="146"/>
      <c r="G808" s="146"/>
      <c r="H808" s="146"/>
      <c r="I808" s="146"/>
      <c r="J808" s="146"/>
      <c r="K808" s="146"/>
      <c r="L808" s="146"/>
    </row>
    <row r="809" spans="2:12" x14ac:dyDescent="0.3">
      <c r="B809" s="146"/>
      <c r="C809" s="146"/>
      <c r="D809" s="146"/>
      <c r="E809" s="146"/>
      <c r="F809" s="146"/>
      <c r="G809" s="146"/>
      <c r="H809" s="146"/>
      <c r="I809" s="146"/>
      <c r="J809" s="146"/>
      <c r="K809" s="146"/>
      <c r="L809" s="146"/>
    </row>
    <row r="810" spans="2:12" x14ac:dyDescent="0.3">
      <c r="B810" s="146"/>
      <c r="C810" s="146"/>
      <c r="D810" s="146"/>
      <c r="E810" s="146"/>
      <c r="F810" s="146"/>
      <c r="G810" s="146"/>
      <c r="H810" s="146"/>
      <c r="I810" s="146"/>
      <c r="J810" s="146"/>
      <c r="K810" s="146"/>
      <c r="L810" s="146"/>
    </row>
    <row r="811" spans="2:12" x14ac:dyDescent="0.3">
      <c r="B811" s="146"/>
      <c r="C811" s="146"/>
      <c r="D811" s="146"/>
      <c r="E811" s="146"/>
      <c r="F811" s="146"/>
      <c r="G811" s="146"/>
      <c r="H811" s="146"/>
      <c r="I811" s="146"/>
      <c r="J811" s="146"/>
      <c r="K811" s="146"/>
      <c r="L811" s="146"/>
    </row>
    <row r="812" spans="2:12" x14ac:dyDescent="0.3">
      <c r="B812" s="146"/>
      <c r="C812" s="146"/>
      <c r="D812" s="146"/>
      <c r="E812" s="146"/>
      <c r="F812" s="146"/>
      <c r="G812" s="146"/>
      <c r="H812" s="146"/>
      <c r="I812" s="146"/>
      <c r="J812" s="146"/>
      <c r="K812" s="146"/>
      <c r="L812" s="146"/>
    </row>
    <row r="813" spans="2:12" x14ac:dyDescent="0.3">
      <c r="B813" s="146"/>
      <c r="C813" s="146"/>
      <c r="D813" s="146"/>
      <c r="E813" s="146"/>
      <c r="F813" s="146"/>
      <c r="G813" s="146"/>
      <c r="H813" s="146"/>
      <c r="I813" s="146"/>
      <c r="J813" s="146"/>
      <c r="K813" s="146"/>
      <c r="L813" s="146"/>
    </row>
    <row r="814" spans="2:12" x14ac:dyDescent="0.3">
      <c r="B814" s="146"/>
      <c r="C814" s="146"/>
      <c r="D814" s="146"/>
      <c r="E814" s="146"/>
      <c r="F814" s="146"/>
      <c r="G814" s="146"/>
      <c r="H814" s="146"/>
      <c r="I814" s="146"/>
      <c r="J814" s="146"/>
      <c r="K814" s="146"/>
      <c r="L814" s="146"/>
    </row>
    <row r="815" spans="2:12" x14ac:dyDescent="0.3">
      <c r="B815" s="146"/>
      <c r="C815" s="146"/>
      <c r="D815" s="146"/>
      <c r="E815" s="146"/>
      <c r="F815" s="146"/>
      <c r="G815" s="146"/>
      <c r="H815" s="146"/>
      <c r="I815" s="146"/>
      <c r="J815" s="146"/>
      <c r="K815" s="146"/>
      <c r="L815" s="146"/>
    </row>
    <row r="816" spans="2:12" x14ac:dyDescent="0.3">
      <c r="B816" s="146"/>
      <c r="C816" s="146"/>
      <c r="D816" s="146"/>
      <c r="E816" s="146"/>
      <c r="F816" s="146"/>
      <c r="G816" s="146"/>
      <c r="H816" s="146"/>
      <c r="I816" s="146"/>
      <c r="J816" s="146"/>
      <c r="K816" s="146"/>
      <c r="L816" s="146"/>
    </row>
    <row r="817" spans="2:12" x14ac:dyDescent="0.3">
      <c r="B817" s="146"/>
      <c r="C817" s="146"/>
      <c r="D817" s="146"/>
      <c r="E817" s="146"/>
      <c r="F817" s="146"/>
      <c r="G817" s="146"/>
      <c r="H817" s="146"/>
      <c r="I817" s="146"/>
      <c r="J817" s="146"/>
      <c r="K817" s="146"/>
      <c r="L817" s="146"/>
    </row>
    <row r="818" spans="2:12" x14ac:dyDescent="0.3">
      <c r="B818" s="146"/>
      <c r="C818" s="146"/>
      <c r="D818" s="146"/>
      <c r="E818" s="146"/>
      <c r="F818" s="146"/>
      <c r="G818" s="146"/>
      <c r="H818" s="146"/>
      <c r="I818" s="146"/>
      <c r="J818" s="146"/>
      <c r="K818" s="146"/>
      <c r="L818" s="146"/>
    </row>
    <row r="819" spans="2:12" x14ac:dyDescent="0.3">
      <c r="B819" s="146"/>
      <c r="C819" s="146"/>
      <c r="D819" s="146"/>
      <c r="E819" s="146"/>
      <c r="F819" s="146"/>
      <c r="G819" s="146"/>
      <c r="H819" s="146"/>
      <c r="I819" s="146"/>
      <c r="J819" s="146"/>
      <c r="K819" s="146"/>
      <c r="L819" s="146"/>
    </row>
    <row r="820" spans="2:12" x14ac:dyDescent="0.3">
      <c r="B820" s="146"/>
      <c r="C820" s="146"/>
      <c r="D820" s="146"/>
      <c r="E820" s="146"/>
      <c r="F820" s="146"/>
      <c r="G820" s="146"/>
      <c r="H820" s="146"/>
      <c r="I820" s="146"/>
      <c r="J820" s="146"/>
      <c r="K820" s="146"/>
      <c r="L820" s="146"/>
    </row>
    <row r="821" spans="2:12" x14ac:dyDescent="0.3">
      <c r="B821" s="146"/>
      <c r="C821" s="146"/>
      <c r="D821" s="146"/>
      <c r="E821" s="146"/>
      <c r="F821" s="146"/>
      <c r="G821" s="146"/>
      <c r="H821" s="146"/>
      <c r="I821" s="146"/>
      <c r="J821" s="146"/>
      <c r="K821" s="146"/>
      <c r="L821" s="146"/>
    </row>
    <row r="822" spans="2:12" x14ac:dyDescent="0.3">
      <c r="B822" s="146"/>
      <c r="C822" s="146"/>
      <c r="D822" s="146"/>
      <c r="E822" s="146"/>
      <c r="F822" s="146"/>
      <c r="G822" s="146"/>
      <c r="H822" s="146"/>
      <c r="I822" s="146"/>
      <c r="J822" s="146"/>
      <c r="K822" s="146"/>
      <c r="L822" s="146"/>
    </row>
    <row r="823" spans="2:12" x14ac:dyDescent="0.3">
      <c r="B823" s="146"/>
      <c r="C823" s="146"/>
      <c r="D823" s="146"/>
      <c r="E823" s="146"/>
      <c r="F823" s="146"/>
      <c r="G823" s="146"/>
      <c r="H823" s="146"/>
      <c r="I823" s="146"/>
      <c r="J823" s="146"/>
      <c r="K823" s="146"/>
      <c r="L823" s="146"/>
    </row>
    <row r="824" spans="2:12" x14ac:dyDescent="0.3">
      <c r="B824" s="146"/>
      <c r="C824" s="146"/>
      <c r="D824" s="146"/>
      <c r="E824" s="146"/>
      <c r="F824" s="146"/>
      <c r="G824" s="146"/>
      <c r="H824" s="146"/>
      <c r="I824" s="146"/>
      <c r="J824" s="146"/>
      <c r="K824" s="146"/>
      <c r="L824" s="146"/>
    </row>
    <row r="825" spans="2:12" x14ac:dyDescent="0.3">
      <c r="B825" s="146"/>
      <c r="C825" s="146"/>
      <c r="D825" s="146"/>
      <c r="E825" s="146"/>
      <c r="F825" s="146"/>
      <c r="G825" s="146"/>
      <c r="H825" s="146"/>
      <c r="I825" s="146"/>
      <c r="J825" s="146"/>
      <c r="K825" s="146"/>
      <c r="L825" s="146"/>
    </row>
    <row r="826" spans="2:12" x14ac:dyDescent="0.3">
      <c r="B826" s="146"/>
      <c r="C826" s="146"/>
      <c r="D826" s="146"/>
      <c r="E826" s="146"/>
      <c r="F826" s="146"/>
      <c r="G826" s="146"/>
      <c r="H826" s="146"/>
      <c r="I826" s="146"/>
      <c r="J826" s="146"/>
      <c r="K826" s="146"/>
      <c r="L826" s="146"/>
    </row>
    <row r="827" spans="2:12" x14ac:dyDescent="0.3">
      <c r="B827" s="146"/>
      <c r="C827" s="146"/>
      <c r="D827" s="146"/>
      <c r="E827" s="146"/>
      <c r="F827" s="146"/>
      <c r="G827" s="146"/>
      <c r="H827" s="146"/>
      <c r="I827" s="146"/>
      <c r="J827" s="146"/>
      <c r="K827" s="146"/>
      <c r="L827" s="146"/>
    </row>
    <row r="828" spans="2:12" x14ac:dyDescent="0.3">
      <c r="B828" s="146"/>
      <c r="C828" s="146"/>
      <c r="D828" s="146"/>
      <c r="E828" s="146"/>
      <c r="F828" s="146"/>
      <c r="G828" s="146"/>
      <c r="H828" s="146"/>
      <c r="I828" s="146"/>
      <c r="J828" s="146"/>
      <c r="K828" s="146"/>
      <c r="L828" s="146"/>
    </row>
    <row r="829" spans="2:12" x14ac:dyDescent="0.3">
      <c r="B829" s="146"/>
      <c r="C829" s="146"/>
      <c r="D829" s="146"/>
      <c r="E829" s="146"/>
      <c r="F829" s="146"/>
      <c r="G829" s="146"/>
      <c r="H829" s="146"/>
      <c r="I829" s="146"/>
      <c r="J829" s="146"/>
      <c r="K829" s="146"/>
      <c r="L829" s="146"/>
    </row>
    <row r="830" spans="2:12" x14ac:dyDescent="0.3">
      <c r="B830" s="146"/>
      <c r="C830" s="146"/>
      <c r="D830" s="146"/>
      <c r="E830" s="146"/>
      <c r="F830" s="146"/>
      <c r="G830" s="146"/>
      <c r="H830" s="146"/>
      <c r="I830" s="146"/>
      <c r="J830" s="146"/>
      <c r="K830" s="146"/>
      <c r="L830" s="146"/>
    </row>
    <row r="831" spans="2:12" x14ac:dyDescent="0.3">
      <c r="B831" s="146"/>
      <c r="C831" s="146"/>
      <c r="D831" s="146"/>
      <c r="E831" s="146"/>
      <c r="F831" s="146"/>
      <c r="G831" s="146"/>
      <c r="H831" s="146"/>
      <c r="I831" s="146"/>
      <c r="J831" s="146"/>
      <c r="K831" s="146"/>
      <c r="L831" s="146"/>
    </row>
    <row r="832" spans="2:12" x14ac:dyDescent="0.3">
      <c r="B832" s="146"/>
      <c r="C832" s="146"/>
      <c r="D832" s="146"/>
      <c r="E832" s="146"/>
      <c r="F832" s="146"/>
      <c r="G832" s="146"/>
      <c r="H832" s="146"/>
      <c r="I832" s="146"/>
      <c r="J832" s="146"/>
      <c r="K832" s="146"/>
      <c r="L832" s="146"/>
    </row>
    <row r="833" spans="2:12" x14ac:dyDescent="0.3">
      <c r="B833" s="146"/>
      <c r="C833" s="146"/>
      <c r="D833" s="146"/>
      <c r="E833" s="146"/>
      <c r="F833" s="146"/>
      <c r="G833" s="146"/>
      <c r="H833" s="146"/>
      <c r="I833" s="146"/>
      <c r="J833" s="146"/>
      <c r="K833" s="146"/>
      <c r="L833" s="146"/>
    </row>
    <row r="834" spans="2:12" x14ac:dyDescent="0.3">
      <c r="B834" s="146"/>
      <c r="C834" s="146"/>
      <c r="D834" s="146"/>
      <c r="E834" s="146"/>
      <c r="F834" s="146"/>
      <c r="G834" s="146"/>
      <c r="H834" s="146"/>
      <c r="I834" s="146"/>
      <c r="J834" s="146"/>
      <c r="K834" s="146"/>
      <c r="L834" s="146"/>
    </row>
    <row r="835" spans="2:12" x14ac:dyDescent="0.3">
      <c r="B835" s="146"/>
      <c r="C835" s="146"/>
      <c r="D835" s="146"/>
      <c r="E835" s="146"/>
      <c r="F835" s="146"/>
      <c r="G835" s="146"/>
      <c r="H835" s="146"/>
      <c r="I835" s="146"/>
      <c r="J835" s="146"/>
      <c r="K835" s="146"/>
      <c r="L835" s="146"/>
    </row>
    <row r="836" spans="2:12" x14ac:dyDescent="0.3">
      <c r="B836" s="146"/>
      <c r="C836" s="146"/>
      <c r="D836" s="146"/>
      <c r="E836" s="146"/>
      <c r="F836" s="146"/>
      <c r="G836" s="146"/>
      <c r="H836" s="146"/>
      <c r="I836" s="146"/>
      <c r="J836" s="146"/>
      <c r="K836" s="146"/>
      <c r="L836" s="146"/>
    </row>
    <row r="837" spans="2:12" x14ac:dyDescent="0.3">
      <c r="B837" s="146"/>
      <c r="C837" s="146"/>
      <c r="D837" s="146"/>
      <c r="E837" s="146"/>
      <c r="F837" s="146"/>
      <c r="G837" s="146"/>
      <c r="H837" s="146"/>
      <c r="I837" s="146"/>
      <c r="J837" s="146"/>
      <c r="K837" s="146"/>
      <c r="L837" s="146"/>
    </row>
    <row r="838" spans="2:12" x14ac:dyDescent="0.3">
      <c r="B838" s="146"/>
      <c r="C838" s="146"/>
      <c r="D838" s="146"/>
      <c r="E838" s="146"/>
      <c r="F838" s="146"/>
      <c r="G838" s="146"/>
      <c r="H838" s="146"/>
      <c r="I838" s="146"/>
      <c r="J838" s="146"/>
      <c r="K838" s="146"/>
      <c r="L838" s="146"/>
    </row>
    <row r="839" spans="2:12" x14ac:dyDescent="0.3">
      <c r="B839" s="146"/>
      <c r="C839" s="146"/>
      <c r="D839" s="146"/>
      <c r="E839" s="146"/>
      <c r="F839" s="146"/>
      <c r="G839" s="146"/>
      <c r="H839" s="146"/>
      <c r="I839" s="146"/>
      <c r="J839" s="146"/>
      <c r="K839" s="146"/>
      <c r="L839" s="146"/>
    </row>
    <row r="840" spans="2:12" x14ac:dyDescent="0.3">
      <c r="B840" s="146"/>
      <c r="C840" s="146"/>
      <c r="D840" s="146"/>
      <c r="E840" s="146"/>
      <c r="F840" s="146"/>
      <c r="G840" s="146"/>
      <c r="H840" s="146"/>
      <c r="I840" s="146"/>
      <c r="J840" s="146"/>
      <c r="K840" s="146"/>
      <c r="L840" s="146"/>
    </row>
    <row r="841" spans="2:12" x14ac:dyDescent="0.3">
      <c r="B841" s="146"/>
      <c r="C841" s="146"/>
      <c r="D841" s="146"/>
      <c r="E841" s="146"/>
      <c r="F841" s="146"/>
      <c r="G841" s="146"/>
      <c r="H841" s="146"/>
      <c r="I841" s="146"/>
      <c r="J841" s="146"/>
      <c r="K841" s="146"/>
      <c r="L841" s="146"/>
    </row>
    <row r="842" spans="2:12" x14ac:dyDescent="0.3">
      <c r="B842" s="146"/>
      <c r="C842" s="146"/>
      <c r="D842" s="146"/>
      <c r="E842" s="146"/>
      <c r="F842" s="146"/>
      <c r="G842" s="146"/>
      <c r="H842" s="146"/>
      <c r="I842" s="146"/>
      <c r="J842" s="146"/>
      <c r="K842" s="146"/>
      <c r="L842" s="146"/>
    </row>
    <row r="843" spans="2:12" x14ac:dyDescent="0.3">
      <c r="B843" s="146"/>
      <c r="C843" s="146"/>
      <c r="D843" s="146"/>
      <c r="E843" s="146"/>
      <c r="F843" s="146"/>
      <c r="G843" s="146"/>
      <c r="H843" s="146"/>
      <c r="I843" s="146"/>
      <c r="J843" s="146"/>
      <c r="K843" s="146"/>
      <c r="L843" s="146"/>
    </row>
    <row r="844" spans="2:12" x14ac:dyDescent="0.3">
      <c r="B844" s="146"/>
      <c r="C844" s="146"/>
      <c r="D844" s="146"/>
      <c r="E844" s="146"/>
      <c r="F844" s="146"/>
      <c r="G844" s="146"/>
      <c r="H844" s="146"/>
      <c r="I844" s="146"/>
      <c r="J844" s="146"/>
      <c r="K844" s="146"/>
      <c r="L844" s="146"/>
    </row>
    <row r="845" spans="2:12" x14ac:dyDescent="0.3">
      <c r="B845" s="146"/>
      <c r="C845" s="146"/>
      <c r="D845" s="146"/>
      <c r="E845" s="146"/>
      <c r="F845" s="146"/>
      <c r="G845" s="146"/>
      <c r="H845" s="146"/>
      <c r="I845" s="146"/>
      <c r="J845" s="146"/>
      <c r="K845" s="146"/>
      <c r="L845" s="146"/>
    </row>
    <row r="846" spans="2:12" x14ac:dyDescent="0.3">
      <c r="B846" s="146"/>
      <c r="C846" s="146"/>
      <c r="D846" s="146"/>
      <c r="E846" s="146"/>
      <c r="F846" s="146"/>
      <c r="G846" s="146"/>
      <c r="H846" s="146"/>
      <c r="I846" s="146"/>
      <c r="J846" s="146"/>
      <c r="K846" s="146"/>
      <c r="L846" s="146"/>
    </row>
    <row r="847" spans="2:12" x14ac:dyDescent="0.3">
      <c r="B847" s="146"/>
      <c r="C847" s="146"/>
      <c r="D847" s="146"/>
      <c r="E847" s="146"/>
      <c r="F847" s="146"/>
      <c r="G847" s="146"/>
      <c r="H847" s="146"/>
      <c r="I847" s="146"/>
      <c r="J847" s="146"/>
      <c r="K847" s="146"/>
      <c r="L847" s="146"/>
    </row>
    <row r="848" spans="2:12" x14ac:dyDescent="0.3">
      <c r="B848" s="146"/>
      <c r="C848" s="146"/>
      <c r="D848" s="146"/>
      <c r="E848" s="146"/>
      <c r="F848" s="146"/>
      <c r="G848" s="146"/>
      <c r="H848" s="146"/>
      <c r="I848" s="146"/>
      <c r="J848" s="146"/>
      <c r="K848" s="146"/>
      <c r="L848" s="146"/>
    </row>
    <row r="849" spans="2:12" x14ac:dyDescent="0.3">
      <c r="B849" s="146"/>
      <c r="C849" s="146"/>
      <c r="D849" s="146"/>
      <c r="E849" s="146"/>
      <c r="F849" s="146"/>
      <c r="G849" s="146"/>
      <c r="H849" s="146"/>
      <c r="I849" s="146"/>
      <c r="J849" s="146"/>
      <c r="K849" s="146"/>
      <c r="L849" s="146"/>
    </row>
    <row r="850" spans="2:12" x14ac:dyDescent="0.3">
      <c r="B850" s="146"/>
      <c r="C850" s="146"/>
      <c r="D850" s="146"/>
      <c r="E850" s="146"/>
      <c r="F850" s="146"/>
      <c r="G850" s="146"/>
      <c r="H850" s="146"/>
      <c r="I850" s="146"/>
      <c r="J850" s="146"/>
      <c r="K850" s="146"/>
      <c r="L850" s="146"/>
    </row>
    <row r="851" spans="2:12" x14ac:dyDescent="0.3">
      <c r="B851" s="146"/>
      <c r="C851" s="146"/>
      <c r="D851" s="146"/>
      <c r="E851" s="146"/>
      <c r="F851" s="146"/>
      <c r="G851" s="146"/>
      <c r="H851" s="146"/>
      <c r="I851" s="146"/>
      <c r="J851" s="146"/>
      <c r="K851" s="146"/>
      <c r="L851" s="146"/>
    </row>
    <row r="852" spans="2:12" x14ac:dyDescent="0.3">
      <c r="B852" s="146"/>
      <c r="C852" s="146"/>
      <c r="D852" s="146"/>
      <c r="E852" s="146"/>
      <c r="F852" s="146"/>
      <c r="G852" s="146"/>
      <c r="H852" s="146"/>
      <c r="I852" s="146"/>
      <c r="J852" s="146"/>
      <c r="K852" s="146"/>
      <c r="L852" s="146"/>
    </row>
    <row r="853" spans="2:12" x14ac:dyDescent="0.3">
      <c r="B853" s="146"/>
      <c r="C853" s="146"/>
      <c r="D853" s="146"/>
      <c r="E853" s="146"/>
      <c r="F853" s="146"/>
      <c r="G853" s="146"/>
      <c r="H853" s="146"/>
      <c r="I853" s="146"/>
      <c r="J853" s="146"/>
      <c r="K853" s="146"/>
      <c r="L853" s="146"/>
    </row>
    <row r="854" spans="2:12" x14ac:dyDescent="0.3">
      <c r="B854" s="146"/>
      <c r="C854" s="146"/>
      <c r="D854" s="146"/>
      <c r="E854" s="146"/>
      <c r="F854" s="146"/>
      <c r="G854" s="146"/>
      <c r="H854" s="146"/>
      <c r="I854" s="146"/>
      <c r="J854" s="146"/>
      <c r="K854" s="146"/>
      <c r="L854" s="146"/>
    </row>
    <row r="855" spans="2:12" x14ac:dyDescent="0.3">
      <c r="B855" s="146"/>
      <c r="C855" s="146"/>
      <c r="D855" s="146"/>
      <c r="E855" s="146"/>
      <c r="F855" s="146"/>
      <c r="G855" s="146"/>
      <c r="H855" s="146"/>
      <c r="I855" s="146"/>
      <c r="J855" s="146"/>
      <c r="K855" s="146"/>
      <c r="L855" s="146"/>
    </row>
    <row r="856" spans="2:12" x14ac:dyDescent="0.3">
      <c r="B856" s="146"/>
      <c r="C856" s="146"/>
      <c r="D856" s="146"/>
      <c r="E856" s="146"/>
      <c r="F856" s="146"/>
      <c r="G856" s="146"/>
      <c r="H856" s="146"/>
      <c r="I856" s="146"/>
      <c r="J856" s="146"/>
      <c r="K856" s="146"/>
      <c r="L856" s="146"/>
    </row>
    <row r="857" spans="2:12" x14ac:dyDescent="0.3">
      <c r="B857" s="146"/>
      <c r="C857" s="146"/>
      <c r="D857" s="146"/>
      <c r="E857" s="146"/>
      <c r="F857" s="146"/>
      <c r="G857" s="146"/>
      <c r="H857" s="146"/>
      <c r="I857" s="146"/>
      <c r="J857" s="146"/>
      <c r="K857" s="146"/>
      <c r="L857" s="146"/>
    </row>
    <row r="858" spans="2:12" x14ac:dyDescent="0.3">
      <c r="B858" s="146"/>
      <c r="C858" s="146"/>
      <c r="D858" s="146"/>
      <c r="E858" s="146"/>
      <c r="F858" s="146"/>
      <c r="G858" s="146"/>
      <c r="H858" s="146"/>
      <c r="I858" s="146"/>
      <c r="J858" s="146"/>
      <c r="K858" s="146"/>
      <c r="L858" s="146"/>
    </row>
    <row r="859" spans="2:12" x14ac:dyDescent="0.3">
      <c r="B859" s="146"/>
      <c r="C859" s="146"/>
      <c r="D859" s="146"/>
      <c r="E859" s="146"/>
      <c r="F859" s="146"/>
      <c r="G859" s="146"/>
      <c r="H859" s="146"/>
      <c r="I859" s="146"/>
      <c r="J859" s="146"/>
      <c r="K859" s="146"/>
      <c r="L859" s="146"/>
    </row>
    <row r="860" spans="2:12" x14ac:dyDescent="0.3">
      <c r="B860" s="146"/>
      <c r="C860" s="146"/>
      <c r="D860" s="146"/>
      <c r="E860" s="146"/>
      <c r="F860" s="146"/>
      <c r="G860" s="146"/>
      <c r="H860" s="146"/>
      <c r="I860" s="146"/>
      <c r="J860" s="146"/>
      <c r="K860" s="146"/>
      <c r="L860" s="146"/>
    </row>
    <row r="861" spans="2:12" x14ac:dyDescent="0.3">
      <c r="B861" s="146"/>
      <c r="C861" s="146"/>
      <c r="D861" s="146"/>
      <c r="E861" s="146"/>
      <c r="F861" s="146"/>
      <c r="G861" s="146"/>
      <c r="H861" s="146"/>
      <c r="I861" s="146"/>
      <c r="J861" s="146"/>
      <c r="K861" s="146"/>
      <c r="L861" s="146"/>
    </row>
    <row r="862" spans="2:12" x14ac:dyDescent="0.3">
      <c r="B862" s="146"/>
      <c r="C862" s="146"/>
      <c r="D862" s="146"/>
      <c r="E862" s="146"/>
      <c r="F862" s="146"/>
      <c r="G862" s="146"/>
      <c r="H862" s="146"/>
      <c r="I862" s="146"/>
      <c r="J862" s="146"/>
      <c r="K862" s="146"/>
      <c r="L862" s="146"/>
    </row>
    <row r="863" spans="2:12" x14ac:dyDescent="0.3">
      <c r="B863" s="146"/>
      <c r="C863" s="146"/>
      <c r="D863" s="146"/>
      <c r="E863" s="146"/>
      <c r="F863" s="146"/>
      <c r="G863" s="146"/>
      <c r="H863" s="146"/>
      <c r="I863" s="146"/>
      <c r="J863" s="146"/>
      <c r="K863" s="146"/>
      <c r="L863" s="146"/>
    </row>
    <row r="864" spans="2:12" x14ac:dyDescent="0.3">
      <c r="B864" s="146"/>
      <c r="C864" s="146"/>
      <c r="D864" s="146"/>
      <c r="E864" s="146"/>
      <c r="F864" s="146"/>
      <c r="G864" s="146"/>
      <c r="H864" s="146"/>
      <c r="I864" s="146"/>
      <c r="J864" s="146"/>
      <c r="K864" s="146"/>
      <c r="L864" s="146"/>
    </row>
    <row r="865" spans="2:12" x14ac:dyDescent="0.3">
      <c r="B865" s="146"/>
      <c r="C865" s="146"/>
      <c r="D865" s="146"/>
      <c r="E865" s="146"/>
      <c r="F865" s="146"/>
      <c r="G865" s="146"/>
      <c r="H865" s="146"/>
      <c r="I865" s="146"/>
      <c r="J865" s="146"/>
      <c r="K865" s="146"/>
      <c r="L865" s="146"/>
    </row>
    <row r="866" spans="2:12" x14ac:dyDescent="0.3">
      <c r="B866" s="146"/>
      <c r="C866" s="146"/>
      <c r="D866" s="146"/>
      <c r="E866" s="146"/>
      <c r="F866" s="146"/>
      <c r="G866" s="146"/>
      <c r="H866" s="146"/>
      <c r="I866" s="146"/>
      <c r="J866" s="146"/>
      <c r="K866" s="146"/>
      <c r="L866" s="146"/>
    </row>
    <row r="867" spans="2:12" x14ac:dyDescent="0.3">
      <c r="B867" s="146"/>
      <c r="C867" s="146"/>
      <c r="D867" s="146"/>
      <c r="E867" s="146"/>
      <c r="F867" s="146"/>
      <c r="G867" s="146"/>
      <c r="H867" s="146"/>
      <c r="I867" s="146"/>
      <c r="J867" s="146"/>
      <c r="K867" s="146"/>
      <c r="L867" s="146"/>
    </row>
    <row r="868" spans="2:12" x14ac:dyDescent="0.3">
      <c r="B868" s="146"/>
      <c r="C868" s="146"/>
      <c r="D868" s="146"/>
      <c r="E868" s="146"/>
      <c r="F868" s="146"/>
      <c r="G868" s="146"/>
      <c r="H868" s="146"/>
      <c r="I868" s="146"/>
      <c r="J868" s="146"/>
      <c r="K868" s="146"/>
      <c r="L868" s="146"/>
    </row>
    <row r="869" spans="2:12" x14ac:dyDescent="0.3">
      <c r="B869" s="146"/>
      <c r="C869" s="146"/>
      <c r="D869" s="146"/>
      <c r="E869" s="146"/>
      <c r="F869" s="146"/>
      <c r="G869" s="146"/>
      <c r="H869" s="146"/>
      <c r="I869" s="146"/>
      <c r="J869" s="146"/>
      <c r="K869" s="146"/>
      <c r="L869" s="146"/>
    </row>
    <row r="870" spans="2:12" x14ac:dyDescent="0.3">
      <c r="B870" s="146"/>
      <c r="C870" s="146"/>
      <c r="D870" s="146"/>
      <c r="E870" s="146"/>
      <c r="F870" s="146"/>
      <c r="G870" s="146"/>
      <c r="H870" s="146"/>
      <c r="I870" s="146"/>
      <c r="J870" s="146"/>
      <c r="K870" s="146"/>
      <c r="L870" s="146"/>
    </row>
    <row r="871" spans="2:12" x14ac:dyDescent="0.3">
      <c r="B871" s="146"/>
      <c r="C871" s="146"/>
      <c r="D871" s="146"/>
      <c r="E871" s="146"/>
      <c r="F871" s="146"/>
      <c r="G871" s="146"/>
      <c r="H871" s="146"/>
      <c r="I871" s="146"/>
      <c r="J871" s="146"/>
      <c r="K871" s="146"/>
      <c r="L871" s="146"/>
    </row>
    <row r="872" spans="2:12" x14ac:dyDescent="0.3">
      <c r="B872" s="146"/>
      <c r="C872" s="146"/>
      <c r="D872" s="146"/>
      <c r="E872" s="146"/>
      <c r="F872" s="146"/>
      <c r="G872" s="146"/>
      <c r="H872" s="146"/>
      <c r="I872" s="146"/>
      <c r="J872" s="146"/>
      <c r="K872" s="146"/>
      <c r="L872" s="146"/>
    </row>
    <row r="873" spans="2:12" x14ac:dyDescent="0.3">
      <c r="B873" s="146"/>
      <c r="C873" s="146"/>
      <c r="D873" s="146"/>
      <c r="E873" s="146"/>
      <c r="F873" s="146"/>
      <c r="G873" s="146"/>
      <c r="H873" s="146"/>
      <c r="I873" s="146"/>
      <c r="J873" s="146"/>
      <c r="K873" s="146"/>
      <c r="L873" s="146"/>
    </row>
    <row r="874" spans="2:12" x14ac:dyDescent="0.3">
      <c r="B874" s="146"/>
      <c r="C874" s="146"/>
      <c r="D874" s="146"/>
      <c r="E874" s="146"/>
      <c r="F874" s="146"/>
      <c r="G874" s="146"/>
      <c r="H874" s="146"/>
      <c r="I874" s="146"/>
      <c r="J874" s="146"/>
      <c r="K874" s="146"/>
      <c r="L874" s="146"/>
    </row>
    <row r="875" spans="2:12" x14ac:dyDescent="0.3">
      <c r="B875" s="146"/>
      <c r="C875" s="146"/>
      <c r="D875" s="146"/>
      <c r="E875" s="146"/>
      <c r="F875" s="146"/>
      <c r="G875" s="146"/>
      <c r="H875" s="146"/>
      <c r="I875" s="146"/>
      <c r="J875" s="146"/>
      <c r="K875" s="146"/>
      <c r="L875" s="146"/>
    </row>
    <row r="876" spans="2:12" x14ac:dyDescent="0.3">
      <c r="B876" s="146"/>
      <c r="C876" s="146"/>
      <c r="D876" s="146"/>
      <c r="E876" s="146"/>
      <c r="F876" s="146"/>
      <c r="G876" s="146"/>
      <c r="H876" s="146"/>
      <c r="I876" s="146"/>
      <c r="J876" s="146"/>
      <c r="K876" s="146"/>
      <c r="L876" s="146"/>
    </row>
    <row r="877" spans="2:12" x14ac:dyDescent="0.3">
      <c r="B877" s="146"/>
      <c r="C877" s="146"/>
      <c r="D877" s="146"/>
      <c r="E877" s="146"/>
      <c r="F877" s="146"/>
      <c r="G877" s="146"/>
      <c r="H877" s="146"/>
      <c r="I877" s="146"/>
      <c r="J877" s="146"/>
      <c r="K877" s="146"/>
      <c r="L877" s="146"/>
    </row>
    <row r="878" spans="2:12" x14ac:dyDescent="0.3">
      <c r="B878" s="146"/>
      <c r="C878" s="146"/>
      <c r="D878" s="146"/>
      <c r="E878" s="146"/>
      <c r="F878" s="146"/>
      <c r="G878" s="146"/>
      <c r="H878" s="146"/>
      <c r="I878" s="146"/>
      <c r="J878" s="146"/>
      <c r="K878" s="146"/>
      <c r="L878" s="146"/>
    </row>
    <row r="879" spans="2:12" x14ac:dyDescent="0.3">
      <c r="B879" s="146"/>
      <c r="C879" s="146"/>
      <c r="D879" s="146"/>
      <c r="E879" s="146"/>
      <c r="F879" s="146"/>
      <c r="G879" s="146"/>
      <c r="H879" s="146"/>
      <c r="I879" s="146"/>
      <c r="J879" s="146"/>
      <c r="K879" s="146"/>
      <c r="L879" s="146"/>
    </row>
    <row r="880" spans="2:12" x14ac:dyDescent="0.3">
      <c r="B880" s="146"/>
      <c r="C880" s="146"/>
      <c r="D880" s="146"/>
      <c r="E880" s="146"/>
      <c r="F880" s="146"/>
      <c r="G880" s="146"/>
      <c r="H880" s="146"/>
      <c r="I880" s="146"/>
      <c r="J880" s="146"/>
      <c r="K880" s="146"/>
      <c r="L880" s="146"/>
    </row>
    <row r="881" spans="2:12" x14ac:dyDescent="0.3">
      <c r="B881" s="146"/>
      <c r="C881" s="146"/>
      <c r="D881" s="146"/>
      <c r="E881" s="146"/>
      <c r="F881" s="146"/>
      <c r="G881" s="146"/>
      <c r="H881" s="146"/>
      <c r="I881" s="146"/>
      <c r="J881" s="146"/>
      <c r="K881" s="146"/>
      <c r="L881" s="146"/>
    </row>
    <row r="882" spans="2:12" x14ac:dyDescent="0.3">
      <c r="B882" s="146"/>
      <c r="C882" s="146"/>
      <c r="D882" s="146"/>
      <c r="E882" s="146"/>
      <c r="F882" s="146"/>
      <c r="G882" s="146"/>
      <c r="H882" s="146"/>
      <c r="I882" s="146"/>
      <c r="J882" s="146"/>
      <c r="K882" s="146"/>
      <c r="L882" s="146"/>
    </row>
    <row r="883" spans="2:12" x14ac:dyDescent="0.3">
      <c r="B883" s="146"/>
      <c r="C883" s="146"/>
      <c r="D883" s="146"/>
      <c r="E883" s="146"/>
      <c r="F883" s="146"/>
      <c r="G883" s="146"/>
      <c r="H883" s="146"/>
      <c r="I883" s="146"/>
      <c r="J883" s="146"/>
      <c r="K883" s="146"/>
      <c r="L883" s="146"/>
    </row>
    <row r="884" spans="2:12" x14ac:dyDescent="0.3">
      <c r="B884" s="146"/>
      <c r="C884" s="146"/>
      <c r="D884" s="146"/>
      <c r="E884" s="146"/>
      <c r="F884" s="146"/>
      <c r="G884" s="146"/>
      <c r="H884" s="146"/>
      <c r="I884" s="146"/>
      <c r="J884" s="146"/>
      <c r="K884" s="146"/>
      <c r="L884" s="146"/>
    </row>
    <row r="885" spans="2:12" x14ac:dyDescent="0.3">
      <c r="B885" s="146"/>
      <c r="C885" s="146"/>
      <c r="D885" s="146"/>
      <c r="E885" s="146"/>
      <c r="F885" s="146"/>
      <c r="G885" s="146"/>
      <c r="H885" s="146"/>
      <c r="I885" s="146"/>
      <c r="J885" s="146"/>
      <c r="K885" s="146"/>
      <c r="L885" s="146"/>
    </row>
    <row r="886" spans="2:12" x14ac:dyDescent="0.3">
      <c r="B886" s="146"/>
      <c r="C886" s="146"/>
      <c r="D886" s="146"/>
      <c r="E886" s="146"/>
      <c r="F886" s="146"/>
      <c r="G886" s="146"/>
      <c r="H886" s="146"/>
      <c r="I886" s="146"/>
      <c r="J886" s="146"/>
      <c r="K886" s="146"/>
      <c r="L886" s="146"/>
    </row>
    <row r="887" spans="2:12" x14ac:dyDescent="0.3">
      <c r="B887" s="146"/>
      <c r="C887" s="146"/>
      <c r="D887" s="146"/>
      <c r="E887" s="146"/>
      <c r="F887" s="146"/>
      <c r="G887" s="146"/>
      <c r="H887" s="146"/>
      <c r="I887" s="146"/>
      <c r="J887" s="146"/>
      <c r="K887" s="146"/>
      <c r="L887" s="146"/>
    </row>
    <row r="888" spans="2:12" x14ac:dyDescent="0.3">
      <c r="B888" s="146"/>
      <c r="C888" s="146"/>
      <c r="D888" s="146"/>
      <c r="E888" s="146"/>
      <c r="F888" s="146"/>
      <c r="G888" s="146"/>
      <c r="H888" s="146"/>
      <c r="I888" s="146"/>
      <c r="J888" s="146"/>
      <c r="K888" s="146"/>
      <c r="L888" s="146"/>
    </row>
    <row r="889" spans="2:12" x14ac:dyDescent="0.3">
      <c r="B889" s="146"/>
      <c r="C889" s="146"/>
      <c r="D889" s="146"/>
      <c r="E889" s="146"/>
      <c r="F889" s="146"/>
      <c r="G889" s="146"/>
      <c r="H889" s="146"/>
      <c r="I889" s="146"/>
      <c r="J889" s="146"/>
      <c r="K889" s="146"/>
      <c r="L889" s="146"/>
    </row>
    <row r="890" spans="2:12" x14ac:dyDescent="0.3">
      <c r="B890" s="146"/>
      <c r="C890" s="146"/>
      <c r="D890" s="146"/>
      <c r="E890" s="146"/>
      <c r="F890" s="146"/>
      <c r="G890" s="146"/>
      <c r="H890" s="146"/>
      <c r="I890" s="146"/>
      <c r="J890" s="146"/>
      <c r="K890" s="146"/>
      <c r="L890" s="146"/>
    </row>
    <row r="891" spans="2:12" x14ac:dyDescent="0.3">
      <c r="B891" s="146"/>
      <c r="C891" s="146"/>
      <c r="D891" s="146"/>
      <c r="E891" s="146"/>
      <c r="F891" s="146"/>
      <c r="G891" s="146"/>
      <c r="H891" s="146"/>
      <c r="I891" s="146"/>
      <c r="J891" s="146"/>
      <c r="K891" s="146"/>
      <c r="L891" s="146"/>
    </row>
    <row r="892" spans="2:12" x14ac:dyDescent="0.3">
      <c r="B892" s="146"/>
      <c r="C892" s="146"/>
      <c r="D892" s="146"/>
      <c r="E892" s="146"/>
      <c r="F892" s="146"/>
      <c r="G892" s="146"/>
      <c r="H892" s="146"/>
      <c r="I892" s="146"/>
      <c r="J892" s="146"/>
      <c r="K892" s="146"/>
      <c r="L892" s="146"/>
    </row>
    <row r="893" spans="2:12" x14ac:dyDescent="0.3">
      <c r="B893" s="146"/>
      <c r="C893" s="146"/>
      <c r="D893" s="146"/>
      <c r="E893" s="146"/>
      <c r="F893" s="146"/>
      <c r="G893" s="146"/>
      <c r="H893" s="146"/>
      <c r="I893" s="146"/>
      <c r="J893" s="146"/>
      <c r="K893" s="146"/>
      <c r="L893" s="146"/>
    </row>
    <row r="894" spans="2:12" x14ac:dyDescent="0.3">
      <c r="B894" s="146"/>
      <c r="C894" s="146"/>
      <c r="D894" s="146"/>
      <c r="E894" s="146"/>
      <c r="F894" s="146"/>
      <c r="G894" s="146"/>
      <c r="H894" s="146"/>
      <c r="I894" s="146"/>
      <c r="J894" s="146"/>
      <c r="K894" s="146"/>
      <c r="L894" s="146"/>
    </row>
    <row r="895" spans="2:12" x14ac:dyDescent="0.3">
      <c r="B895" s="146"/>
      <c r="C895" s="146"/>
      <c r="D895" s="146"/>
      <c r="E895" s="146"/>
      <c r="F895" s="146"/>
      <c r="G895" s="146"/>
      <c r="H895" s="146"/>
      <c r="I895" s="146"/>
      <c r="J895" s="146"/>
      <c r="K895" s="146"/>
      <c r="L895" s="146"/>
    </row>
    <row r="896" spans="2:12" x14ac:dyDescent="0.3">
      <c r="B896" s="146"/>
      <c r="C896" s="146"/>
      <c r="D896" s="146"/>
      <c r="E896" s="146"/>
      <c r="F896" s="146"/>
      <c r="G896" s="146"/>
      <c r="H896" s="146"/>
      <c r="I896" s="146"/>
      <c r="J896" s="146"/>
      <c r="K896" s="146"/>
      <c r="L896" s="146"/>
    </row>
    <row r="897" spans="2:12" x14ac:dyDescent="0.3">
      <c r="B897" s="146"/>
      <c r="C897" s="146"/>
      <c r="D897" s="146"/>
      <c r="E897" s="146"/>
      <c r="F897" s="146"/>
      <c r="G897" s="146"/>
      <c r="H897" s="146"/>
      <c r="I897" s="146"/>
      <c r="J897" s="146"/>
      <c r="K897" s="146"/>
      <c r="L897" s="146"/>
    </row>
    <row r="898" spans="2:12" x14ac:dyDescent="0.3">
      <c r="B898" s="146"/>
      <c r="C898" s="146"/>
      <c r="D898" s="146"/>
      <c r="E898" s="146"/>
      <c r="F898" s="146"/>
      <c r="G898" s="146"/>
      <c r="H898" s="146"/>
      <c r="I898" s="146"/>
      <c r="J898" s="146"/>
      <c r="K898" s="146"/>
      <c r="L898" s="146"/>
    </row>
    <row r="899" spans="2:12" x14ac:dyDescent="0.3">
      <c r="B899" s="146"/>
      <c r="C899" s="146"/>
      <c r="D899" s="146"/>
      <c r="E899" s="146"/>
      <c r="F899" s="146"/>
      <c r="G899" s="146"/>
      <c r="H899" s="146"/>
      <c r="I899" s="146"/>
      <c r="J899" s="146"/>
      <c r="K899" s="146"/>
      <c r="L899" s="146"/>
    </row>
    <row r="900" spans="2:12" x14ac:dyDescent="0.3">
      <c r="B900" s="146"/>
      <c r="C900" s="146"/>
      <c r="D900" s="146"/>
      <c r="E900" s="146"/>
      <c r="F900" s="146"/>
      <c r="G900" s="146"/>
      <c r="H900" s="146"/>
      <c r="I900" s="146"/>
      <c r="J900" s="146"/>
      <c r="K900" s="146"/>
      <c r="L900" s="146"/>
    </row>
    <row r="901" spans="2:12" x14ac:dyDescent="0.3">
      <c r="B901" s="146"/>
      <c r="C901" s="146"/>
      <c r="D901" s="146"/>
      <c r="E901" s="146"/>
      <c r="F901" s="146"/>
      <c r="G901" s="146"/>
      <c r="H901" s="146"/>
      <c r="I901" s="146"/>
      <c r="J901" s="146"/>
      <c r="K901" s="146"/>
      <c r="L901" s="146"/>
    </row>
    <row r="902" spans="2:12" x14ac:dyDescent="0.3">
      <c r="B902" s="146"/>
      <c r="C902" s="146"/>
      <c r="D902" s="146"/>
      <c r="E902" s="146"/>
      <c r="F902" s="146"/>
      <c r="G902" s="146"/>
      <c r="H902" s="146"/>
      <c r="I902" s="146"/>
      <c r="J902" s="146"/>
      <c r="K902" s="146"/>
      <c r="L902" s="146"/>
    </row>
    <row r="903" spans="2:12" x14ac:dyDescent="0.3">
      <c r="B903" s="146"/>
      <c r="C903" s="146"/>
      <c r="D903" s="146"/>
      <c r="E903" s="146"/>
      <c r="F903" s="146"/>
      <c r="G903" s="146"/>
      <c r="H903" s="146"/>
      <c r="I903" s="146"/>
      <c r="J903" s="146"/>
      <c r="K903" s="146"/>
      <c r="L903" s="146"/>
    </row>
    <row r="904" spans="2:12" x14ac:dyDescent="0.3">
      <c r="B904" s="146"/>
      <c r="C904" s="146"/>
      <c r="D904" s="146"/>
      <c r="E904" s="146"/>
      <c r="F904" s="146"/>
      <c r="G904" s="146"/>
      <c r="H904" s="146"/>
      <c r="I904" s="146"/>
      <c r="J904" s="146"/>
      <c r="K904" s="146"/>
      <c r="L904" s="146"/>
    </row>
    <row r="905" spans="2:12" x14ac:dyDescent="0.3">
      <c r="B905" s="146"/>
      <c r="C905" s="146"/>
      <c r="D905" s="146"/>
      <c r="E905" s="146"/>
      <c r="F905" s="146"/>
      <c r="G905" s="146"/>
      <c r="H905" s="146"/>
      <c r="I905" s="146"/>
      <c r="J905" s="146"/>
      <c r="K905" s="146"/>
      <c r="L905" s="146"/>
    </row>
    <row r="906" spans="2:12" x14ac:dyDescent="0.3">
      <c r="B906" s="146"/>
      <c r="C906" s="146"/>
      <c r="D906" s="146"/>
      <c r="E906" s="146"/>
      <c r="F906" s="146"/>
      <c r="G906" s="146"/>
      <c r="H906" s="146"/>
      <c r="I906" s="146"/>
      <c r="J906" s="146"/>
      <c r="K906" s="146"/>
      <c r="L906" s="146"/>
    </row>
    <row r="907" spans="2:12" x14ac:dyDescent="0.3">
      <c r="B907" s="146"/>
      <c r="C907" s="146"/>
      <c r="D907" s="146"/>
      <c r="E907" s="146"/>
      <c r="F907" s="146"/>
      <c r="G907" s="146"/>
      <c r="H907" s="146"/>
      <c r="I907" s="146"/>
      <c r="J907" s="146"/>
      <c r="K907" s="146"/>
      <c r="L907" s="146"/>
    </row>
    <row r="908" spans="2:12" x14ac:dyDescent="0.3">
      <c r="B908" s="146"/>
      <c r="C908" s="146"/>
      <c r="D908" s="146"/>
      <c r="E908" s="146"/>
      <c r="F908" s="146"/>
      <c r="G908" s="146"/>
      <c r="H908" s="146"/>
      <c r="I908" s="146"/>
      <c r="J908" s="146"/>
      <c r="K908" s="146"/>
      <c r="L908" s="146"/>
    </row>
    <row r="909" spans="2:12" x14ac:dyDescent="0.3">
      <c r="B909" s="146"/>
      <c r="C909" s="146"/>
      <c r="D909" s="146"/>
      <c r="E909" s="146"/>
      <c r="F909" s="146"/>
      <c r="G909" s="146"/>
      <c r="H909" s="146"/>
      <c r="I909" s="146"/>
      <c r="J909" s="146"/>
      <c r="K909" s="146"/>
      <c r="L909" s="146"/>
    </row>
    <row r="910" spans="2:12" x14ac:dyDescent="0.3">
      <c r="B910" s="146"/>
      <c r="C910" s="146"/>
      <c r="D910" s="146"/>
      <c r="E910" s="146"/>
      <c r="F910" s="146"/>
      <c r="G910" s="146"/>
      <c r="H910" s="146"/>
      <c r="I910" s="146"/>
      <c r="J910" s="146"/>
      <c r="K910" s="146"/>
      <c r="L910" s="146"/>
    </row>
    <row r="911" spans="2:12" x14ac:dyDescent="0.3">
      <c r="B911" s="146"/>
      <c r="C911" s="146"/>
      <c r="D911" s="146"/>
      <c r="E911" s="146"/>
      <c r="F911" s="146"/>
      <c r="G911" s="146"/>
      <c r="H911" s="146"/>
      <c r="I911" s="146"/>
      <c r="J911" s="146"/>
      <c r="K911" s="146"/>
      <c r="L911" s="146"/>
    </row>
    <row r="912" spans="2:12" x14ac:dyDescent="0.3">
      <c r="B912" s="146"/>
      <c r="C912" s="146"/>
      <c r="D912" s="146"/>
      <c r="E912" s="146"/>
      <c r="F912" s="146"/>
      <c r="G912" s="146"/>
      <c r="H912" s="146"/>
      <c r="I912" s="146"/>
      <c r="J912" s="146"/>
      <c r="K912" s="146"/>
      <c r="L912" s="146"/>
    </row>
    <row r="913" spans="2:12" x14ac:dyDescent="0.3">
      <c r="B913" s="146"/>
      <c r="C913" s="146"/>
      <c r="D913" s="146"/>
      <c r="E913" s="146"/>
      <c r="F913" s="146"/>
      <c r="G913" s="146"/>
      <c r="H913" s="146"/>
      <c r="I913" s="146"/>
      <c r="J913" s="146"/>
      <c r="K913" s="146"/>
      <c r="L913" s="146"/>
    </row>
    <row r="914" spans="2:12" x14ac:dyDescent="0.3">
      <c r="B914" s="146"/>
      <c r="C914" s="146"/>
      <c r="D914" s="146"/>
      <c r="E914" s="146"/>
      <c r="F914" s="146"/>
      <c r="G914" s="146"/>
      <c r="H914" s="146"/>
      <c r="I914" s="146"/>
      <c r="J914" s="146"/>
      <c r="K914" s="146"/>
      <c r="L914" s="146"/>
    </row>
    <row r="915" spans="2:12" x14ac:dyDescent="0.3">
      <c r="B915" s="146"/>
      <c r="C915" s="146"/>
      <c r="D915" s="146"/>
      <c r="E915" s="146"/>
      <c r="F915" s="146"/>
      <c r="G915" s="146"/>
      <c r="H915" s="146"/>
      <c r="I915" s="146"/>
      <c r="J915" s="146"/>
      <c r="K915" s="146"/>
      <c r="L915" s="146"/>
    </row>
    <row r="916" spans="2:12" x14ac:dyDescent="0.3">
      <c r="B916" s="146"/>
      <c r="C916" s="146"/>
      <c r="D916" s="146"/>
      <c r="E916" s="146"/>
      <c r="F916" s="146"/>
      <c r="G916" s="146"/>
      <c r="H916" s="146"/>
      <c r="I916" s="146"/>
      <c r="J916" s="146"/>
      <c r="K916" s="146"/>
      <c r="L916" s="146"/>
    </row>
    <row r="917" spans="2:12" x14ac:dyDescent="0.3">
      <c r="B917" s="146"/>
      <c r="C917" s="146"/>
      <c r="D917" s="146"/>
      <c r="E917" s="146"/>
      <c r="F917" s="146"/>
      <c r="G917" s="146"/>
      <c r="H917" s="146"/>
      <c r="I917" s="146"/>
      <c r="J917" s="146"/>
      <c r="K917" s="146"/>
      <c r="L917" s="146"/>
    </row>
    <row r="918" spans="2:12" x14ac:dyDescent="0.3">
      <c r="B918" s="146"/>
      <c r="C918" s="146"/>
      <c r="D918" s="146"/>
      <c r="E918" s="146"/>
      <c r="F918" s="146"/>
      <c r="G918" s="146"/>
      <c r="H918" s="146"/>
      <c r="I918" s="146"/>
      <c r="J918" s="146"/>
      <c r="K918" s="146"/>
      <c r="L918" s="146"/>
    </row>
    <row r="919" spans="2:12" x14ac:dyDescent="0.3">
      <c r="B919" s="146"/>
      <c r="C919" s="146"/>
      <c r="D919" s="146"/>
      <c r="E919" s="146"/>
      <c r="F919" s="146"/>
      <c r="G919" s="146"/>
      <c r="H919" s="146"/>
      <c r="I919" s="146"/>
      <c r="J919" s="146"/>
      <c r="K919" s="146"/>
      <c r="L919" s="146"/>
    </row>
    <row r="920" spans="2:12" x14ac:dyDescent="0.3">
      <c r="B920" s="146"/>
      <c r="C920" s="146"/>
      <c r="D920" s="146"/>
      <c r="E920" s="146"/>
      <c r="F920" s="146"/>
      <c r="G920" s="146"/>
      <c r="H920" s="146"/>
      <c r="I920" s="146"/>
      <c r="J920" s="146"/>
      <c r="K920" s="146"/>
      <c r="L920" s="146"/>
    </row>
    <row r="921" spans="2:12" x14ac:dyDescent="0.3">
      <c r="B921" s="146"/>
      <c r="C921" s="146"/>
      <c r="D921" s="146"/>
      <c r="E921" s="146"/>
      <c r="F921" s="146"/>
      <c r="G921" s="146"/>
      <c r="H921" s="146"/>
      <c r="I921" s="146"/>
      <c r="J921" s="146"/>
      <c r="K921" s="146"/>
      <c r="L921" s="146"/>
    </row>
    <row r="922" spans="2:12" x14ac:dyDescent="0.3">
      <c r="B922" s="146"/>
      <c r="C922" s="146"/>
      <c r="D922" s="146"/>
      <c r="E922" s="146"/>
      <c r="F922" s="146"/>
      <c r="G922" s="146"/>
      <c r="H922" s="146"/>
      <c r="I922" s="146"/>
      <c r="J922" s="146"/>
      <c r="K922" s="146"/>
      <c r="L922" s="146"/>
    </row>
    <row r="923" spans="2:12" x14ac:dyDescent="0.3">
      <c r="B923" s="146"/>
      <c r="C923" s="146"/>
      <c r="D923" s="146"/>
      <c r="E923" s="146"/>
      <c r="F923" s="146"/>
      <c r="G923" s="146"/>
      <c r="H923" s="146"/>
      <c r="I923" s="146"/>
      <c r="J923" s="146"/>
      <c r="K923" s="146"/>
      <c r="L923" s="146"/>
    </row>
    <row r="924" spans="2:12" x14ac:dyDescent="0.3">
      <c r="B924" s="146"/>
      <c r="C924" s="146"/>
      <c r="D924" s="146"/>
      <c r="E924" s="146"/>
      <c r="F924" s="146"/>
      <c r="G924" s="146"/>
      <c r="H924" s="146"/>
      <c r="I924" s="146"/>
      <c r="J924" s="146"/>
      <c r="K924" s="146"/>
      <c r="L924" s="146"/>
    </row>
    <row r="925" spans="2:12" x14ac:dyDescent="0.3">
      <c r="B925" s="146"/>
      <c r="C925" s="146"/>
      <c r="D925" s="146"/>
      <c r="E925" s="146"/>
      <c r="F925" s="146"/>
      <c r="G925" s="146"/>
      <c r="H925" s="146"/>
      <c r="I925" s="146"/>
      <c r="J925" s="146"/>
      <c r="K925" s="146"/>
      <c r="L925" s="146"/>
    </row>
    <row r="926" spans="2:12" x14ac:dyDescent="0.3">
      <c r="B926" s="146"/>
      <c r="C926" s="146"/>
      <c r="D926" s="146"/>
      <c r="E926" s="146"/>
      <c r="F926" s="146"/>
      <c r="G926" s="146"/>
      <c r="H926" s="146"/>
      <c r="I926" s="146"/>
      <c r="J926" s="146"/>
      <c r="K926" s="146"/>
      <c r="L926" s="146"/>
    </row>
    <row r="927" spans="2:12" x14ac:dyDescent="0.3">
      <c r="B927" s="146"/>
      <c r="C927" s="146"/>
      <c r="D927" s="146"/>
      <c r="E927" s="146"/>
      <c r="F927" s="146"/>
      <c r="G927" s="146"/>
      <c r="H927" s="146"/>
      <c r="I927" s="146"/>
      <c r="J927" s="146"/>
      <c r="K927" s="146"/>
      <c r="L927" s="146"/>
    </row>
  </sheetData>
  <sheetProtection password="CCC8" sheet="1" objects="1" scenarios="1" selectLockedCells="1"/>
  <mergeCells count="3">
    <mergeCell ref="F72:H72"/>
    <mergeCell ref="O3:P3"/>
    <mergeCell ref="A1:Q1"/>
  </mergeCells>
  <phoneticPr fontId="5" type="noConversion"/>
  <conditionalFormatting sqref="E12">
    <cfRule type="cellIs" dxfId="26" priority="23" stopIfTrue="1" operator="notBetween">
      <formula>1000</formula>
      <formula>100</formula>
    </cfRule>
    <cfRule type="cellIs" dxfId="25" priority="24" stopIfTrue="1" operator="notBetween">
      <formula>$E$11*0.8</formula>
      <formula>$E$11*1.5</formula>
    </cfRule>
  </conditionalFormatting>
  <conditionalFormatting sqref="E7">
    <cfRule type="cellIs" dxfId="24" priority="25" stopIfTrue="1" operator="notBetween">
      <formula>95</formula>
      <formula>5.5</formula>
    </cfRule>
  </conditionalFormatting>
  <conditionalFormatting sqref="E11">
    <cfRule type="cellIs" dxfId="23" priority="26" stopIfTrue="1" operator="notBetween">
      <formula>1000</formula>
      <formula>100</formula>
    </cfRule>
    <cfRule type="cellIs" dxfId="22" priority="27" stopIfTrue="1" operator="notBetween">
      <formula>$E$12/1.5</formula>
      <formula>$E$12/0.8</formula>
    </cfRule>
  </conditionalFormatting>
  <conditionalFormatting sqref="E30">
    <cfRule type="cellIs" dxfId="21" priority="20" stopIfTrue="1" operator="lessThanOrEqual">
      <formula>0</formula>
    </cfRule>
  </conditionalFormatting>
  <conditionalFormatting sqref="E32">
    <cfRule type="cellIs" dxfId="20" priority="19" stopIfTrue="1" operator="lessThan">
      <formula>$E$31</formula>
    </cfRule>
  </conditionalFormatting>
  <conditionalFormatting sqref="E34">
    <cfRule type="cellIs" dxfId="19" priority="18" stopIfTrue="1" operator="greaterThan">
      <formula>$E$33</formula>
    </cfRule>
  </conditionalFormatting>
  <conditionalFormatting sqref="E39">
    <cfRule type="cellIs" dxfId="18" priority="16" stopIfTrue="1" operator="equal">
      <formula>0</formula>
    </cfRule>
  </conditionalFormatting>
  <conditionalFormatting sqref="E41">
    <cfRule type="cellIs" dxfId="17" priority="15" stopIfTrue="1" operator="lessThan">
      <formula>$E$40</formula>
    </cfRule>
  </conditionalFormatting>
  <conditionalFormatting sqref="E43">
    <cfRule type="cellIs" dxfId="16" priority="13" stopIfTrue="1" operator="greaterThan">
      <formula>$E$42</formula>
    </cfRule>
    <cfRule type="cellIs" dxfId="15" priority="14" stopIfTrue="1" operator="equal">
      <formula>0</formula>
    </cfRule>
  </conditionalFormatting>
  <conditionalFormatting sqref="E50">
    <cfRule type="cellIs" dxfId="14" priority="11" operator="notBetween">
      <formula>95</formula>
      <formula>5.5</formula>
    </cfRule>
  </conditionalFormatting>
  <conditionalFormatting sqref="E51">
    <cfRule type="cellIs" dxfId="13" priority="10" operator="notBetween">
      <formula>90</formula>
      <formula>5.5</formula>
    </cfRule>
  </conditionalFormatting>
  <conditionalFormatting sqref="E9">
    <cfRule type="cellIs" dxfId="12" priority="28" operator="greaterThan">
      <formula>$E$7</formula>
    </cfRule>
    <cfRule type="cellIs" dxfId="11" priority="29" stopIfTrue="1" operator="notBetween">
      <formula>0.8</formula>
      <formula>60</formula>
    </cfRule>
  </conditionalFormatting>
  <conditionalFormatting sqref="E6">
    <cfRule type="cellIs" dxfId="10" priority="7" operator="notBetween">
      <formula>95</formula>
      <formula>5.5</formula>
    </cfRule>
  </conditionalFormatting>
  <conditionalFormatting sqref="E8">
    <cfRule type="cellIs" dxfId="9" priority="6" stopIfTrue="1" operator="notBetween">
      <formula>95</formula>
      <formula>5.5</formula>
    </cfRule>
  </conditionalFormatting>
  <conditionalFormatting sqref="D23:F23">
    <cfRule type="expression" dxfId="8" priority="3">
      <formula>RDSON_sense=1</formula>
    </cfRule>
  </conditionalFormatting>
  <hyperlinks>
    <hyperlink ref="C3" r:id="rId1" xr:uid="{00000000-0004-0000-0000-000000000000}"/>
  </hyperlinks>
  <printOptions horizontalCentered="1" verticalCentered="1"/>
  <pageMargins left="0.1" right="0.17" top="0.25" bottom="0.25" header="0.25" footer="0.25"/>
  <pageSetup scale="46" orientation="portrait" r:id="rId2"/>
  <headerFooter alignWithMargins="0"/>
  <rowBreaks count="1" manualBreakCount="1">
    <brk id="106" max="16" man="1"/>
  </rowBreaks>
  <ignoredErrors>
    <ignoredError sqref="E71" unlockedFormula="1"/>
  </ignoredErrors>
  <drawing r:id="rId3"/>
  <legacyDrawing r:id="rId4"/>
  <legacyDrawingHF r:id="rId5"/>
  <mc:AlternateContent xmlns:mc="http://schemas.openxmlformats.org/markup-compatibility/2006">
    <mc:Choice Requires="x14">
      <controls>
        <mc:AlternateContent xmlns:mc="http://schemas.openxmlformats.org/markup-compatibility/2006">
          <mc:Choice Requires="x14">
            <control shapeId="673566" r:id="rId6" name="Button 798">
              <controlPr locked="0" defaultSize="0" print="0" autoFill="0" autoPict="0" macro="[0]!RESETValues">
                <anchor moveWithCells="1" sizeWithCells="1">
                  <from>
                    <xdr:col>2</xdr:col>
                    <xdr:colOff>393700</xdr:colOff>
                    <xdr:row>73</xdr:row>
                    <xdr:rowOff>12700</xdr:rowOff>
                  </from>
                  <to>
                    <xdr:col>3</xdr:col>
                    <xdr:colOff>12700</xdr:colOff>
                    <xdr:row>76</xdr:row>
                    <xdr:rowOff>19050</xdr:rowOff>
                  </to>
                </anchor>
              </controlPr>
            </control>
          </mc:Choice>
        </mc:AlternateContent>
        <mc:AlternateContent xmlns:mc="http://schemas.openxmlformats.org/markup-compatibility/2006">
          <mc:Choice Requires="x14">
            <control shapeId="673565" r:id="rId7" name="Button 797">
              <controlPr locked="0" defaultSize="0" print="0" autoFill="0" autoPict="0" macro="[0]!FIXValues">
                <anchor moveWithCells="1" sizeWithCells="1">
                  <from>
                    <xdr:col>2</xdr:col>
                    <xdr:colOff>393700</xdr:colOff>
                    <xdr:row>73</xdr:row>
                    <xdr:rowOff>12700</xdr:rowOff>
                  </from>
                  <to>
                    <xdr:col>3</xdr:col>
                    <xdr:colOff>12700</xdr:colOff>
                    <xdr:row>76</xdr:row>
                    <xdr:rowOff>19050</xdr:rowOff>
                  </to>
                </anchor>
              </controlPr>
            </control>
          </mc:Choice>
        </mc:AlternateContent>
        <mc:AlternateContent xmlns:mc="http://schemas.openxmlformats.org/markup-compatibility/2006">
          <mc:Choice Requires="x14">
            <control shapeId="672829" r:id="rId8" name="Spinner 61">
              <controlPr defaultSize="0" autoPict="0">
                <anchor moveWithCells="1" sizeWithCells="1">
                  <from>
                    <xdr:col>5</xdr:col>
                    <xdr:colOff>0</xdr:colOff>
                    <xdr:row>58</xdr:row>
                    <xdr:rowOff>165100</xdr:rowOff>
                  </from>
                  <to>
                    <xdr:col>5</xdr:col>
                    <xdr:colOff>184150</xdr:colOff>
                    <xdr:row>60</xdr:row>
                    <xdr:rowOff>12700</xdr:rowOff>
                  </to>
                </anchor>
              </controlPr>
            </control>
          </mc:Choice>
        </mc:AlternateContent>
        <mc:AlternateContent xmlns:mc="http://schemas.openxmlformats.org/markup-compatibility/2006">
          <mc:Choice Requires="x14">
            <control shapeId="672830" r:id="rId9" name="Spinner 62">
              <controlPr defaultSize="0" autoPict="0">
                <anchor moveWithCells="1" sizeWithCells="1">
                  <from>
                    <xdr:col>5</xdr:col>
                    <xdr:colOff>0</xdr:colOff>
                    <xdr:row>65</xdr:row>
                    <xdr:rowOff>0</xdr:rowOff>
                  </from>
                  <to>
                    <xdr:col>5</xdr:col>
                    <xdr:colOff>184150</xdr:colOff>
                    <xdr:row>66</xdr:row>
                    <xdr:rowOff>0</xdr:rowOff>
                  </to>
                </anchor>
              </controlPr>
            </control>
          </mc:Choice>
        </mc:AlternateContent>
        <mc:AlternateContent xmlns:mc="http://schemas.openxmlformats.org/markup-compatibility/2006">
          <mc:Choice Requires="x14">
            <control shapeId="672831" r:id="rId10" name="Spinner 63">
              <controlPr defaultSize="0" autoPict="0">
                <anchor moveWithCells="1" sizeWithCells="1">
                  <from>
                    <xdr:col>5</xdr:col>
                    <xdr:colOff>0</xdr:colOff>
                    <xdr:row>66</xdr:row>
                    <xdr:rowOff>0</xdr:rowOff>
                  </from>
                  <to>
                    <xdr:col>5</xdr:col>
                    <xdr:colOff>184150</xdr:colOff>
                    <xdr:row>66</xdr:row>
                    <xdr:rowOff>190500</xdr:rowOff>
                  </to>
                </anchor>
              </controlPr>
            </control>
          </mc:Choice>
        </mc:AlternateContent>
        <mc:AlternateContent xmlns:mc="http://schemas.openxmlformats.org/markup-compatibility/2006">
          <mc:Choice Requires="x14">
            <control shapeId="672832" r:id="rId11" name="Spinner 64">
              <controlPr defaultSize="0" autoPict="0">
                <anchor moveWithCells="1" sizeWithCells="1">
                  <from>
                    <xdr:col>5</xdr:col>
                    <xdr:colOff>0</xdr:colOff>
                    <xdr:row>67</xdr:row>
                    <xdr:rowOff>0</xdr:rowOff>
                  </from>
                  <to>
                    <xdr:col>5</xdr:col>
                    <xdr:colOff>184150</xdr:colOff>
                    <xdr:row>67</xdr:row>
                    <xdr:rowOff>190500</xdr:rowOff>
                  </to>
                </anchor>
              </controlPr>
            </control>
          </mc:Choice>
        </mc:AlternateContent>
        <mc:AlternateContent xmlns:mc="http://schemas.openxmlformats.org/markup-compatibility/2006">
          <mc:Choice Requires="x14">
            <control shapeId="672833" r:id="rId12" name="Spinner 65">
              <controlPr defaultSize="0" autoPict="0">
                <anchor moveWithCells="1" sizeWithCells="1">
                  <from>
                    <xdr:col>5</xdr:col>
                    <xdr:colOff>0</xdr:colOff>
                    <xdr:row>68</xdr:row>
                    <xdr:rowOff>0</xdr:rowOff>
                  </from>
                  <to>
                    <xdr:col>5</xdr:col>
                    <xdr:colOff>184150</xdr:colOff>
                    <xdr:row>68</xdr:row>
                    <xdr:rowOff>190500</xdr:rowOff>
                  </to>
                </anchor>
              </controlPr>
            </control>
          </mc:Choice>
        </mc:AlternateContent>
        <mc:AlternateContent xmlns:mc="http://schemas.openxmlformats.org/markup-compatibility/2006">
          <mc:Choice Requires="x14">
            <control shapeId="672871" r:id="rId13" name="Drop Down 103">
              <controlPr defaultSize="0" autoLine="0" autoPict="0">
                <anchor moveWithCells="1">
                  <from>
                    <xdr:col>0</xdr:col>
                    <xdr:colOff>12700</xdr:colOff>
                    <xdr:row>22</xdr:row>
                    <xdr:rowOff>0</xdr:rowOff>
                  </from>
                  <to>
                    <xdr:col>1</xdr:col>
                    <xdr:colOff>527050</xdr:colOff>
                    <xdr:row>23</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2" id="{7A020C5F-9345-43EA-822E-8A1B038AD51E}">
            <xm:f>'Variable Management'!$B$18&lt;140</xm:f>
            <x14:dxf>
              <font>
                <color rgb="FFFF0000"/>
              </font>
            </x14:dxf>
          </x14:cfRule>
          <xm:sqref>E6</xm:sqref>
        </x14:conditionalFormatting>
        <x14:conditionalFormatting xmlns:xm="http://schemas.microsoft.com/office/excel/2006/main">
          <x14:cfRule type="expression" priority="1" id="{A84700B2-9D6A-4FAA-BAEF-6285CF5F700C}">
            <xm:f>'Variable Management'!$B$17&lt;40</xm:f>
            <x14:dxf>
              <font>
                <color rgb="FFFF0000"/>
              </font>
            </x14:dxf>
          </x14:cfRule>
          <xm:sqref>E8</xm:sqref>
        </x14:conditionalFormatting>
        <x14:conditionalFormatting xmlns:xm="http://schemas.microsoft.com/office/excel/2006/main">
          <x14:cfRule type="expression" priority="30" id="{07A203AC-6DB1-4954-A98A-B7A4EB5F4CBB}">
            <xm:f>'Variable Management'!$M$56=1</xm:f>
            <x14:dxf>
              <font>
                <color theme="0"/>
              </font>
            </x14:dxf>
          </x14:cfRule>
          <xm:sqref>D27:F27</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rgb="FF0000FF"/>
  </sheetPr>
  <dimension ref="A1:S455"/>
  <sheetViews>
    <sheetView topLeftCell="A25" zoomScaleNormal="100" workbookViewId="0">
      <selection activeCell="I64" sqref="I64"/>
    </sheetView>
  </sheetViews>
  <sheetFormatPr defaultRowHeight="12.5" x14ac:dyDescent="0.25"/>
  <cols>
    <col min="1" max="1" width="8.7265625" style="359" bestFit="1" customWidth="1"/>
    <col min="2" max="2" width="14.81640625" style="359" customWidth="1"/>
    <col min="3" max="3" width="16.1796875" style="359" bestFit="1" customWidth="1"/>
    <col min="4" max="4" width="20.1796875" style="359" customWidth="1"/>
    <col min="5" max="5" width="17.26953125" style="359" customWidth="1"/>
    <col min="6" max="6" width="20.54296875" style="359" bestFit="1" customWidth="1"/>
    <col min="7" max="7" width="9.7265625" style="359" customWidth="1"/>
    <col min="8" max="8" width="16.1796875" style="359" customWidth="1"/>
    <col min="9" max="9" width="18.7265625" style="359" customWidth="1"/>
    <col min="10" max="10" width="12.7265625" style="359" customWidth="1"/>
    <col min="11" max="11" width="17.1796875" style="359" customWidth="1"/>
    <col min="12" max="12" width="13.81640625" style="359" customWidth="1"/>
    <col min="13" max="13" width="9.1796875" style="360"/>
    <col min="14" max="16" width="9.1796875" style="359"/>
    <col min="17" max="17" width="4.81640625" style="359" customWidth="1"/>
    <col min="18" max="256" width="9.1796875" style="359"/>
    <col min="257" max="257" width="8.7265625" style="359" bestFit="1" customWidth="1"/>
    <col min="258" max="258" width="13.26953125" style="359" customWidth="1"/>
    <col min="259" max="259" width="16.1796875" style="359" bestFit="1" customWidth="1"/>
    <col min="260" max="260" width="23.54296875" style="359" customWidth="1"/>
    <col min="261" max="261" width="17.26953125" style="359" customWidth="1"/>
    <col min="262" max="262" width="20.54296875" style="359" bestFit="1" customWidth="1"/>
    <col min="263" max="263" width="17.1796875" style="359" customWidth="1"/>
    <col min="264" max="264" width="21.81640625" style="359" bestFit="1" customWidth="1"/>
    <col min="265" max="265" width="17.1796875" style="359" bestFit="1" customWidth="1"/>
    <col min="266" max="266" width="18.1796875" style="359" bestFit="1" customWidth="1"/>
    <col min="267" max="267" width="26.453125" style="359" customWidth="1"/>
    <col min="268" max="512" width="9.1796875" style="359"/>
    <col min="513" max="513" width="8.7265625" style="359" bestFit="1" customWidth="1"/>
    <col min="514" max="514" width="13.26953125" style="359" customWidth="1"/>
    <col min="515" max="515" width="16.1796875" style="359" bestFit="1" customWidth="1"/>
    <col min="516" max="516" width="23.54296875" style="359" customWidth="1"/>
    <col min="517" max="517" width="17.26953125" style="359" customWidth="1"/>
    <col min="518" max="518" width="20.54296875" style="359" bestFit="1" customWidth="1"/>
    <col min="519" max="519" width="17.1796875" style="359" customWidth="1"/>
    <col min="520" max="520" width="21.81640625" style="359" bestFit="1" customWidth="1"/>
    <col min="521" max="521" width="17.1796875" style="359" bestFit="1" customWidth="1"/>
    <col min="522" max="522" width="18.1796875" style="359" bestFit="1" customWidth="1"/>
    <col min="523" max="523" width="26.453125" style="359" customWidth="1"/>
    <col min="524" max="768" width="9.1796875" style="359"/>
    <col min="769" max="769" width="8.7265625" style="359" bestFit="1" customWidth="1"/>
    <col min="770" max="770" width="13.26953125" style="359" customWidth="1"/>
    <col min="771" max="771" width="16.1796875" style="359" bestFit="1" customWidth="1"/>
    <col min="772" max="772" width="23.54296875" style="359" customWidth="1"/>
    <col min="773" max="773" width="17.26953125" style="359" customWidth="1"/>
    <col min="774" max="774" width="20.54296875" style="359" bestFit="1" customWidth="1"/>
    <col min="775" max="775" width="17.1796875" style="359" customWidth="1"/>
    <col min="776" max="776" width="21.81640625" style="359" bestFit="1" customWidth="1"/>
    <col min="777" max="777" width="17.1796875" style="359" bestFit="1" customWidth="1"/>
    <col min="778" max="778" width="18.1796875" style="359" bestFit="1" customWidth="1"/>
    <col min="779" max="779" width="26.453125" style="359" customWidth="1"/>
    <col min="780" max="1024" width="9.1796875" style="359"/>
    <col min="1025" max="1025" width="8.7265625" style="359" bestFit="1" customWidth="1"/>
    <col min="1026" max="1026" width="13.26953125" style="359" customWidth="1"/>
    <col min="1027" max="1027" width="16.1796875" style="359" bestFit="1" customWidth="1"/>
    <col min="1028" max="1028" width="23.54296875" style="359" customWidth="1"/>
    <col min="1029" max="1029" width="17.26953125" style="359" customWidth="1"/>
    <col min="1030" max="1030" width="20.54296875" style="359" bestFit="1" customWidth="1"/>
    <col min="1031" max="1031" width="17.1796875" style="359" customWidth="1"/>
    <col min="1032" max="1032" width="21.81640625" style="359" bestFit="1" customWidth="1"/>
    <col min="1033" max="1033" width="17.1796875" style="359" bestFit="1" customWidth="1"/>
    <col min="1034" max="1034" width="18.1796875" style="359" bestFit="1" customWidth="1"/>
    <col min="1035" max="1035" width="26.453125" style="359" customWidth="1"/>
    <col min="1036" max="1280" width="9.1796875" style="359"/>
    <col min="1281" max="1281" width="8.7265625" style="359" bestFit="1" customWidth="1"/>
    <col min="1282" max="1282" width="13.26953125" style="359" customWidth="1"/>
    <col min="1283" max="1283" width="16.1796875" style="359" bestFit="1" customWidth="1"/>
    <col min="1284" max="1284" width="23.54296875" style="359" customWidth="1"/>
    <col min="1285" max="1285" width="17.26953125" style="359" customWidth="1"/>
    <col min="1286" max="1286" width="20.54296875" style="359" bestFit="1" customWidth="1"/>
    <col min="1287" max="1287" width="17.1796875" style="359" customWidth="1"/>
    <col min="1288" max="1288" width="21.81640625" style="359" bestFit="1" customWidth="1"/>
    <col min="1289" max="1289" width="17.1796875" style="359" bestFit="1" customWidth="1"/>
    <col min="1290" max="1290" width="18.1796875" style="359" bestFit="1" customWidth="1"/>
    <col min="1291" max="1291" width="26.453125" style="359" customWidth="1"/>
    <col min="1292" max="1536" width="9.1796875" style="359"/>
    <col min="1537" max="1537" width="8.7265625" style="359" bestFit="1" customWidth="1"/>
    <col min="1538" max="1538" width="13.26953125" style="359" customWidth="1"/>
    <col min="1539" max="1539" width="16.1796875" style="359" bestFit="1" customWidth="1"/>
    <col min="1540" max="1540" width="23.54296875" style="359" customWidth="1"/>
    <col min="1541" max="1541" width="17.26953125" style="359" customWidth="1"/>
    <col min="1542" max="1542" width="20.54296875" style="359" bestFit="1" customWidth="1"/>
    <col min="1543" max="1543" width="17.1796875" style="359" customWidth="1"/>
    <col min="1544" max="1544" width="21.81640625" style="359" bestFit="1" customWidth="1"/>
    <col min="1545" max="1545" width="17.1796875" style="359" bestFit="1" customWidth="1"/>
    <col min="1546" max="1546" width="18.1796875" style="359" bestFit="1" customWidth="1"/>
    <col min="1547" max="1547" width="26.453125" style="359" customWidth="1"/>
    <col min="1548" max="1792" width="9.1796875" style="359"/>
    <col min="1793" max="1793" width="8.7265625" style="359" bestFit="1" customWidth="1"/>
    <col min="1794" max="1794" width="13.26953125" style="359" customWidth="1"/>
    <col min="1795" max="1795" width="16.1796875" style="359" bestFit="1" customWidth="1"/>
    <col min="1796" max="1796" width="23.54296875" style="359" customWidth="1"/>
    <col min="1797" max="1797" width="17.26953125" style="359" customWidth="1"/>
    <col min="1798" max="1798" width="20.54296875" style="359" bestFit="1" customWidth="1"/>
    <col min="1799" max="1799" width="17.1796875" style="359" customWidth="1"/>
    <col min="1800" max="1800" width="21.81640625" style="359" bestFit="1" customWidth="1"/>
    <col min="1801" max="1801" width="17.1796875" style="359" bestFit="1" customWidth="1"/>
    <col min="1802" max="1802" width="18.1796875" style="359" bestFit="1" customWidth="1"/>
    <col min="1803" max="1803" width="26.453125" style="359" customWidth="1"/>
    <col min="1804" max="2048" width="9.1796875" style="359"/>
    <col min="2049" max="2049" width="8.7265625" style="359" bestFit="1" customWidth="1"/>
    <col min="2050" max="2050" width="13.26953125" style="359" customWidth="1"/>
    <col min="2051" max="2051" width="16.1796875" style="359" bestFit="1" customWidth="1"/>
    <col min="2052" max="2052" width="23.54296875" style="359" customWidth="1"/>
    <col min="2053" max="2053" width="17.26953125" style="359" customWidth="1"/>
    <col min="2054" max="2054" width="20.54296875" style="359" bestFit="1" customWidth="1"/>
    <col min="2055" max="2055" width="17.1796875" style="359" customWidth="1"/>
    <col min="2056" max="2056" width="21.81640625" style="359" bestFit="1" customWidth="1"/>
    <col min="2057" max="2057" width="17.1796875" style="359" bestFit="1" customWidth="1"/>
    <col min="2058" max="2058" width="18.1796875" style="359" bestFit="1" customWidth="1"/>
    <col min="2059" max="2059" width="26.453125" style="359" customWidth="1"/>
    <col min="2060" max="2304" width="9.1796875" style="359"/>
    <col min="2305" max="2305" width="8.7265625" style="359" bestFit="1" customWidth="1"/>
    <col min="2306" max="2306" width="13.26953125" style="359" customWidth="1"/>
    <col min="2307" max="2307" width="16.1796875" style="359" bestFit="1" customWidth="1"/>
    <col min="2308" max="2308" width="23.54296875" style="359" customWidth="1"/>
    <col min="2309" max="2309" width="17.26953125" style="359" customWidth="1"/>
    <col min="2310" max="2310" width="20.54296875" style="359" bestFit="1" customWidth="1"/>
    <col min="2311" max="2311" width="17.1796875" style="359" customWidth="1"/>
    <col min="2312" max="2312" width="21.81640625" style="359" bestFit="1" customWidth="1"/>
    <col min="2313" max="2313" width="17.1796875" style="359" bestFit="1" customWidth="1"/>
    <col min="2314" max="2314" width="18.1796875" style="359" bestFit="1" customWidth="1"/>
    <col min="2315" max="2315" width="26.453125" style="359" customWidth="1"/>
    <col min="2316" max="2560" width="9.1796875" style="359"/>
    <col min="2561" max="2561" width="8.7265625" style="359" bestFit="1" customWidth="1"/>
    <col min="2562" max="2562" width="13.26953125" style="359" customWidth="1"/>
    <col min="2563" max="2563" width="16.1796875" style="359" bestFit="1" customWidth="1"/>
    <col min="2564" max="2564" width="23.54296875" style="359" customWidth="1"/>
    <col min="2565" max="2565" width="17.26953125" style="359" customWidth="1"/>
    <col min="2566" max="2566" width="20.54296875" style="359" bestFit="1" customWidth="1"/>
    <col min="2567" max="2567" width="17.1796875" style="359" customWidth="1"/>
    <col min="2568" max="2568" width="21.81640625" style="359" bestFit="1" customWidth="1"/>
    <col min="2569" max="2569" width="17.1796875" style="359" bestFit="1" customWidth="1"/>
    <col min="2570" max="2570" width="18.1796875" style="359" bestFit="1" customWidth="1"/>
    <col min="2571" max="2571" width="26.453125" style="359" customWidth="1"/>
    <col min="2572" max="2816" width="9.1796875" style="359"/>
    <col min="2817" max="2817" width="8.7265625" style="359" bestFit="1" customWidth="1"/>
    <col min="2818" max="2818" width="13.26953125" style="359" customWidth="1"/>
    <col min="2819" max="2819" width="16.1796875" style="359" bestFit="1" customWidth="1"/>
    <col min="2820" max="2820" width="23.54296875" style="359" customWidth="1"/>
    <col min="2821" max="2821" width="17.26953125" style="359" customWidth="1"/>
    <col min="2822" max="2822" width="20.54296875" style="359" bestFit="1" customWidth="1"/>
    <col min="2823" max="2823" width="17.1796875" style="359" customWidth="1"/>
    <col min="2824" max="2824" width="21.81640625" style="359" bestFit="1" customWidth="1"/>
    <col min="2825" max="2825" width="17.1796875" style="359" bestFit="1" customWidth="1"/>
    <col min="2826" max="2826" width="18.1796875" style="359" bestFit="1" customWidth="1"/>
    <col min="2827" max="2827" width="26.453125" style="359" customWidth="1"/>
    <col min="2828" max="3072" width="9.1796875" style="359"/>
    <col min="3073" max="3073" width="8.7265625" style="359" bestFit="1" customWidth="1"/>
    <col min="3074" max="3074" width="13.26953125" style="359" customWidth="1"/>
    <col min="3075" max="3075" width="16.1796875" style="359" bestFit="1" customWidth="1"/>
    <col min="3076" max="3076" width="23.54296875" style="359" customWidth="1"/>
    <col min="3077" max="3077" width="17.26953125" style="359" customWidth="1"/>
    <col min="3078" max="3078" width="20.54296875" style="359" bestFit="1" customWidth="1"/>
    <col min="3079" max="3079" width="17.1796875" style="359" customWidth="1"/>
    <col min="3080" max="3080" width="21.81640625" style="359" bestFit="1" customWidth="1"/>
    <col min="3081" max="3081" width="17.1796875" style="359" bestFit="1" customWidth="1"/>
    <col min="3082" max="3082" width="18.1796875" style="359" bestFit="1" customWidth="1"/>
    <col min="3083" max="3083" width="26.453125" style="359" customWidth="1"/>
    <col min="3084" max="3328" width="9.1796875" style="359"/>
    <col min="3329" max="3329" width="8.7265625" style="359" bestFit="1" customWidth="1"/>
    <col min="3330" max="3330" width="13.26953125" style="359" customWidth="1"/>
    <col min="3331" max="3331" width="16.1796875" style="359" bestFit="1" customWidth="1"/>
    <col min="3332" max="3332" width="23.54296875" style="359" customWidth="1"/>
    <col min="3333" max="3333" width="17.26953125" style="359" customWidth="1"/>
    <col min="3334" max="3334" width="20.54296875" style="359" bestFit="1" customWidth="1"/>
    <col min="3335" max="3335" width="17.1796875" style="359" customWidth="1"/>
    <col min="3336" max="3336" width="21.81640625" style="359" bestFit="1" customWidth="1"/>
    <col min="3337" max="3337" width="17.1796875" style="359" bestFit="1" customWidth="1"/>
    <col min="3338" max="3338" width="18.1796875" style="359" bestFit="1" customWidth="1"/>
    <col min="3339" max="3339" width="26.453125" style="359" customWidth="1"/>
    <col min="3340" max="3584" width="9.1796875" style="359"/>
    <col min="3585" max="3585" width="8.7265625" style="359" bestFit="1" customWidth="1"/>
    <col min="3586" max="3586" width="13.26953125" style="359" customWidth="1"/>
    <col min="3587" max="3587" width="16.1796875" style="359" bestFit="1" customWidth="1"/>
    <col min="3588" max="3588" width="23.54296875" style="359" customWidth="1"/>
    <col min="3589" max="3589" width="17.26953125" style="359" customWidth="1"/>
    <col min="3590" max="3590" width="20.54296875" style="359" bestFit="1" customWidth="1"/>
    <col min="3591" max="3591" width="17.1796875" style="359" customWidth="1"/>
    <col min="3592" max="3592" width="21.81640625" style="359" bestFit="1" customWidth="1"/>
    <col min="3593" max="3593" width="17.1796875" style="359" bestFit="1" customWidth="1"/>
    <col min="3594" max="3594" width="18.1796875" style="359" bestFit="1" customWidth="1"/>
    <col min="3595" max="3595" width="26.453125" style="359" customWidth="1"/>
    <col min="3596" max="3840" width="9.1796875" style="359"/>
    <col min="3841" max="3841" width="8.7265625" style="359" bestFit="1" customWidth="1"/>
    <col min="3842" max="3842" width="13.26953125" style="359" customWidth="1"/>
    <col min="3843" max="3843" width="16.1796875" style="359" bestFit="1" customWidth="1"/>
    <col min="3844" max="3844" width="23.54296875" style="359" customWidth="1"/>
    <col min="3845" max="3845" width="17.26953125" style="359" customWidth="1"/>
    <col min="3846" max="3846" width="20.54296875" style="359" bestFit="1" customWidth="1"/>
    <col min="3847" max="3847" width="17.1796875" style="359" customWidth="1"/>
    <col min="3848" max="3848" width="21.81640625" style="359" bestFit="1" customWidth="1"/>
    <col min="3849" max="3849" width="17.1796875" style="359" bestFit="1" customWidth="1"/>
    <col min="3850" max="3850" width="18.1796875" style="359" bestFit="1" customWidth="1"/>
    <col min="3851" max="3851" width="26.453125" style="359" customWidth="1"/>
    <col min="3852" max="4096" width="9.1796875" style="359"/>
    <col min="4097" max="4097" width="8.7265625" style="359" bestFit="1" customWidth="1"/>
    <col min="4098" max="4098" width="13.26953125" style="359" customWidth="1"/>
    <col min="4099" max="4099" width="16.1796875" style="359" bestFit="1" customWidth="1"/>
    <col min="4100" max="4100" width="23.54296875" style="359" customWidth="1"/>
    <col min="4101" max="4101" width="17.26953125" style="359" customWidth="1"/>
    <col min="4102" max="4102" width="20.54296875" style="359" bestFit="1" customWidth="1"/>
    <col min="4103" max="4103" width="17.1796875" style="359" customWidth="1"/>
    <col min="4104" max="4104" width="21.81640625" style="359" bestFit="1" customWidth="1"/>
    <col min="4105" max="4105" width="17.1796875" style="359" bestFit="1" customWidth="1"/>
    <col min="4106" max="4106" width="18.1796875" style="359" bestFit="1" customWidth="1"/>
    <col min="4107" max="4107" width="26.453125" style="359" customWidth="1"/>
    <col min="4108" max="4352" width="9.1796875" style="359"/>
    <col min="4353" max="4353" width="8.7265625" style="359" bestFit="1" customWidth="1"/>
    <col min="4354" max="4354" width="13.26953125" style="359" customWidth="1"/>
    <col min="4355" max="4355" width="16.1796875" style="359" bestFit="1" customWidth="1"/>
    <col min="4356" max="4356" width="23.54296875" style="359" customWidth="1"/>
    <col min="4357" max="4357" width="17.26953125" style="359" customWidth="1"/>
    <col min="4358" max="4358" width="20.54296875" style="359" bestFit="1" customWidth="1"/>
    <col min="4359" max="4359" width="17.1796875" style="359" customWidth="1"/>
    <col min="4360" max="4360" width="21.81640625" style="359" bestFit="1" customWidth="1"/>
    <col min="4361" max="4361" width="17.1796875" style="359" bestFit="1" customWidth="1"/>
    <col min="4362" max="4362" width="18.1796875" style="359" bestFit="1" customWidth="1"/>
    <col min="4363" max="4363" width="26.453125" style="359" customWidth="1"/>
    <col min="4364" max="4608" width="9.1796875" style="359"/>
    <col min="4609" max="4609" width="8.7265625" style="359" bestFit="1" customWidth="1"/>
    <col min="4610" max="4610" width="13.26953125" style="359" customWidth="1"/>
    <col min="4611" max="4611" width="16.1796875" style="359" bestFit="1" customWidth="1"/>
    <col min="4612" max="4612" width="23.54296875" style="359" customWidth="1"/>
    <col min="4613" max="4613" width="17.26953125" style="359" customWidth="1"/>
    <col min="4614" max="4614" width="20.54296875" style="359" bestFit="1" customWidth="1"/>
    <col min="4615" max="4615" width="17.1796875" style="359" customWidth="1"/>
    <col min="4616" max="4616" width="21.81640625" style="359" bestFit="1" customWidth="1"/>
    <col min="4617" max="4617" width="17.1796875" style="359" bestFit="1" customWidth="1"/>
    <col min="4618" max="4618" width="18.1796875" style="359" bestFit="1" customWidth="1"/>
    <col min="4619" max="4619" width="26.453125" style="359" customWidth="1"/>
    <col min="4620" max="4864" width="9.1796875" style="359"/>
    <col min="4865" max="4865" width="8.7265625" style="359" bestFit="1" customWidth="1"/>
    <col min="4866" max="4866" width="13.26953125" style="359" customWidth="1"/>
    <col min="4867" max="4867" width="16.1796875" style="359" bestFit="1" customWidth="1"/>
    <col min="4868" max="4868" width="23.54296875" style="359" customWidth="1"/>
    <col min="4869" max="4869" width="17.26953125" style="359" customWidth="1"/>
    <col min="4870" max="4870" width="20.54296875" style="359" bestFit="1" customWidth="1"/>
    <col min="4871" max="4871" width="17.1796875" style="359" customWidth="1"/>
    <col min="4872" max="4872" width="21.81640625" style="359" bestFit="1" customWidth="1"/>
    <col min="4873" max="4873" width="17.1796875" style="359" bestFit="1" customWidth="1"/>
    <col min="4874" max="4874" width="18.1796875" style="359" bestFit="1" customWidth="1"/>
    <col min="4875" max="4875" width="26.453125" style="359" customWidth="1"/>
    <col min="4876" max="5120" width="9.1796875" style="359"/>
    <col min="5121" max="5121" width="8.7265625" style="359" bestFit="1" customWidth="1"/>
    <col min="5122" max="5122" width="13.26953125" style="359" customWidth="1"/>
    <col min="5123" max="5123" width="16.1796875" style="359" bestFit="1" customWidth="1"/>
    <col min="5124" max="5124" width="23.54296875" style="359" customWidth="1"/>
    <col min="5125" max="5125" width="17.26953125" style="359" customWidth="1"/>
    <col min="5126" max="5126" width="20.54296875" style="359" bestFit="1" customWidth="1"/>
    <col min="5127" max="5127" width="17.1796875" style="359" customWidth="1"/>
    <col min="5128" max="5128" width="21.81640625" style="359" bestFit="1" customWidth="1"/>
    <col min="5129" max="5129" width="17.1796875" style="359" bestFit="1" customWidth="1"/>
    <col min="5130" max="5130" width="18.1796875" style="359" bestFit="1" customWidth="1"/>
    <col min="5131" max="5131" width="26.453125" style="359" customWidth="1"/>
    <col min="5132" max="5376" width="9.1796875" style="359"/>
    <col min="5377" max="5377" width="8.7265625" style="359" bestFit="1" customWidth="1"/>
    <col min="5378" max="5378" width="13.26953125" style="359" customWidth="1"/>
    <col min="5379" max="5379" width="16.1796875" style="359" bestFit="1" customWidth="1"/>
    <col min="5380" max="5380" width="23.54296875" style="359" customWidth="1"/>
    <col min="5381" max="5381" width="17.26953125" style="359" customWidth="1"/>
    <col min="5382" max="5382" width="20.54296875" style="359" bestFit="1" customWidth="1"/>
    <col min="5383" max="5383" width="17.1796875" style="359" customWidth="1"/>
    <col min="5384" max="5384" width="21.81640625" style="359" bestFit="1" customWidth="1"/>
    <col min="5385" max="5385" width="17.1796875" style="359" bestFit="1" customWidth="1"/>
    <col min="5386" max="5386" width="18.1796875" style="359" bestFit="1" customWidth="1"/>
    <col min="5387" max="5387" width="26.453125" style="359" customWidth="1"/>
    <col min="5388" max="5632" width="9.1796875" style="359"/>
    <col min="5633" max="5633" width="8.7265625" style="359" bestFit="1" customWidth="1"/>
    <col min="5634" max="5634" width="13.26953125" style="359" customWidth="1"/>
    <col min="5635" max="5635" width="16.1796875" style="359" bestFit="1" customWidth="1"/>
    <col min="5636" max="5636" width="23.54296875" style="359" customWidth="1"/>
    <col min="5637" max="5637" width="17.26953125" style="359" customWidth="1"/>
    <col min="5638" max="5638" width="20.54296875" style="359" bestFit="1" customWidth="1"/>
    <col min="5639" max="5639" width="17.1796875" style="359" customWidth="1"/>
    <col min="5640" max="5640" width="21.81640625" style="359" bestFit="1" customWidth="1"/>
    <col min="5641" max="5641" width="17.1796875" style="359" bestFit="1" customWidth="1"/>
    <col min="5642" max="5642" width="18.1796875" style="359" bestFit="1" customWidth="1"/>
    <col min="5643" max="5643" width="26.453125" style="359" customWidth="1"/>
    <col min="5644" max="5888" width="9.1796875" style="359"/>
    <col min="5889" max="5889" width="8.7265625" style="359" bestFit="1" customWidth="1"/>
    <col min="5890" max="5890" width="13.26953125" style="359" customWidth="1"/>
    <col min="5891" max="5891" width="16.1796875" style="359" bestFit="1" customWidth="1"/>
    <col min="5892" max="5892" width="23.54296875" style="359" customWidth="1"/>
    <col min="5893" max="5893" width="17.26953125" style="359" customWidth="1"/>
    <col min="5894" max="5894" width="20.54296875" style="359" bestFit="1" customWidth="1"/>
    <col min="5895" max="5895" width="17.1796875" style="359" customWidth="1"/>
    <col min="5896" max="5896" width="21.81640625" style="359" bestFit="1" customWidth="1"/>
    <col min="5897" max="5897" width="17.1796875" style="359" bestFit="1" customWidth="1"/>
    <col min="5898" max="5898" width="18.1796875" style="359" bestFit="1" customWidth="1"/>
    <col min="5899" max="5899" width="26.453125" style="359" customWidth="1"/>
    <col min="5900" max="6144" width="9.1796875" style="359"/>
    <col min="6145" max="6145" width="8.7265625" style="359" bestFit="1" customWidth="1"/>
    <col min="6146" max="6146" width="13.26953125" style="359" customWidth="1"/>
    <col min="6147" max="6147" width="16.1796875" style="359" bestFit="1" customWidth="1"/>
    <col min="6148" max="6148" width="23.54296875" style="359" customWidth="1"/>
    <col min="6149" max="6149" width="17.26953125" style="359" customWidth="1"/>
    <col min="6150" max="6150" width="20.54296875" style="359" bestFit="1" customWidth="1"/>
    <col min="6151" max="6151" width="17.1796875" style="359" customWidth="1"/>
    <col min="6152" max="6152" width="21.81640625" style="359" bestFit="1" customWidth="1"/>
    <col min="6153" max="6153" width="17.1796875" style="359" bestFit="1" customWidth="1"/>
    <col min="6154" max="6154" width="18.1796875" style="359" bestFit="1" customWidth="1"/>
    <col min="6155" max="6155" width="26.453125" style="359" customWidth="1"/>
    <col min="6156" max="6400" width="9.1796875" style="359"/>
    <col min="6401" max="6401" width="8.7265625" style="359" bestFit="1" customWidth="1"/>
    <col min="6402" max="6402" width="13.26953125" style="359" customWidth="1"/>
    <col min="6403" max="6403" width="16.1796875" style="359" bestFit="1" customWidth="1"/>
    <col min="6404" max="6404" width="23.54296875" style="359" customWidth="1"/>
    <col min="6405" max="6405" width="17.26953125" style="359" customWidth="1"/>
    <col min="6406" max="6406" width="20.54296875" style="359" bestFit="1" customWidth="1"/>
    <col min="6407" max="6407" width="17.1796875" style="359" customWidth="1"/>
    <col min="6408" max="6408" width="21.81640625" style="359" bestFit="1" customWidth="1"/>
    <col min="6409" max="6409" width="17.1796875" style="359" bestFit="1" customWidth="1"/>
    <col min="6410" max="6410" width="18.1796875" style="359" bestFit="1" customWidth="1"/>
    <col min="6411" max="6411" width="26.453125" style="359" customWidth="1"/>
    <col min="6412" max="6656" width="9.1796875" style="359"/>
    <col min="6657" max="6657" width="8.7265625" style="359" bestFit="1" customWidth="1"/>
    <col min="6658" max="6658" width="13.26953125" style="359" customWidth="1"/>
    <col min="6659" max="6659" width="16.1796875" style="359" bestFit="1" customWidth="1"/>
    <col min="6660" max="6660" width="23.54296875" style="359" customWidth="1"/>
    <col min="6661" max="6661" width="17.26953125" style="359" customWidth="1"/>
    <col min="6662" max="6662" width="20.54296875" style="359" bestFit="1" customWidth="1"/>
    <col min="6663" max="6663" width="17.1796875" style="359" customWidth="1"/>
    <col min="6664" max="6664" width="21.81640625" style="359" bestFit="1" customWidth="1"/>
    <col min="6665" max="6665" width="17.1796875" style="359" bestFit="1" customWidth="1"/>
    <col min="6666" max="6666" width="18.1796875" style="359" bestFit="1" customWidth="1"/>
    <col min="6667" max="6667" width="26.453125" style="359" customWidth="1"/>
    <col min="6668" max="6912" width="9.1796875" style="359"/>
    <col min="6913" max="6913" width="8.7265625" style="359" bestFit="1" customWidth="1"/>
    <col min="6914" max="6914" width="13.26953125" style="359" customWidth="1"/>
    <col min="6915" max="6915" width="16.1796875" style="359" bestFit="1" customWidth="1"/>
    <col min="6916" max="6916" width="23.54296875" style="359" customWidth="1"/>
    <col min="6917" max="6917" width="17.26953125" style="359" customWidth="1"/>
    <col min="6918" max="6918" width="20.54296875" style="359" bestFit="1" customWidth="1"/>
    <col min="6919" max="6919" width="17.1796875" style="359" customWidth="1"/>
    <col min="6920" max="6920" width="21.81640625" style="359" bestFit="1" customWidth="1"/>
    <col min="6921" max="6921" width="17.1796875" style="359" bestFit="1" customWidth="1"/>
    <col min="6922" max="6922" width="18.1796875" style="359" bestFit="1" customWidth="1"/>
    <col min="6923" max="6923" width="26.453125" style="359" customWidth="1"/>
    <col min="6924" max="7168" width="9.1796875" style="359"/>
    <col min="7169" max="7169" width="8.7265625" style="359" bestFit="1" customWidth="1"/>
    <col min="7170" max="7170" width="13.26953125" style="359" customWidth="1"/>
    <col min="7171" max="7171" width="16.1796875" style="359" bestFit="1" customWidth="1"/>
    <col min="7172" max="7172" width="23.54296875" style="359" customWidth="1"/>
    <col min="7173" max="7173" width="17.26953125" style="359" customWidth="1"/>
    <col min="7174" max="7174" width="20.54296875" style="359" bestFit="1" customWidth="1"/>
    <col min="7175" max="7175" width="17.1796875" style="359" customWidth="1"/>
    <col min="7176" max="7176" width="21.81640625" style="359" bestFit="1" customWidth="1"/>
    <col min="7177" max="7177" width="17.1796875" style="359" bestFit="1" customWidth="1"/>
    <col min="7178" max="7178" width="18.1796875" style="359" bestFit="1" customWidth="1"/>
    <col min="7179" max="7179" width="26.453125" style="359" customWidth="1"/>
    <col min="7180" max="7424" width="9.1796875" style="359"/>
    <col min="7425" max="7425" width="8.7265625" style="359" bestFit="1" customWidth="1"/>
    <col min="7426" max="7426" width="13.26953125" style="359" customWidth="1"/>
    <col min="7427" max="7427" width="16.1796875" style="359" bestFit="1" customWidth="1"/>
    <col min="7428" max="7428" width="23.54296875" style="359" customWidth="1"/>
    <col min="7429" max="7429" width="17.26953125" style="359" customWidth="1"/>
    <col min="7430" max="7430" width="20.54296875" style="359" bestFit="1" customWidth="1"/>
    <col min="7431" max="7431" width="17.1796875" style="359" customWidth="1"/>
    <col min="7432" max="7432" width="21.81640625" style="359" bestFit="1" customWidth="1"/>
    <col min="7433" max="7433" width="17.1796875" style="359" bestFit="1" customWidth="1"/>
    <col min="7434" max="7434" width="18.1796875" style="359" bestFit="1" customWidth="1"/>
    <col min="7435" max="7435" width="26.453125" style="359" customWidth="1"/>
    <col min="7436" max="7680" width="9.1796875" style="359"/>
    <col min="7681" max="7681" width="8.7265625" style="359" bestFit="1" customWidth="1"/>
    <col min="7682" max="7682" width="13.26953125" style="359" customWidth="1"/>
    <col min="7683" max="7683" width="16.1796875" style="359" bestFit="1" customWidth="1"/>
    <col min="7684" max="7684" width="23.54296875" style="359" customWidth="1"/>
    <col min="7685" max="7685" width="17.26953125" style="359" customWidth="1"/>
    <col min="7686" max="7686" width="20.54296875" style="359" bestFit="1" customWidth="1"/>
    <col min="7687" max="7687" width="17.1796875" style="359" customWidth="1"/>
    <col min="7688" max="7688" width="21.81640625" style="359" bestFit="1" customWidth="1"/>
    <col min="7689" max="7689" width="17.1796875" style="359" bestFit="1" customWidth="1"/>
    <col min="7690" max="7690" width="18.1796875" style="359" bestFit="1" customWidth="1"/>
    <col min="7691" max="7691" width="26.453125" style="359" customWidth="1"/>
    <col min="7692" max="7936" width="9.1796875" style="359"/>
    <col min="7937" max="7937" width="8.7265625" style="359" bestFit="1" customWidth="1"/>
    <col min="7938" max="7938" width="13.26953125" style="359" customWidth="1"/>
    <col min="7939" max="7939" width="16.1796875" style="359" bestFit="1" customWidth="1"/>
    <col min="7940" max="7940" width="23.54296875" style="359" customWidth="1"/>
    <col min="7941" max="7941" width="17.26953125" style="359" customWidth="1"/>
    <col min="7942" max="7942" width="20.54296875" style="359" bestFit="1" customWidth="1"/>
    <col min="7943" max="7943" width="17.1796875" style="359" customWidth="1"/>
    <col min="7944" max="7944" width="21.81640625" style="359" bestFit="1" customWidth="1"/>
    <col min="7945" max="7945" width="17.1796875" style="359" bestFit="1" customWidth="1"/>
    <col min="7946" max="7946" width="18.1796875" style="359" bestFit="1" customWidth="1"/>
    <col min="7947" max="7947" width="26.453125" style="359" customWidth="1"/>
    <col min="7948" max="8192" width="9.1796875" style="359"/>
    <col min="8193" max="8193" width="8.7265625" style="359" bestFit="1" customWidth="1"/>
    <col min="8194" max="8194" width="13.26953125" style="359" customWidth="1"/>
    <col min="8195" max="8195" width="16.1796875" style="359" bestFit="1" customWidth="1"/>
    <col min="8196" max="8196" width="23.54296875" style="359" customWidth="1"/>
    <col min="8197" max="8197" width="17.26953125" style="359" customWidth="1"/>
    <col min="8198" max="8198" width="20.54296875" style="359" bestFit="1" customWidth="1"/>
    <col min="8199" max="8199" width="17.1796875" style="359" customWidth="1"/>
    <col min="8200" max="8200" width="21.81640625" style="359" bestFit="1" customWidth="1"/>
    <col min="8201" max="8201" width="17.1796875" style="359" bestFit="1" customWidth="1"/>
    <col min="8202" max="8202" width="18.1796875" style="359" bestFit="1" customWidth="1"/>
    <col min="8203" max="8203" width="26.453125" style="359" customWidth="1"/>
    <col min="8204" max="8448" width="9.1796875" style="359"/>
    <col min="8449" max="8449" width="8.7265625" style="359" bestFit="1" customWidth="1"/>
    <col min="8450" max="8450" width="13.26953125" style="359" customWidth="1"/>
    <col min="8451" max="8451" width="16.1796875" style="359" bestFit="1" customWidth="1"/>
    <col min="8452" max="8452" width="23.54296875" style="359" customWidth="1"/>
    <col min="8453" max="8453" width="17.26953125" style="359" customWidth="1"/>
    <col min="8454" max="8454" width="20.54296875" style="359" bestFit="1" customWidth="1"/>
    <col min="8455" max="8455" width="17.1796875" style="359" customWidth="1"/>
    <col min="8456" max="8456" width="21.81640625" style="359" bestFit="1" customWidth="1"/>
    <col min="8457" max="8457" width="17.1796875" style="359" bestFit="1" customWidth="1"/>
    <col min="8458" max="8458" width="18.1796875" style="359" bestFit="1" customWidth="1"/>
    <col min="8459" max="8459" width="26.453125" style="359" customWidth="1"/>
    <col min="8460" max="8704" width="9.1796875" style="359"/>
    <col min="8705" max="8705" width="8.7265625" style="359" bestFit="1" customWidth="1"/>
    <col min="8706" max="8706" width="13.26953125" style="359" customWidth="1"/>
    <col min="8707" max="8707" width="16.1796875" style="359" bestFit="1" customWidth="1"/>
    <col min="8708" max="8708" width="23.54296875" style="359" customWidth="1"/>
    <col min="8709" max="8709" width="17.26953125" style="359" customWidth="1"/>
    <col min="8710" max="8710" width="20.54296875" style="359" bestFit="1" customWidth="1"/>
    <col min="8711" max="8711" width="17.1796875" style="359" customWidth="1"/>
    <col min="8712" max="8712" width="21.81640625" style="359" bestFit="1" customWidth="1"/>
    <col min="8713" max="8713" width="17.1796875" style="359" bestFit="1" customWidth="1"/>
    <col min="8714" max="8714" width="18.1796875" style="359" bestFit="1" customWidth="1"/>
    <col min="8715" max="8715" width="26.453125" style="359" customWidth="1"/>
    <col min="8716" max="8960" width="9.1796875" style="359"/>
    <col min="8961" max="8961" width="8.7265625" style="359" bestFit="1" customWidth="1"/>
    <col min="8962" max="8962" width="13.26953125" style="359" customWidth="1"/>
    <col min="8963" max="8963" width="16.1796875" style="359" bestFit="1" customWidth="1"/>
    <col min="8964" max="8964" width="23.54296875" style="359" customWidth="1"/>
    <col min="8965" max="8965" width="17.26953125" style="359" customWidth="1"/>
    <col min="8966" max="8966" width="20.54296875" style="359" bestFit="1" customWidth="1"/>
    <col min="8967" max="8967" width="17.1796875" style="359" customWidth="1"/>
    <col min="8968" max="8968" width="21.81640625" style="359" bestFit="1" customWidth="1"/>
    <col min="8969" max="8969" width="17.1796875" style="359" bestFit="1" customWidth="1"/>
    <col min="8970" max="8970" width="18.1796875" style="359" bestFit="1" customWidth="1"/>
    <col min="8971" max="8971" width="26.453125" style="359" customWidth="1"/>
    <col min="8972" max="9216" width="9.1796875" style="359"/>
    <col min="9217" max="9217" width="8.7265625" style="359" bestFit="1" customWidth="1"/>
    <col min="9218" max="9218" width="13.26953125" style="359" customWidth="1"/>
    <col min="9219" max="9219" width="16.1796875" style="359" bestFit="1" customWidth="1"/>
    <col min="9220" max="9220" width="23.54296875" style="359" customWidth="1"/>
    <col min="9221" max="9221" width="17.26953125" style="359" customWidth="1"/>
    <col min="9222" max="9222" width="20.54296875" style="359" bestFit="1" customWidth="1"/>
    <col min="9223" max="9223" width="17.1796875" style="359" customWidth="1"/>
    <col min="9224" max="9224" width="21.81640625" style="359" bestFit="1" customWidth="1"/>
    <col min="9225" max="9225" width="17.1796875" style="359" bestFit="1" customWidth="1"/>
    <col min="9226" max="9226" width="18.1796875" style="359" bestFit="1" customWidth="1"/>
    <col min="9227" max="9227" width="26.453125" style="359" customWidth="1"/>
    <col min="9228" max="9472" width="9.1796875" style="359"/>
    <col min="9473" max="9473" width="8.7265625" style="359" bestFit="1" customWidth="1"/>
    <col min="9474" max="9474" width="13.26953125" style="359" customWidth="1"/>
    <col min="9475" max="9475" width="16.1796875" style="359" bestFit="1" customWidth="1"/>
    <col min="9476" max="9476" width="23.54296875" style="359" customWidth="1"/>
    <col min="9477" max="9477" width="17.26953125" style="359" customWidth="1"/>
    <col min="9478" max="9478" width="20.54296875" style="359" bestFit="1" customWidth="1"/>
    <col min="9479" max="9479" width="17.1796875" style="359" customWidth="1"/>
    <col min="9480" max="9480" width="21.81640625" style="359" bestFit="1" customWidth="1"/>
    <col min="9481" max="9481" width="17.1796875" style="359" bestFit="1" customWidth="1"/>
    <col min="9482" max="9482" width="18.1796875" style="359" bestFit="1" customWidth="1"/>
    <col min="9483" max="9483" width="26.453125" style="359" customWidth="1"/>
    <col min="9484" max="9728" width="9.1796875" style="359"/>
    <col min="9729" max="9729" width="8.7265625" style="359" bestFit="1" customWidth="1"/>
    <col min="9730" max="9730" width="13.26953125" style="359" customWidth="1"/>
    <col min="9731" max="9731" width="16.1796875" style="359" bestFit="1" customWidth="1"/>
    <col min="9732" max="9732" width="23.54296875" style="359" customWidth="1"/>
    <col min="9733" max="9733" width="17.26953125" style="359" customWidth="1"/>
    <col min="9734" max="9734" width="20.54296875" style="359" bestFit="1" customWidth="1"/>
    <col min="9735" max="9735" width="17.1796875" style="359" customWidth="1"/>
    <col min="9736" max="9736" width="21.81640625" style="359" bestFit="1" customWidth="1"/>
    <col min="9737" max="9737" width="17.1796875" style="359" bestFit="1" customWidth="1"/>
    <col min="9738" max="9738" width="18.1796875" style="359" bestFit="1" customWidth="1"/>
    <col min="9739" max="9739" width="26.453125" style="359" customWidth="1"/>
    <col min="9740" max="9984" width="9.1796875" style="359"/>
    <col min="9985" max="9985" width="8.7265625" style="359" bestFit="1" customWidth="1"/>
    <col min="9986" max="9986" width="13.26953125" style="359" customWidth="1"/>
    <col min="9987" max="9987" width="16.1796875" style="359" bestFit="1" customWidth="1"/>
    <col min="9988" max="9988" width="23.54296875" style="359" customWidth="1"/>
    <col min="9989" max="9989" width="17.26953125" style="359" customWidth="1"/>
    <col min="9990" max="9990" width="20.54296875" style="359" bestFit="1" customWidth="1"/>
    <col min="9991" max="9991" width="17.1796875" style="359" customWidth="1"/>
    <col min="9992" max="9992" width="21.81640625" style="359" bestFit="1" customWidth="1"/>
    <col min="9993" max="9993" width="17.1796875" style="359" bestFit="1" customWidth="1"/>
    <col min="9994" max="9994" width="18.1796875" style="359" bestFit="1" customWidth="1"/>
    <col min="9995" max="9995" width="26.453125" style="359" customWidth="1"/>
    <col min="9996" max="10240" width="9.1796875" style="359"/>
    <col min="10241" max="10241" width="8.7265625" style="359" bestFit="1" customWidth="1"/>
    <col min="10242" max="10242" width="13.26953125" style="359" customWidth="1"/>
    <col min="10243" max="10243" width="16.1796875" style="359" bestFit="1" customWidth="1"/>
    <col min="10244" max="10244" width="23.54296875" style="359" customWidth="1"/>
    <col min="10245" max="10245" width="17.26953125" style="359" customWidth="1"/>
    <col min="10246" max="10246" width="20.54296875" style="359" bestFit="1" customWidth="1"/>
    <col min="10247" max="10247" width="17.1796875" style="359" customWidth="1"/>
    <col min="10248" max="10248" width="21.81640625" style="359" bestFit="1" customWidth="1"/>
    <col min="10249" max="10249" width="17.1796875" style="359" bestFit="1" customWidth="1"/>
    <col min="10250" max="10250" width="18.1796875" style="359" bestFit="1" customWidth="1"/>
    <col min="10251" max="10251" width="26.453125" style="359" customWidth="1"/>
    <col min="10252" max="10496" width="9.1796875" style="359"/>
    <col min="10497" max="10497" width="8.7265625" style="359" bestFit="1" customWidth="1"/>
    <col min="10498" max="10498" width="13.26953125" style="359" customWidth="1"/>
    <col min="10499" max="10499" width="16.1796875" style="359" bestFit="1" customWidth="1"/>
    <col min="10500" max="10500" width="23.54296875" style="359" customWidth="1"/>
    <col min="10501" max="10501" width="17.26953125" style="359" customWidth="1"/>
    <col min="10502" max="10502" width="20.54296875" style="359" bestFit="1" customWidth="1"/>
    <col min="10503" max="10503" width="17.1796875" style="359" customWidth="1"/>
    <col min="10504" max="10504" width="21.81640625" style="359" bestFit="1" customWidth="1"/>
    <col min="10505" max="10505" width="17.1796875" style="359" bestFit="1" customWidth="1"/>
    <col min="10506" max="10506" width="18.1796875" style="359" bestFit="1" customWidth="1"/>
    <col min="10507" max="10507" width="26.453125" style="359" customWidth="1"/>
    <col min="10508" max="10752" width="9.1796875" style="359"/>
    <col min="10753" max="10753" width="8.7265625" style="359" bestFit="1" customWidth="1"/>
    <col min="10754" max="10754" width="13.26953125" style="359" customWidth="1"/>
    <col min="10755" max="10755" width="16.1796875" style="359" bestFit="1" customWidth="1"/>
    <col min="10756" max="10756" width="23.54296875" style="359" customWidth="1"/>
    <col min="10757" max="10757" width="17.26953125" style="359" customWidth="1"/>
    <col min="10758" max="10758" width="20.54296875" style="359" bestFit="1" customWidth="1"/>
    <col min="10759" max="10759" width="17.1796875" style="359" customWidth="1"/>
    <col min="10760" max="10760" width="21.81640625" style="359" bestFit="1" customWidth="1"/>
    <col min="10761" max="10761" width="17.1796875" style="359" bestFit="1" customWidth="1"/>
    <col min="10762" max="10762" width="18.1796875" style="359" bestFit="1" customWidth="1"/>
    <col min="10763" max="10763" width="26.453125" style="359" customWidth="1"/>
    <col min="10764" max="11008" width="9.1796875" style="359"/>
    <col min="11009" max="11009" width="8.7265625" style="359" bestFit="1" customWidth="1"/>
    <col min="11010" max="11010" width="13.26953125" style="359" customWidth="1"/>
    <col min="11011" max="11011" width="16.1796875" style="359" bestFit="1" customWidth="1"/>
    <col min="11012" max="11012" width="23.54296875" style="359" customWidth="1"/>
    <col min="11013" max="11013" width="17.26953125" style="359" customWidth="1"/>
    <col min="11014" max="11014" width="20.54296875" style="359" bestFit="1" customWidth="1"/>
    <col min="11015" max="11015" width="17.1796875" style="359" customWidth="1"/>
    <col min="11016" max="11016" width="21.81640625" style="359" bestFit="1" customWidth="1"/>
    <col min="11017" max="11017" width="17.1796875" style="359" bestFit="1" customWidth="1"/>
    <col min="11018" max="11018" width="18.1796875" style="359" bestFit="1" customWidth="1"/>
    <col min="11019" max="11019" width="26.453125" style="359" customWidth="1"/>
    <col min="11020" max="11264" width="9.1796875" style="359"/>
    <col min="11265" max="11265" width="8.7265625" style="359" bestFit="1" customWidth="1"/>
    <col min="11266" max="11266" width="13.26953125" style="359" customWidth="1"/>
    <col min="11267" max="11267" width="16.1796875" style="359" bestFit="1" customWidth="1"/>
    <col min="11268" max="11268" width="23.54296875" style="359" customWidth="1"/>
    <col min="11269" max="11269" width="17.26953125" style="359" customWidth="1"/>
    <col min="11270" max="11270" width="20.54296875" style="359" bestFit="1" customWidth="1"/>
    <col min="11271" max="11271" width="17.1796875" style="359" customWidth="1"/>
    <col min="11272" max="11272" width="21.81640625" style="359" bestFit="1" customWidth="1"/>
    <col min="11273" max="11273" width="17.1796875" style="359" bestFit="1" customWidth="1"/>
    <col min="11274" max="11274" width="18.1796875" style="359" bestFit="1" customWidth="1"/>
    <col min="11275" max="11275" width="26.453125" style="359" customWidth="1"/>
    <col min="11276" max="11520" width="9.1796875" style="359"/>
    <col min="11521" max="11521" width="8.7265625" style="359" bestFit="1" customWidth="1"/>
    <col min="11522" max="11522" width="13.26953125" style="359" customWidth="1"/>
    <col min="11523" max="11523" width="16.1796875" style="359" bestFit="1" customWidth="1"/>
    <col min="11524" max="11524" width="23.54296875" style="359" customWidth="1"/>
    <col min="11525" max="11525" width="17.26953125" style="359" customWidth="1"/>
    <col min="11526" max="11526" width="20.54296875" style="359" bestFit="1" customWidth="1"/>
    <col min="11527" max="11527" width="17.1796875" style="359" customWidth="1"/>
    <col min="11528" max="11528" width="21.81640625" style="359" bestFit="1" customWidth="1"/>
    <col min="11529" max="11529" width="17.1796875" style="359" bestFit="1" customWidth="1"/>
    <col min="11530" max="11530" width="18.1796875" style="359" bestFit="1" customWidth="1"/>
    <col min="11531" max="11531" width="26.453125" style="359" customWidth="1"/>
    <col min="11532" max="11776" width="9.1796875" style="359"/>
    <col min="11777" max="11777" width="8.7265625" style="359" bestFit="1" customWidth="1"/>
    <col min="11778" max="11778" width="13.26953125" style="359" customWidth="1"/>
    <col min="11779" max="11779" width="16.1796875" style="359" bestFit="1" customWidth="1"/>
    <col min="11780" max="11780" width="23.54296875" style="359" customWidth="1"/>
    <col min="11781" max="11781" width="17.26953125" style="359" customWidth="1"/>
    <col min="11782" max="11782" width="20.54296875" style="359" bestFit="1" customWidth="1"/>
    <col min="11783" max="11783" width="17.1796875" style="359" customWidth="1"/>
    <col min="11784" max="11784" width="21.81640625" style="359" bestFit="1" customWidth="1"/>
    <col min="11785" max="11785" width="17.1796875" style="359" bestFit="1" customWidth="1"/>
    <col min="11786" max="11786" width="18.1796875" style="359" bestFit="1" customWidth="1"/>
    <col min="11787" max="11787" width="26.453125" style="359" customWidth="1"/>
    <col min="11788" max="12032" width="9.1796875" style="359"/>
    <col min="12033" max="12033" width="8.7265625" style="359" bestFit="1" customWidth="1"/>
    <col min="12034" max="12034" width="13.26953125" style="359" customWidth="1"/>
    <col min="12035" max="12035" width="16.1796875" style="359" bestFit="1" customWidth="1"/>
    <col min="12036" max="12036" width="23.54296875" style="359" customWidth="1"/>
    <col min="12037" max="12037" width="17.26953125" style="359" customWidth="1"/>
    <col min="12038" max="12038" width="20.54296875" style="359" bestFit="1" customWidth="1"/>
    <col min="12039" max="12039" width="17.1796875" style="359" customWidth="1"/>
    <col min="12040" max="12040" width="21.81640625" style="359" bestFit="1" customWidth="1"/>
    <col min="12041" max="12041" width="17.1796875" style="359" bestFit="1" customWidth="1"/>
    <col min="12042" max="12042" width="18.1796875" style="359" bestFit="1" customWidth="1"/>
    <col min="12043" max="12043" width="26.453125" style="359" customWidth="1"/>
    <col min="12044" max="12288" width="9.1796875" style="359"/>
    <col min="12289" max="12289" width="8.7265625" style="359" bestFit="1" customWidth="1"/>
    <col min="12290" max="12290" width="13.26953125" style="359" customWidth="1"/>
    <col min="12291" max="12291" width="16.1796875" style="359" bestFit="1" customWidth="1"/>
    <col min="12292" max="12292" width="23.54296875" style="359" customWidth="1"/>
    <col min="12293" max="12293" width="17.26953125" style="359" customWidth="1"/>
    <col min="12294" max="12294" width="20.54296875" style="359" bestFit="1" customWidth="1"/>
    <col min="12295" max="12295" width="17.1796875" style="359" customWidth="1"/>
    <col min="12296" max="12296" width="21.81640625" style="359" bestFit="1" customWidth="1"/>
    <col min="12297" max="12297" width="17.1796875" style="359" bestFit="1" customWidth="1"/>
    <col min="12298" max="12298" width="18.1796875" style="359" bestFit="1" customWidth="1"/>
    <col min="12299" max="12299" width="26.453125" style="359" customWidth="1"/>
    <col min="12300" max="12544" width="9.1796875" style="359"/>
    <col min="12545" max="12545" width="8.7265625" style="359" bestFit="1" customWidth="1"/>
    <col min="12546" max="12546" width="13.26953125" style="359" customWidth="1"/>
    <col min="12547" max="12547" width="16.1796875" style="359" bestFit="1" customWidth="1"/>
    <col min="12548" max="12548" width="23.54296875" style="359" customWidth="1"/>
    <col min="12549" max="12549" width="17.26953125" style="359" customWidth="1"/>
    <col min="12550" max="12550" width="20.54296875" style="359" bestFit="1" customWidth="1"/>
    <col min="12551" max="12551" width="17.1796875" style="359" customWidth="1"/>
    <col min="12552" max="12552" width="21.81640625" style="359" bestFit="1" customWidth="1"/>
    <col min="12553" max="12553" width="17.1796875" style="359" bestFit="1" customWidth="1"/>
    <col min="12554" max="12554" width="18.1796875" style="359" bestFit="1" customWidth="1"/>
    <col min="12555" max="12555" width="26.453125" style="359" customWidth="1"/>
    <col min="12556" max="12800" width="9.1796875" style="359"/>
    <col min="12801" max="12801" width="8.7265625" style="359" bestFit="1" customWidth="1"/>
    <col min="12802" max="12802" width="13.26953125" style="359" customWidth="1"/>
    <col min="12803" max="12803" width="16.1796875" style="359" bestFit="1" customWidth="1"/>
    <col min="12804" max="12804" width="23.54296875" style="359" customWidth="1"/>
    <col min="12805" max="12805" width="17.26953125" style="359" customWidth="1"/>
    <col min="12806" max="12806" width="20.54296875" style="359" bestFit="1" customWidth="1"/>
    <col min="12807" max="12807" width="17.1796875" style="359" customWidth="1"/>
    <col min="12808" max="12808" width="21.81640625" style="359" bestFit="1" customWidth="1"/>
    <col min="12809" max="12809" width="17.1796875" style="359" bestFit="1" customWidth="1"/>
    <col min="12810" max="12810" width="18.1796875" style="359" bestFit="1" customWidth="1"/>
    <col min="12811" max="12811" width="26.453125" style="359" customWidth="1"/>
    <col min="12812" max="13056" width="9.1796875" style="359"/>
    <col min="13057" max="13057" width="8.7265625" style="359" bestFit="1" customWidth="1"/>
    <col min="13058" max="13058" width="13.26953125" style="359" customWidth="1"/>
    <col min="13059" max="13059" width="16.1796875" style="359" bestFit="1" customWidth="1"/>
    <col min="13060" max="13060" width="23.54296875" style="359" customWidth="1"/>
    <col min="13061" max="13061" width="17.26953125" style="359" customWidth="1"/>
    <col min="13062" max="13062" width="20.54296875" style="359" bestFit="1" customWidth="1"/>
    <col min="13063" max="13063" width="17.1796875" style="359" customWidth="1"/>
    <col min="13064" max="13064" width="21.81640625" style="359" bestFit="1" customWidth="1"/>
    <col min="13065" max="13065" width="17.1796875" style="359" bestFit="1" customWidth="1"/>
    <col min="13066" max="13066" width="18.1796875" style="359" bestFit="1" customWidth="1"/>
    <col min="13067" max="13067" width="26.453125" style="359" customWidth="1"/>
    <col min="13068" max="13312" width="9.1796875" style="359"/>
    <col min="13313" max="13313" width="8.7265625" style="359" bestFit="1" customWidth="1"/>
    <col min="13314" max="13314" width="13.26953125" style="359" customWidth="1"/>
    <col min="13315" max="13315" width="16.1796875" style="359" bestFit="1" customWidth="1"/>
    <col min="13316" max="13316" width="23.54296875" style="359" customWidth="1"/>
    <col min="13317" max="13317" width="17.26953125" style="359" customWidth="1"/>
    <col min="13318" max="13318" width="20.54296875" style="359" bestFit="1" customWidth="1"/>
    <col min="13319" max="13319" width="17.1796875" style="359" customWidth="1"/>
    <col min="13320" max="13320" width="21.81640625" style="359" bestFit="1" customWidth="1"/>
    <col min="13321" max="13321" width="17.1796875" style="359" bestFit="1" customWidth="1"/>
    <col min="13322" max="13322" width="18.1796875" style="359" bestFit="1" customWidth="1"/>
    <col min="13323" max="13323" width="26.453125" style="359" customWidth="1"/>
    <col min="13324" max="13568" width="9.1796875" style="359"/>
    <col min="13569" max="13569" width="8.7265625" style="359" bestFit="1" customWidth="1"/>
    <col min="13570" max="13570" width="13.26953125" style="359" customWidth="1"/>
    <col min="13571" max="13571" width="16.1796875" style="359" bestFit="1" customWidth="1"/>
    <col min="13572" max="13572" width="23.54296875" style="359" customWidth="1"/>
    <col min="13573" max="13573" width="17.26953125" style="359" customWidth="1"/>
    <col min="13574" max="13574" width="20.54296875" style="359" bestFit="1" customWidth="1"/>
    <col min="13575" max="13575" width="17.1796875" style="359" customWidth="1"/>
    <col min="13576" max="13576" width="21.81640625" style="359" bestFit="1" customWidth="1"/>
    <col min="13577" max="13577" width="17.1796875" style="359" bestFit="1" customWidth="1"/>
    <col min="13578" max="13578" width="18.1796875" style="359" bestFit="1" customWidth="1"/>
    <col min="13579" max="13579" width="26.453125" style="359" customWidth="1"/>
    <col min="13580" max="13824" width="9.1796875" style="359"/>
    <col min="13825" max="13825" width="8.7265625" style="359" bestFit="1" customWidth="1"/>
    <col min="13826" max="13826" width="13.26953125" style="359" customWidth="1"/>
    <col min="13827" max="13827" width="16.1796875" style="359" bestFit="1" customWidth="1"/>
    <col min="13828" max="13828" width="23.54296875" style="359" customWidth="1"/>
    <col min="13829" max="13829" width="17.26953125" style="359" customWidth="1"/>
    <col min="13830" max="13830" width="20.54296875" style="359" bestFit="1" customWidth="1"/>
    <col min="13831" max="13831" width="17.1796875" style="359" customWidth="1"/>
    <col min="13832" max="13832" width="21.81640625" style="359" bestFit="1" customWidth="1"/>
    <col min="13833" max="13833" width="17.1796875" style="359" bestFit="1" customWidth="1"/>
    <col min="13834" max="13834" width="18.1796875" style="359" bestFit="1" customWidth="1"/>
    <col min="13835" max="13835" width="26.453125" style="359" customWidth="1"/>
    <col min="13836" max="14080" width="9.1796875" style="359"/>
    <col min="14081" max="14081" width="8.7265625" style="359" bestFit="1" customWidth="1"/>
    <col min="14082" max="14082" width="13.26953125" style="359" customWidth="1"/>
    <col min="14083" max="14083" width="16.1796875" style="359" bestFit="1" customWidth="1"/>
    <col min="14084" max="14084" width="23.54296875" style="359" customWidth="1"/>
    <col min="14085" max="14085" width="17.26953125" style="359" customWidth="1"/>
    <col min="14086" max="14086" width="20.54296875" style="359" bestFit="1" customWidth="1"/>
    <col min="14087" max="14087" width="17.1796875" style="359" customWidth="1"/>
    <col min="14088" max="14088" width="21.81640625" style="359" bestFit="1" customWidth="1"/>
    <col min="14089" max="14089" width="17.1796875" style="359" bestFit="1" customWidth="1"/>
    <col min="14090" max="14090" width="18.1796875" style="359" bestFit="1" customWidth="1"/>
    <col min="14091" max="14091" width="26.453125" style="359" customWidth="1"/>
    <col min="14092" max="14336" width="9.1796875" style="359"/>
    <col min="14337" max="14337" width="8.7265625" style="359" bestFit="1" customWidth="1"/>
    <col min="14338" max="14338" width="13.26953125" style="359" customWidth="1"/>
    <col min="14339" max="14339" width="16.1796875" style="359" bestFit="1" customWidth="1"/>
    <col min="14340" max="14340" width="23.54296875" style="359" customWidth="1"/>
    <col min="14341" max="14341" width="17.26953125" style="359" customWidth="1"/>
    <col min="14342" max="14342" width="20.54296875" style="359" bestFit="1" customWidth="1"/>
    <col min="14343" max="14343" width="17.1796875" style="359" customWidth="1"/>
    <col min="14344" max="14344" width="21.81640625" style="359" bestFit="1" customWidth="1"/>
    <col min="14345" max="14345" width="17.1796875" style="359" bestFit="1" customWidth="1"/>
    <col min="14346" max="14346" width="18.1796875" style="359" bestFit="1" customWidth="1"/>
    <col min="14347" max="14347" width="26.453125" style="359" customWidth="1"/>
    <col min="14348" max="14592" width="9.1796875" style="359"/>
    <col min="14593" max="14593" width="8.7265625" style="359" bestFit="1" customWidth="1"/>
    <col min="14594" max="14594" width="13.26953125" style="359" customWidth="1"/>
    <col min="14595" max="14595" width="16.1796875" style="359" bestFit="1" customWidth="1"/>
    <col min="14596" max="14596" width="23.54296875" style="359" customWidth="1"/>
    <col min="14597" max="14597" width="17.26953125" style="359" customWidth="1"/>
    <col min="14598" max="14598" width="20.54296875" style="359" bestFit="1" customWidth="1"/>
    <col min="14599" max="14599" width="17.1796875" style="359" customWidth="1"/>
    <col min="14600" max="14600" width="21.81640625" style="359" bestFit="1" customWidth="1"/>
    <col min="14601" max="14601" width="17.1796875" style="359" bestFit="1" customWidth="1"/>
    <col min="14602" max="14602" width="18.1796875" style="359" bestFit="1" customWidth="1"/>
    <col min="14603" max="14603" width="26.453125" style="359" customWidth="1"/>
    <col min="14604" max="14848" width="9.1796875" style="359"/>
    <col min="14849" max="14849" width="8.7265625" style="359" bestFit="1" customWidth="1"/>
    <col min="14850" max="14850" width="13.26953125" style="359" customWidth="1"/>
    <col min="14851" max="14851" width="16.1796875" style="359" bestFit="1" customWidth="1"/>
    <col min="14852" max="14852" width="23.54296875" style="359" customWidth="1"/>
    <col min="14853" max="14853" width="17.26953125" style="359" customWidth="1"/>
    <col min="14854" max="14854" width="20.54296875" style="359" bestFit="1" customWidth="1"/>
    <col min="14855" max="14855" width="17.1796875" style="359" customWidth="1"/>
    <col min="14856" max="14856" width="21.81640625" style="359" bestFit="1" customWidth="1"/>
    <col min="14857" max="14857" width="17.1796875" style="359" bestFit="1" customWidth="1"/>
    <col min="14858" max="14858" width="18.1796875" style="359" bestFit="1" customWidth="1"/>
    <col min="14859" max="14859" width="26.453125" style="359" customWidth="1"/>
    <col min="14860" max="15104" width="9.1796875" style="359"/>
    <col min="15105" max="15105" width="8.7265625" style="359" bestFit="1" customWidth="1"/>
    <col min="15106" max="15106" width="13.26953125" style="359" customWidth="1"/>
    <col min="15107" max="15107" width="16.1796875" style="359" bestFit="1" customWidth="1"/>
    <col min="15108" max="15108" width="23.54296875" style="359" customWidth="1"/>
    <col min="15109" max="15109" width="17.26953125" style="359" customWidth="1"/>
    <col min="15110" max="15110" width="20.54296875" style="359" bestFit="1" customWidth="1"/>
    <col min="15111" max="15111" width="17.1796875" style="359" customWidth="1"/>
    <col min="15112" max="15112" width="21.81640625" style="359" bestFit="1" customWidth="1"/>
    <col min="15113" max="15113" width="17.1796875" style="359" bestFit="1" customWidth="1"/>
    <col min="15114" max="15114" width="18.1796875" style="359" bestFit="1" customWidth="1"/>
    <col min="15115" max="15115" width="26.453125" style="359" customWidth="1"/>
    <col min="15116" max="15360" width="9.1796875" style="359"/>
    <col min="15361" max="15361" width="8.7265625" style="359" bestFit="1" customWidth="1"/>
    <col min="15362" max="15362" width="13.26953125" style="359" customWidth="1"/>
    <col min="15363" max="15363" width="16.1796875" style="359" bestFit="1" customWidth="1"/>
    <col min="15364" max="15364" width="23.54296875" style="359" customWidth="1"/>
    <col min="15365" max="15365" width="17.26953125" style="359" customWidth="1"/>
    <col min="15366" max="15366" width="20.54296875" style="359" bestFit="1" customWidth="1"/>
    <col min="15367" max="15367" width="17.1796875" style="359" customWidth="1"/>
    <col min="15368" max="15368" width="21.81640625" style="359" bestFit="1" customWidth="1"/>
    <col min="15369" max="15369" width="17.1796875" style="359" bestFit="1" customWidth="1"/>
    <col min="15370" max="15370" width="18.1796875" style="359" bestFit="1" customWidth="1"/>
    <col min="15371" max="15371" width="26.453125" style="359" customWidth="1"/>
    <col min="15372" max="15616" width="9.1796875" style="359"/>
    <col min="15617" max="15617" width="8.7265625" style="359" bestFit="1" customWidth="1"/>
    <col min="15618" max="15618" width="13.26953125" style="359" customWidth="1"/>
    <col min="15619" max="15619" width="16.1796875" style="359" bestFit="1" customWidth="1"/>
    <col min="15620" max="15620" width="23.54296875" style="359" customWidth="1"/>
    <col min="15621" max="15621" width="17.26953125" style="359" customWidth="1"/>
    <col min="15622" max="15622" width="20.54296875" style="359" bestFit="1" customWidth="1"/>
    <col min="15623" max="15623" width="17.1796875" style="359" customWidth="1"/>
    <col min="15624" max="15624" width="21.81640625" style="359" bestFit="1" customWidth="1"/>
    <col min="15625" max="15625" width="17.1796875" style="359" bestFit="1" customWidth="1"/>
    <col min="15626" max="15626" width="18.1796875" style="359" bestFit="1" customWidth="1"/>
    <col min="15627" max="15627" width="26.453125" style="359" customWidth="1"/>
    <col min="15628" max="15872" width="9.1796875" style="359"/>
    <col min="15873" max="15873" width="8.7265625" style="359" bestFit="1" customWidth="1"/>
    <col min="15874" max="15874" width="13.26953125" style="359" customWidth="1"/>
    <col min="15875" max="15875" width="16.1796875" style="359" bestFit="1" customWidth="1"/>
    <col min="15876" max="15876" width="23.54296875" style="359" customWidth="1"/>
    <col min="15877" max="15877" width="17.26953125" style="359" customWidth="1"/>
    <col min="15878" max="15878" width="20.54296875" style="359" bestFit="1" customWidth="1"/>
    <col min="15879" max="15879" width="17.1796875" style="359" customWidth="1"/>
    <col min="15880" max="15880" width="21.81640625" style="359" bestFit="1" customWidth="1"/>
    <col min="15881" max="15881" width="17.1796875" style="359" bestFit="1" customWidth="1"/>
    <col min="15882" max="15882" width="18.1796875" style="359" bestFit="1" customWidth="1"/>
    <col min="15883" max="15883" width="26.453125" style="359" customWidth="1"/>
    <col min="15884" max="16128" width="9.1796875" style="359"/>
    <col min="16129" max="16129" width="8.7265625" style="359" bestFit="1" customWidth="1"/>
    <col min="16130" max="16130" width="13.26953125" style="359" customWidth="1"/>
    <col min="16131" max="16131" width="16.1796875" style="359" bestFit="1" customWidth="1"/>
    <col min="16132" max="16132" width="23.54296875" style="359" customWidth="1"/>
    <col min="16133" max="16133" width="17.26953125" style="359" customWidth="1"/>
    <col min="16134" max="16134" width="20.54296875" style="359" bestFit="1" customWidth="1"/>
    <col min="16135" max="16135" width="17.1796875" style="359" customWidth="1"/>
    <col min="16136" max="16136" width="21.81640625" style="359" bestFit="1" customWidth="1"/>
    <col min="16137" max="16137" width="17.1796875" style="359" bestFit="1" customWidth="1"/>
    <col min="16138" max="16138" width="18.1796875" style="359" bestFit="1" customWidth="1"/>
    <col min="16139" max="16139" width="26.453125" style="359" customWidth="1"/>
    <col min="16140" max="16384" width="9.1796875" style="359"/>
  </cols>
  <sheetData>
    <row r="1" spans="13:13" s="396" customFormat="1" x14ac:dyDescent="0.25">
      <c r="M1" s="397"/>
    </row>
    <row r="2" spans="13:13" s="396" customFormat="1" x14ac:dyDescent="0.25">
      <c r="M2" s="397"/>
    </row>
    <row r="3" spans="13:13" s="396" customFormat="1" x14ac:dyDescent="0.25">
      <c r="M3" s="397"/>
    </row>
    <row r="4" spans="13:13" s="396" customFormat="1" x14ac:dyDescent="0.25">
      <c r="M4" s="397"/>
    </row>
    <row r="5" spans="13:13" s="396" customFormat="1" x14ac:dyDescent="0.25">
      <c r="M5" s="397"/>
    </row>
    <row r="6" spans="13:13" s="396" customFormat="1" x14ac:dyDescent="0.25">
      <c r="M6" s="397"/>
    </row>
    <row r="7" spans="13:13" s="396" customFormat="1" x14ac:dyDescent="0.25">
      <c r="M7" s="397"/>
    </row>
    <row r="8" spans="13:13" s="396" customFormat="1" x14ac:dyDescent="0.25">
      <c r="M8" s="397"/>
    </row>
    <row r="9" spans="13:13" s="396" customFormat="1" x14ac:dyDescent="0.25">
      <c r="M9" s="397"/>
    </row>
    <row r="10" spans="13:13" s="396" customFormat="1" x14ac:dyDescent="0.25">
      <c r="M10" s="397"/>
    </row>
    <row r="11" spans="13:13" s="396" customFormat="1" x14ac:dyDescent="0.25">
      <c r="M11" s="397"/>
    </row>
    <row r="12" spans="13:13" s="396" customFormat="1" x14ac:dyDescent="0.25">
      <c r="M12" s="397"/>
    </row>
    <row r="13" spans="13:13" s="396" customFormat="1" x14ac:dyDescent="0.25">
      <c r="M13" s="397"/>
    </row>
    <row r="14" spans="13:13" s="396" customFormat="1" x14ac:dyDescent="0.25">
      <c r="M14" s="397"/>
    </row>
    <row r="15" spans="13:13" s="396" customFormat="1" x14ac:dyDescent="0.25">
      <c r="M15" s="397"/>
    </row>
    <row r="16" spans="13:13" s="396" customFormat="1" x14ac:dyDescent="0.25">
      <c r="M16" s="397"/>
    </row>
    <row r="17" spans="13:13" s="396" customFormat="1" x14ac:dyDescent="0.25">
      <c r="M17" s="397"/>
    </row>
    <row r="18" spans="13:13" s="396" customFormat="1" x14ac:dyDescent="0.25">
      <c r="M18" s="397"/>
    </row>
    <row r="19" spans="13:13" s="396" customFormat="1" x14ac:dyDescent="0.25">
      <c r="M19" s="397"/>
    </row>
    <row r="20" spans="13:13" s="396" customFormat="1" x14ac:dyDescent="0.25">
      <c r="M20" s="397"/>
    </row>
    <row r="21" spans="13:13" s="396" customFormat="1" x14ac:dyDescent="0.25">
      <c r="M21" s="397"/>
    </row>
    <row r="22" spans="13:13" s="396" customFormat="1" x14ac:dyDescent="0.25">
      <c r="M22" s="397"/>
    </row>
    <row r="23" spans="13:13" s="396" customFormat="1" x14ac:dyDescent="0.25">
      <c r="M23" s="397"/>
    </row>
    <row r="24" spans="13:13" s="396" customFormat="1" x14ac:dyDescent="0.25">
      <c r="M24" s="397"/>
    </row>
    <row r="25" spans="13:13" s="396" customFormat="1" x14ac:dyDescent="0.25">
      <c r="M25" s="397"/>
    </row>
    <row r="26" spans="13:13" s="396" customFormat="1" x14ac:dyDescent="0.25">
      <c r="M26" s="397"/>
    </row>
    <row r="27" spans="13:13" s="396" customFormat="1" x14ac:dyDescent="0.25">
      <c r="M27" s="397"/>
    </row>
    <row r="28" spans="13:13" s="396" customFormat="1" x14ac:dyDescent="0.25">
      <c r="M28" s="397"/>
    </row>
    <row r="29" spans="13:13" s="396" customFormat="1" x14ac:dyDescent="0.25">
      <c r="M29" s="397"/>
    </row>
    <row r="30" spans="13:13" s="396" customFormat="1" x14ac:dyDescent="0.25">
      <c r="M30" s="397"/>
    </row>
    <row r="31" spans="13:13" s="396" customFormat="1" x14ac:dyDescent="0.25">
      <c r="M31" s="397"/>
    </row>
    <row r="32" spans="13:13" s="396" customFormat="1" x14ac:dyDescent="0.25">
      <c r="M32" s="397"/>
    </row>
    <row r="33" spans="1:19" s="396" customFormat="1" x14ac:dyDescent="0.25">
      <c r="M33" s="397"/>
    </row>
    <row r="34" spans="1:19" s="396" customFormat="1" ht="15.75" customHeight="1" x14ac:dyDescent="0.25">
      <c r="B34" s="403" t="s">
        <v>700</v>
      </c>
    </row>
    <row r="35" spans="1:19" s="396" customFormat="1" ht="24.75" customHeight="1" x14ac:dyDescent="0.35">
      <c r="A35" s="402" t="str">
        <f>"VIN = "&amp;Vin&amp;" V, VOUT = "&amp; Vout &amp;" V, IOUT = " &amp;Iout &amp; " A,  Fsw = " &amp; Fsw/1000 &amp;" kHz, Current Limit = "&amp;ROUNDUP(DC_Current_Limit_Setpoint,0)&amp;" A"</f>
        <v>VIN = 24 V, VOUT = 12 V, IOUT = 9 A,  Fsw = 400 kHz, Current Limit = 13 A</v>
      </c>
      <c r="Q35" s="520"/>
    </row>
    <row r="36" spans="1:19" ht="24.75" customHeight="1" thickBot="1" x14ac:dyDescent="0.3">
      <c r="A36" s="361" t="s">
        <v>710</v>
      </c>
      <c r="Q36" s="521"/>
    </row>
    <row r="37" spans="1:19" ht="18" customHeight="1" x14ac:dyDescent="0.25">
      <c r="A37" s="503" t="s">
        <v>510</v>
      </c>
      <c r="B37" s="504" t="s">
        <v>509</v>
      </c>
      <c r="C37" s="504" t="s">
        <v>8</v>
      </c>
      <c r="D37" s="571" t="s">
        <v>188</v>
      </c>
      <c r="E37" s="572"/>
      <c r="F37" s="572"/>
      <c r="G37" s="573"/>
      <c r="H37" s="504" t="s">
        <v>496</v>
      </c>
      <c r="I37" s="504" t="s">
        <v>303</v>
      </c>
      <c r="J37" s="504" t="s">
        <v>497</v>
      </c>
      <c r="K37" s="491" t="s">
        <v>675</v>
      </c>
      <c r="L37" s="492" t="s">
        <v>676</v>
      </c>
      <c r="M37" s="359"/>
      <c r="P37" s="529"/>
      <c r="Q37" s="536"/>
      <c r="R37" s="529"/>
      <c r="S37" s="529"/>
    </row>
    <row r="38" spans="1:19" s="366" customFormat="1" ht="17.149999999999999" customHeight="1" x14ac:dyDescent="0.25">
      <c r="A38" s="363">
        <v>1</v>
      </c>
      <c r="B38" s="364" t="s">
        <v>609</v>
      </c>
      <c r="C38" s="378">
        <v>0.1</v>
      </c>
      <c r="D38" s="592">
        <f t="shared" ref="D38:D47" si="0">C38</f>
        <v>0.1</v>
      </c>
      <c r="E38" s="593"/>
      <c r="F38" s="593"/>
      <c r="G38" s="379"/>
      <c r="H38" s="380"/>
      <c r="I38" s="365" t="s">
        <v>498</v>
      </c>
      <c r="J38" s="496" t="s">
        <v>498</v>
      </c>
      <c r="K38" s="500" t="str">
        <f>CHOOSE(Q38, 'Variable Management'!N69,'Variable Management'!N70,'Variable Management'!N71)</f>
        <v>1.6 x 0.8</v>
      </c>
      <c r="L38" s="494">
        <f>CHOOSE(Q38, 'Variable Management'!O69,'Variable Management'!O70,'Variable Management'!O71)</f>
        <v>1.3</v>
      </c>
      <c r="P38" s="519"/>
      <c r="Q38" s="522">
        <v>2</v>
      </c>
      <c r="R38" s="519"/>
      <c r="S38" s="519"/>
    </row>
    <row r="39" spans="1:19" s="366" customFormat="1" ht="17.149999999999999" customHeight="1" x14ac:dyDescent="0.25">
      <c r="A39" s="362">
        <v>1</v>
      </c>
      <c r="B39" s="381" t="s">
        <v>502</v>
      </c>
      <c r="C39" s="382">
        <f>'Design Regulator'!D74</f>
        <v>6800</v>
      </c>
      <c r="D39" s="594">
        <f t="shared" si="0"/>
        <v>6800</v>
      </c>
      <c r="E39" s="595"/>
      <c r="F39" s="595"/>
      <c r="G39" s="383"/>
      <c r="H39" s="384"/>
      <c r="I39" s="385" t="s">
        <v>498</v>
      </c>
      <c r="J39" s="497" t="s">
        <v>498</v>
      </c>
      <c r="K39" s="501" t="str">
        <f>CHOOSE(Q39, 'Variable Management'!N69,'Variable Management'!N70,'Variable Management'!N71)</f>
        <v>1.0 x 0.5</v>
      </c>
      <c r="L39" s="502">
        <f>CHOOSE(Q39, 'Variable Management'!O69,'Variable Management'!O70,'Variable Management'!O71)</f>
        <v>0.5</v>
      </c>
      <c r="P39" s="519"/>
      <c r="Q39" s="522">
        <v>1</v>
      </c>
      <c r="R39" s="519"/>
      <c r="S39" s="519"/>
    </row>
    <row r="40" spans="1:19" s="366" customFormat="1" ht="17.149999999999999" customHeight="1" x14ac:dyDescent="0.25">
      <c r="A40" s="362">
        <v>1</v>
      </c>
      <c r="B40" s="381" t="s">
        <v>503</v>
      </c>
      <c r="C40" s="382">
        <f>'Design Regulator'!D75</f>
        <v>100</v>
      </c>
      <c r="D40" s="596">
        <f t="shared" si="0"/>
        <v>100</v>
      </c>
      <c r="E40" s="597"/>
      <c r="F40" s="597"/>
      <c r="G40" s="383"/>
      <c r="H40" s="384"/>
      <c r="I40" s="385" t="s">
        <v>498</v>
      </c>
      <c r="J40" s="497" t="s">
        <v>498</v>
      </c>
      <c r="K40" s="501" t="str">
        <f>CHOOSE(Q40, 'Variable Management'!N69,'Variable Management'!N70,'Variable Management'!N71)</f>
        <v>1.0 x 0.5</v>
      </c>
      <c r="L40" s="502">
        <f>CHOOSE(Q40, 'Variable Management'!O69,'Variable Management'!O70,'Variable Management'!O71)</f>
        <v>0.5</v>
      </c>
      <c r="P40" s="519"/>
      <c r="Q40" s="522">
        <v>1</v>
      </c>
      <c r="R40" s="519"/>
      <c r="S40" s="519"/>
    </row>
    <row r="41" spans="1:19" s="366" customFormat="1" ht="17.149999999999999" customHeight="1" x14ac:dyDescent="0.25">
      <c r="A41" s="362">
        <v>1</v>
      </c>
      <c r="B41" s="381" t="s">
        <v>504</v>
      </c>
      <c r="C41" s="382">
        <f>'Design Regulator'!D77</f>
        <v>1000.0000000000001</v>
      </c>
      <c r="D41" s="596">
        <f t="shared" si="0"/>
        <v>1000.0000000000001</v>
      </c>
      <c r="E41" s="597"/>
      <c r="F41" s="597"/>
      <c r="G41" s="383"/>
      <c r="H41" s="384"/>
      <c r="I41" s="385" t="s">
        <v>498</v>
      </c>
      <c r="J41" s="497" t="s">
        <v>498</v>
      </c>
      <c r="K41" s="501" t="str">
        <f>CHOOSE(Q41, 'Variable Management'!N69,'Variable Management'!N70,'Variable Management'!N71)</f>
        <v>1.0 x 0.5</v>
      </c>
      <c r="L41" s="502">
        <f>CHOOSE(Q41, 'Variable Management'!O69,'Variable Management'!O70,'Variable Management'!O71)</f>
        <v>0.5</v>
      </c>
      <c r="P41" s="519"/>
      <c r="Q41" s="522">
        <v>1</v>
      </c>
      <c r="R41" s="519"/>
      <c r="S41" s="519"/>
    </row>
    <row r="42" spans="1:19" s="366" customFormat="1" ht="17.149999999999999" customHeight="1" x14ac:dyDescent="0.25">
      <c r="A42" s="373">
        <v>1</v>
      </c>
      <c r="B42" s="374" t="s">
        <v>718</v>
      </c>
      <c r="C42" s="391" t="str">
        <f>'Variable Management'!B270</f>
        <v>8.2pF</v>
      </c>
      <c r="D42" s="598" t="str">
        <f>"Capacitor, Ceramic, "&amp;'Variable Management'!B270&amp;", 100V, X7R, 20%"</f>
        <v>Capacitor, Ceramic, 8.2pF, 100V, X7R, 20%</v>
      </c>
      <c r="E42" s="599"/>
      <c r="F42" s="599"/>
      <c r="G42" s="386"/>
      <c r="H42" s="376"/>
      <c r="I42" s="377" t="s">
        <v>498</v>
      </c>
      <c r="J42" s="498" t="s">
        <v>498</v>
      </c>
      <c r="K42" s="500" t="str">
        <f>CHOOSE(Q42, 'Variable Management'!N69,'Variable Management'!N70,'Variable Management'!N71)</f>
        <v>1.6 x 0.8</v>
      </c>
      <c r="L42" s="494">
        <f>CHOOSE(RDSON_sense,CHOOSE(Q42,'Variable Management'!O69,'Variable Management'!O70,'Variable Management'!O71),0)</f>
        <v>1.3</v>
      </c>
      <c r="P42" s="519"/>
      <c r="Q42" s="522">
        <v>2</v>
      </c>
      <c r="R42" s="519"/>
      <c r="S42" s="519"/>
    </row>
    <row r="43" spans="1:19" s="366" customFormat="1" ht="17.149999999999999" customHeight="1" x14ac:dyDescent="0.25">
      <c r="A43" s="362">
        <f>ROUNDUP('Design Regulator'!E41/10,0)</f>
        <v>2</v>
      </c>
      <c r="B43" s="381" t="s">
        <v>505</v>
      </c>
      <c r="C43" s="388" t="str">
        <f>'Variable Management'!B249</f>
        <v>4.7µF</v>
      </c>
      <c r="D43" s="602" t="str">
        <f>CHOOSE(Cin_Voltage_Rating, "Capacitor, Ceramic, "&amp;'Variable Management'!B249&amp;", 10V, X7R, 10%", "Capacitor, Ceramic, "&amp;'Variable Management'!B249&amp;", 16V, X7R, 10%", "Capacitor, Ceramic, "&amp;'Variable Management'!B249&amp;", 25V, X7R, 10%",  "Capacitor, Ceramic, "&amp;'Variable Management'!B249&amp;", 50V, X7R, 10%",  "Capacitor, Ceramic, "&amp;'Variable Management'!B249&amp;", 100V, X7S, 10%")</f>
        <v>Capacitor, Ceramic, 4.7µF, 50V, X7R, 10%</v>
      </c>
      <c r="E43" s="603"/>
      <c r="F43" s="603"/>
      <c r="G43" s="383"/>
      <c r="H43" s="384"/>
      <c r="I43" s="385" t="s">
        <v>498</v>
      </c>
      <c r="J43" s="497" t="s">
        <v>498</v>
      </c>
      <c r="K43" s="501" t="str">
        <f>CHOOSE(Q43, 'Variable Management'!N69,'Variable Management'!N70,'Variable Management'!N71,'Variable Management'!N72,'Variable Management'!N73)</f>
        <v>3.2 x 2.5</v>
      </c>
      <c r="L43" s="502">
        <f>CHOOSE(Q43, 'Variable Management'!O69,'Variable Management'!O70,'Variable Management'!O71,'Variable Management'!O72,'Variable Management'!O73)*A43</f>
        <v>16</v>
      </c>
      <c r="P43" s="519"/>
      <c r="Q43" s="522">
        <v>5</v>
      </c>
      <c r="R43" s="519"/>
      <c r="S43" s="519"/>
    </row>
    <row r="44" spans="1:19" s="366" customFormat="1" ht="17.149999999999999" customHeight="1" x14ac:dyDescent="0.25">
      <c r="A44" s="362">
        <f>'Variable Management'!D242</f>
        <v>3</v>
      </c>
      <c r="B44" s="381" t="s">
        <v>506</v>
      </c>
      <c r="C44" s="388" t="str">
        <f>'Variable Management'!F243</f>
        <v>22µF</v>
      </c>
      <c r="D44" s="602" t="str">
        <f>CHOOSE(Cout_Voltage_Rating, "Capacitor, Ceramic, "&amp;'Variable Management'!B244&amp;", 6.3V, X7R, 10%", "Capacitor, Ceramic, "&amp;'Variable Management'!B244&amp;", 10V, X7R, 10%", "Capacitor, Ceramic, "&amp;'Variable Management'!B244&amp;", 16V, X7R, 10%", "Capacitor, Ceramic, "&amp;'Variable Management'!B244&amp;", 25V, X7R, 10%",  "Capacitor, Ceramic, "&amp;'Variable Management'!B244&amp;", 50V, X7R, 10%",  "Capacitor, Ceramic, "&amp;'Variable Management'!B244&amp;", 100V, X7R, 10%")</f>
        <v>Capacitor, Ceramic, 22µF, 16V, X7R, 10%</v>
      </c>
      <c r="E44" s="603"/>
      <c r="F44" s="603"/>
      <c r="G44" s="383"/>
      <c r="H44" s="384"/>
      <c r="I44" s="385" t="s">
        <v>498</v>
      </c>
      <c r="J44" s="497" t="s">
        <v>498</v>
      </c>
      <c r="K44" s="501" t="str">
        <f>CHOOSE(Q44, 'Variable Management'!N69,'Variable Management'!N70,'Variable Management'!N71,'Variable Management'!N72,'Variable Management'!N73)</f>
        <v>3.2 x 2.5</v>
      </c>
      <c r="L44" s="502">
        <f>CHOOSE(Q44, 'Variable Management'!O69,'Variable Management'!O70,'Variable Management'!O71,'Variable Management'!O72,'Variable Management'!O73)*A44</f>
        <v>24</v>
      </c>
      <c r="P44" s="519"/>
      <c r="Q44" s="522">
        <v>5</v>
      </c>
      <c r="R44" s="519"/>
      <c r="S44" s="519"/>
    </row>
    <row r="45" spans="1:19" s="366" customFormat="1" ht="17.149999999999999" customHeight="1" x14ac:dyDescent="0.25">
      <c r="A45" s="373">
        <v>1</v>
      </c>
      <c r="B45" s="374" t="s">
        <v>507</v>
      </c>
      <c r="C45" s="510">
        <f>'Design Regulator'!E49</f>
        <v>47</v>
      </c>
      <c r="D45" s="609">
        <f t="shared" ref="D45" si="1">C45</f>
        <v>47</v>
      </c>
      <c r="E45" s="610"/>
      <c r="F45" s="610"/>
      <c r="G45" s="386"/>
      <c r="H45" s="376"/>
      <c r="I45" s="377" t="s">
        <v>498</v>
      </c>
      <c r="J45" s="498" t="s">
        <v>498</v>
      </c>
      <c r="K45" s="511" t="str">
        <f>CHOOSE(Q45, 'Variable Management'!N69,'Variable Management'!N70,'Variable Management'!N71)</f>
        <v>1.6 x 0.8</v>
      </c>
      <c r="L45" s="512">
        <f>CHOOSE(Q45, 'Variable Management'!O69,'Variable Management'!O70,'Variable Management'!O71)</f>
        <v>1.3</v>
      </c>
      <c r="P45" s="519"/>
      <c r="Q45" s="522">
        <v>2</v>
      </c>
      <c r="R45" s="519"/>
      <c r="S45" s="519"/>
    </row>
    <row r="46" spans="1:19" s="366" customFormat="1" ht="17.149999999999999" customHeight="1" x14ac:dyDescent="0.25">
      <c r="A46" s="373">
        <v>1</v>
      </c>
      <c r="B46" s="374" t="s">
        <v>608</v>
      </c>
      <c r="C46" s="387">
        <v>2.2000000000000002</v>
      </c>
      <c r="D46" s="600">
        <f t="shared" si="0"/>
        <v>2.2000000000000002</v>
      </c>
      <c r="E46" s="601"/>
      <c r="F46" s="601"/>
      <c r="G46" s="386"/>
      <c r="H46" s="376"/>
      <c r="I46" s="377" t="s">
        <v>498</v>
      </c>
      <c r="J46" s="498" t="s">
        <v>498</v>
      </c>
      <c r="K46" s="500" t="str">
        <f>CHOOSE(Q46, 'Variable Management'!N69,'Variable Management'!N70,'Variable Management'!N71)</f>
        <v>2.0 x 1.25</v>
      </c>
      <c r="L46" s="494">
        <f>CHOOSE(Q46, 'Variable Management'!O69,'Variable Management'!O70,'Variable Management'!O71)</f>
        <v>2.5</v>
      </c>
      <c r="P46" s="519"/>
      <c r="Q46" s="522">
        <v>3</v>
      </c>
      <c r="R46" s="519"/>
      <c r="S46" s="519"/>
    </row>
    <row r="47" spans="1:19" s="366" customFormat="1" ht="17.149999999999999" customHeight="1" x14ac:dyDescent="0.25">
      <c r="A47" s="373">
        <v>1</v>
      </c>
      <c r="B47" s="374" t="s">
        <v>508</v>
      </c>
      <c r="C47" s="387">
        <v>0.1</v>
      </c>
      <c r="D47" s="611">
        <f t="shared" si="0"/>
        <v>0.1</v>
      </c>
      <c r="E47" s="612"/>
      <c r="F47" s="612"/>
      <c r="G47" s="386"/>
      <c r="H47" s="376"/>
      <c r="I47" s="377" t="s">
        <v>498</v>
      </c>
      <c r="J47" s="498" t="s">
        <v>498</v>
      </c>
      <c r="K47" s="500" t="str">
        <f>CHOOSE(Q47, 'Variable Management'!N69,'Variable Management'!N70,'Variable Management'!N71)</f>
        <v>1.6 x 0.8</v>
      </c>
      <c r="L47" s="494">
        <f>CHOOSE(Q47, 'Variable Management'!O69,'Variable Management'!O70,'Variable Management'!O71)</f>
        <v>1.3</v>
      </c>
      <c r="P47" s="519"/>
      <c r="Q47" s="522">
        <v>2</v>
      </c>
      <c r="R47" s="519"/>
      <c r="S47" s="519"/>
    </row>
    <row r="48" spans="1:19" s="366" customFormat="1" ht="17.149999999999999" customHeight="1" x14ac:dyDescent="0.25">
      <c r="A48" s="362">
        <v>1</v>
      </c>
      <c r="B48" s="381" t="s">
        <v>606</v>
      </c>
      <c r="C48" s="390">
        <f>'Design Regulator'!E17</f>
        <v>6.8</v>
      </c>
      <c r="D48" s="602" t="str">
        <f>"Inductor, "&amp;Lout2*1000000&amp;"µH, "&amp;Rdcr*1000&amp;"mΩ, &gt;"&amp;ROUNDUP(Ilsat,0)&amp;"A"</f>
        <v>Inductor, 6.8µH, 12mΩ, &gt;17A</v>
      </c>
      <c r="E48" s="603"/>
      <c r="F48" s="603"/>
      <c r="G48" s="608"/>
      <c r="H48" s="385"/>
      <c r="I48" s="385" t="s">
        <v>511</v>
      </c>
      <c r="J48" s="497" t="s">
        <v>511</v>
      </c>
      <c r="K48" s="501" t="str">
        <f>CHOOSE(Q48, 'Variable Management'!N78,'Variable Management'!N79,'Variable Management'!N80, 'Variable Management'!N81, 'Variable Management'!N82, 'Variable Management'!N83, 'Variable Management'!N84, 'Variable Management'!N85)</f>
        <v>10.0 x 10.0</v>
      </c>
      <c r="L48" s="502">
        <f>CHOOSE(Q48, 'Variable Management'!O78,'Variable Management'!O79,'Variable Management'!O80, 'Variable Management'!O81, 'Variable Management'!O82, 'Variable Management'!O83, 'Variable Management'!O84, 'Variable Management'!O85)</f>
        <v>100</v>
      </c>
      <c r="P48" s="519"/>
      <c r="Q48" s="522">
        <v>7</v>
      </c>
      <c r="R48" s="519"/>
      <c r="S48" s="519"/>
    </row>
    <row r="49" spans="1:19" s="366" customFormat="1" ht="17.149999999999999" customHeight="1" x14ac:dyDescent="0.25">
      <c r="A49" s="373">
        <f>R49</f>
        <v>1</v>
      </c>
      <c r="B49" s="374" t="s">
        <v>512</v>
      </c>
      <c r="C49" s="389" t="s">
        <v>499</v>
      </c>
      <c r="D49" s="583">
        <f>'Design Regulator'!E84</f>
        <v>22</v>
      </c>
      <c r="E49" s="584"/>
      <c r="F49" s="584"/>
      <c r="G49" s="585"/>
      <c r="H49" s="377"/>
      <c r="I49" s="377" t="str">
        <f>'Design Regulator'!E83</f>
        <v>NVMFS6B25NL</v>
      </c>
      <c r="J49" s="498" t="s">
        <v>500</v>
      </c>
      <c r="K49" s="500" t="str">
        <f>CHOOSE(Q49, 'Variable Management'!N48,'Variable Management'!N49,'Variable Management'!N50,'Variable Management'!N51)</f>
        <v>5.0 x 6.0</v>
      </c>
      <c r="L49" s="494">
        <f>CHOOSE(Q49, 'Variable Management'!O48,'Variable Management'!O49,'Variable Management'!O50,'Variable Management'!O51)*R49</f>
        <v>30</v>
      </c>
      <c r="P49" s="519"/>
      <c r="Q49" s="522">
        <v>1</v>
      </c>
      <c r="R49" s="522">
        <v>1</v>
      </c>
      <c r="S49" s="519"/>
    </row>
    <row r="50" spans="1:19" s="366" customFormat="1" ht="17.149999999999999" customHeight="1" x14ac:dyDescent="0.25">
      <c r="A50" s="373">
        <f>R50</f>
        <v>1</v>
      </c>
      <c r="B50" s="374" t="s">
        <v>513</v>
      </c>
      <c r="C50" s="389" t="s">
        <v>499</v>
      </c>
      <c r="D50" s="583">
        <f>'Design Regulator'!E96</f>
        <v>10</v>
      </c>
      <c r="E50" s="584"/>
      <c r="F50" s="584"/>
      <c r="G50" s="585"/>
      <c r="H50" s="377"/>
      <c r="I50" s="377" t="str">
        <f>'Design Regulator'!E95</f>
        <v>NVMFS6B14NL</v>
      </c>
      <c r="J50" s="498" t="s">
        <v>500</v>
      </c>
      <c r="K50" s="500" t="str">
        <f>CHOOSE(Q50, 'Variable Management'!N48,'Variable Management'!N49,'Variable Management'!N50,'Variable Management'!N51)</f>
        <v>5.0 x 6.0</v>
      </c>
      <c r="L50" s="494">
        <f>CHOOSE(Q50, 'Variable Management'!O48,'Variable Management'!O49,'Variable Management'!O50,'Variable Management'!O51)*R50</f>
        <v>30</v>
      </c>
      <c r="P50" s="519"/>
      <c r="Q50" s="522">
        <v>1</v>
      </c>
      <c r="R50" s="522">
        <v>1</v>
      </c>
      <c r="S50" s="519"/>
    </row>
    <row r="51" spans="1:19" s="366" customFormat="1" ht="17.149999999999999" customHeight="1" x14ac:dyDescent="0.25">
      <c r="A51" s="373"/>
      <c r="B51" s="374"/>
      <c r="C51" s="389"/>
      <c r="D51" s="483"/>
      <c r="E51" s="484"/>
      <c r="F51" s="484"/>
      <c r="G51" s="485"/>
      <c r="H51" s="377"/>
      <c r="I51" s="377"/>
      <c r="J51" s="498"/>
      <c r="K51" s="500"/>
      <c r="L51" s="494"/>
      <c r="P51" s="519"/>
      <c r="Q51" s="522"/>
      <c r="R51" s="519"/>
      <c r="S51" s="519"/>
    </row>
    <row r="52" spans="1:19" s="366" customFormat="1" ht="17.149999999999999" customHeight="1" x14ac:dyDescent="0.25">
      <c r="A52" s="367">
        <v>1</v>
      </c>
      <c r="B52" s="368" t="s">
        <v>514</v>
      </c>
      <c r="C52" s="369">
        <f>'Design Regulator'!D73</f>
        <v>8.06</v>
      </c>
      <c r="D52" s="580">
        <f t="shared" ref="D52:D62" si="2">C52</f>
        <v>8.06</v>
      </c>
      <c r="E52" s="581"/>
      <c r="F52" s="581"/>
      <c r="G52" s="582"/>
      <c r="H52" s="370"/>
      <c r="I52" s="371" t="s">
        <v>498</v>
      </c>
      <c r="J52" s="499" t="s">
        <v>498</v>
      </c>
      <c r="K52" s="501" t="str">
        <f>CHOOSE(Q52, 'Variable Management'!N69,'Variable Management'!N70,'Variable Management'!N71)</f>
        <v>1.0 x 0.5</v>
      </c>
      <c r="L52" s="502">
        <f>CHOOSE(Q52, 'Variable Management'!O69,'Variable Management'!O70,'Variable Management'!O71)</f>
        <v>0.5</v>
      </c>
      <c r="P52" s="519"/>
      <c r="Q52" s="522">
        <v>1</v>
      </c>
      <c r="R52" s="519"/>
      <c r="S52" s="519"/>
    </row>
    <row r="53" spans="1:19" s="366" customFormat="1" ht="17.149999999999999" customHeight="1" x14ac:dyDescent="0.25">
      <c r="A53" s="367">
        <v>1</v>
      </c>
      <c r="B53" s="368" t="s">
        <v>515</v>
      </c>
      <c r="C53" s="372">
        <f>'Design Regulator'!D76</f>
        <v>51.1</v>
      </c>
      <c r="D53" s="604">
        <f t="shared" si="2"/>
        <v>51.1</v>
      </c>
      <c r="E53" s="605"/>
      <c r="F53" s="605"/>
      <c r="G53" s="606"/>
      <c r="H53" s="370"/>
      <c r="I53" s="371" t="s">
        <v>498</v>
      </c>
      <c r="J53" s="499" t="s">
        <v>498</v>
      </c>
      <c r="K53" s="501" t="str">
        <f>CHOOSE(Q52, 'Variable Management'!N69,'Variable Management'!N70,'Variable Management'!N71)</f>
        <v>1.0 x 0.5</v>
      </c>
      <c r="L53" s="502">
        <f>CHOOSE(Q53, 'Variable Management'!O69,'Variable Management'!O70,'Variable Management'!O71)</f>
        <v>0.5</v>
      </c>
      <c r="P53" s="519"/>
      <c r="Q53" s="522">
        <v>1</v>
      </c>
      <c r="R53" s="519"/>
      <c r="S53" s="519"/>
    </row>
    <row r="54" spans="1:19" s="366" customFormat="1" ht="17.149999999999999" customHeight="1" x14ac:dyDescent="0.25">
      <c r="A54" s="367">
        <v>1</v>
      </c>
      <c r="B54" s="368" t="s">
        <v>610</v>
      </c>
      <c r="C54" s="372">
        <f>'Design Regulator'!E25</f>
        <v>590</v>
      </c>
      <c r="D54" s="604">
        <f t="shared" si="2"/>
        <v>590</v>
      </c>
      <c r="E54" s="605"/>
      <c r="F54" s="605"/>
      <c r="G54" s="606"/>
      <c r="H54" s="370"/>
      <c r="I54" s="371" t="s">
        <v>498</v>
      </c>
      <c r="J54" s="499" t="s">
        <v>498</v>
      </c>
      <c r="K54" s="501" t="str">
        <f>CHOOSE(Q52, 'Variable Management'!N69,'Variable Management'!N70,'Variable Management'!N71)</f>
        <v>1.0 x 0.5</v>
      </c>
      <c r="L54" s="502">
        <f>CHOOSE(Q54, 'Variable Management'!O69,'Variable Management'!O70,'Variable Management'!O71)</f>
        <v>2.5</v>
      </c>
      <c r="P54" s="519"/>
      <c r="Q54" s="522">
        <v>3</v>
      </c>
      <c r="R54" s="519"/>
      <c r="S54" s="519"/>
    </row>
    <row r="55" spans="1:19" s="366" customFormat="1" ht="17.149999999999999" customHeight="1" x14ac:dyDescent="0.25">
      <c r="A55" s="367">
        <v>1</v>
      </c>
      <c r="B55" s="368" t="s">
        <v>611</v>
      </c>
      <c r="C55" s="369">
        <f>'Design Regulator'!E13</f>
        <v>24.9</v>
      </c>
      <c r="D55" s="580">
        <f t="shared" si="2"/>
        <v>24.9</v>
      </c>
      <c r="E55" s="581"/>
      <c r="F55" s="581"/>
      <c r="G55" s="582"/>
      <c r="H55" s="370"/>
      <c r="I55" s="371" t="s">
        <v>498</v>
      </c>
      <c r="J55" s="499" t="s">
        <v>498</v>
      </c>
      <c r="K55" s="501" t="str">
        <f>CHOOSE(Q55, 'Variable Management'!N69,'Variable Management'!N70,'Variable Management'!N71)</f>
        <v>1.0 x 0.5</v>
      </c>
      <c r="L55" s="502">
        <f>CHOOSE(Q55, 'Variable Management'!O69,'Variable Management'!O70,'Variable Management'!O71)</f>
        <v>0.5</v>
      </c>
      <c r="P55" s="519"/>
      <c r="Q55" s="522">
        <v>1</v>
      </c>
      <c r="R55" s="519"/>
      <c r="S55" s="519"/>
    </row>
    <row r="56" spans="1:19" s="366" customFormat="1" ht="17.149999999999999" customHeight="1" x14ac:dyDescent="0.25">
      <c r="A56" s="367">
        <v>1</v>
      </c>
      <c r="B56" s="368" t="s">
        <v>521</v>
      </c>
      <c r="C56" s="369">
        <f>'Design Regulator'!E62</f>
        <v>21</v>
      </c>
      <c r="D56" s="580">
        <f t="shared" si="2"/>
        <v>21</v>
      </c>
      <c r="E56" s="581"/>
      <c r="F56" s="581"/>
      <c r="G56" s="582"/>
      <c r="H56" s="370"/>
      <c r="I56" s="371" t="s">
        <v>498</v>
      </c>
      <c r="J56" s="499" t="s">
        <v>498</v>
      </c>
      <c r="K56" s="501" t="str">
        <f>CHOOSE(Q56, 'Variable Management'!N69,'Variable Management'!N70,'Variable Management'!N71)</f>
        <v>1.0 x 0.5</v>
      </c>
      <c r="L56" s="502">
        <f>CHOOSE(Q56, 'Variable Management'!O69,'Variable Management'!O70,'Variable Management'!O71)</f>
        <v>0.5</v>
      </c>
      <c r="P56" s="519"/>
      <c r="Q56" s="522">
        <v>1</v>
      </c>
      <c r="R56" s="519"/>
      <c r="S56" s="519"/>
    </row>
    <row r="57" spans="1:19" s="366" customFormat="1" ht="17.149999999999999" customHeight="1" x14ac:dyDescent="0.25">
      <c r="A57" s="367">
        <v>1</v>
      </c>
      <c r="B57" s="368" t="s">
        <v>522</v>
      </c>
      <c r="C57" s="369">
        <f>'Design Regulator'!E63</f>
        <v>1.5</v>
      </c>
      <c r="D57" s="580">
        <f t="shared" si="2"/>
        <v>1.5</v>
      </c>
      <c r="E57" s="581"/>
      <c r="F57" s="581"/>
      <c r="G57" s="582"/>
      <c r="H57" s="370"/>
      <c r="I57" s="371" t="s">
        <v>498</v>
      </c>
      <c r="J57" s="499" t="s">
        <v>498</v>
      </c>
      <c r="K57" s="501" t="str">
        <f>CHOOSE(Q57, 'Variable Management'!N69,'Variable Management'!N70,'Variable Management'!N71)</f>
        <v>1.0 x 0.5</v>
      </c>
      <c r="L57" s="502">
        <f>CHOOSE(Q57, 'Variable Management'!O69,'Variable Management'!O70,'Variable Management'!O71)</f>
        <v>0.5</v>
      </c>
      <c r="P57" s="519"/>
      <c r="Q57" s="522">
        <v>1</v>
      </c>
      <c r="R57" s="519"/>
      <c r="S57" s="519"/>
    </row>
    <row r="58" spans="1:19" s="366" customFormat="1" ht="17.149999999999999" customHeight="1" x14ac:dyDescent="0.25">
      <c r="A58" s="373">
        <v>1</v>
      </c>
      <c r="B58" s="374" t="s">
        <v>520</v>
      </c>
      <c r="C58" s="375">
        <v>20</v>
      </c>
      <c r="D58" s="577">
        <f t="shared" si="2"/>
        <v>20</v>
      </c>
      <c r="E58" s="578"/>
      <c r="F58" s="578"/>
      <c r="G58" s="579"/>
      <c r="H58" s="376"/>
      <c r="I58" s="377" t="s">
        <v>498</v>
      </c>
      <c r="J58" s="498" t="s">
        <v>498</v>
      </c>
      <c r="K58" s="500" t="str">
        <f>CHOOSE(Q58, 'Variable Management'!N69,'Variable Management'!N70,'Variable Management'!N71)</f>
        <v>1.0 x 0.5</v>
      </c>
      <c r="L58" s="494">
        <f>CHOOSE(Q58, 'Variable Management'!O69,'Variable Management'!O70,'Variable Management'!O71)</f>
        <v>0.5</v>
      </c>
      <c r="P58" s="519"/>
      <c r="Q58" s="522">
        <v>1</v>
      </c>
      <c r="R58" s="519"/>
      <c r="S58" s="519"/>
    </row>
    <row r="59" spans="1:19" s="366" customFormat="1" ht="17.149999999999999" customHeight="1" x14ac:dyDescent="0.25">
      <c r="A59" s="373">
        <v>1</v>
      </c>
      <c r="B59" s="374" t="s">
        <v>519</v>
      </c>
      <c r="C59" s="539">
        <f>'Design Regulator'!E23</f>
        <v>2</v>
      </c>
      <c r="D59" s="589">
        <f t="shared" si="2"/>
        <v>2</v>
      </c>
      <c r="E59" s="590"/>
      <c r="F59" s="590"/>
      <c r="G59" s="591"/>
      <c r="H59" s="538">
        <v>1206</v>
      </c>
      <c r="I59" s="377" t="s">
        <v>498</v>
      </c>
      <c r="J59" s="498" t="s">
        <v>498</v>
      </c>
      <c r="K59" s="500" t="s">
        <v>643</v>
      </c>
      <c r="L59" s="494">
        <f>CHOOSE(RDSON_sense, 0,5.1)</f>
        <v>0</v>
      </c>
      <c r="P59" s="519"/>
      <c r="Q59" s="522"/>
      <c r="R59" s="519"/>
      <c r="S59" s="519"/>
    </row>
    <row r="60" spans="1:19" s="366" customFormat="1" ht="17.149999999999999" customHeight="1" x14ac:dyDescent="0.25">
      <c r="A60" s="367">
        <v>1</v>
      </c>
      <c r="B60" s="368" t="s">
        <v>516</v>
      </c>
      <c r="C60" s="369">
        <f>'Design Regulator'!E52</f>
        <v>100</v>
      </c>
      <c r="D60" s="580">
        <f t="shared" si="2"/>
        <v>100</v>
      </c>
      <c r="E60" s="581"/>
      <c r="F60" s="581"/>
      <c r="G60" s="582"/>
      <c r="H60" s="370"/>
      <c r="I60" s="371" t="s">
        <v>498</v>
      </c>
      <c r="J60" s="499" t="s">
        <v>498</v>
      </c>
      <c r="K60" s="501" t="str">
        <f>CHOOSE(Q60, 'Variable Management'!N69,'Variable Management'!N70,'Variable Management'!N71)</f>
        <v>1.6 x 0.8</v>
      </c>
      <c r="L60" s="502">
        <f>CHOOSE(Q60, 'Variable Management'!O69,'Variable Management'!O70,'Variable Management'!O71)</f>
        <v>1.3</v>
      </c>
      <c r="P60" s="519"/>
      <c r="Q60" s="522">
        <v>2</v>
      </c>
      <c r="R60" s="519"/>
      <c r="S60" s="519"/>
    </row>
    <row r="61" spans="1:19" s="366" customFormat="1" ht="17.149999999999999" customHeight="1" x14ac:dyDescent="0.25">
      <c r="A61" s="367">
        <v>1</v>
      </c>
      <c r="B61" s="368" t="s">
        <v>517</v>
      </c>
      <c r="C61" s="369">
        <f>'Design Regulator'!E53</f>
        <v>9.31</v>
      </c>
      <c r="D61" s="580">
        <f t="shared" si="2"/>
        <v>9.31</v>
      </c>
      <c r="E61" s="581"/>
      <c r="F61" s="581"/>
      <c r="G61" s="582"/>
      <c r="H61" s="370"/>
      <c r="I61" s="371" t="s">
        <v>498</v>
      </c>
      <c r="J61" s="499" t="s">
        <v>498</v>
      </c>
      <c r="K61" s="501" t="str">
        <f>CHOOSE(Q61, 'Variable Management'!N69,'Variable Management'!N70,'Variable Management'!N71)</f>
        <v>1.0 x 0.5</v>
      </c>
      <c r="L61" s="502">
        <f>CHOOSE(Q61, 'Variable Management'!O69,'Variable Management'!O70,'Variable Management'!O71)</f>
        <v>0.5</v>
      </c>
      <c r="P61" s="519"/>
      <c r="Q61" s="522">
        <v>1</v>
      </c>
      <c r="R61" s="519"/>
      <c r="S61" s="519"/>
    </row>
    <row r="62" spans="1:19" s="366" customFormat="1" ht="17.149999999999999" customHeight="1" x14ac:dyDescent="0.25">
      <c r="A62" s="373">
        <v>1</v>
      </c>
      <c r="B62" s="374" t="s">
        <v>518</v>
      </c>
      <c r="C62" s="391">
        <v>2.2000000000000002</v>
      </c>
      <c r="D62" s="586">
        <f t="shared" si="2"/>
        <v>2.2000000000000002</v>
      </c>
      <c r="E62" s="587"/>
      <c r="F62" s="587"/>
      <c r="G62" s="588"/>
      <c r="H62" s="376"/>
      <c r="I62" s="377" t="s">
        <v>498</v>
      </c>
      <c r="J62" s="498" t="s">
        <v>498</v>
      </c>
      <c r="K62" s="500" t="str">
        <f>CHOOSE(Q62, 'Variable Management'!N69,'Variable Management'!N70,'Variable Management'!N71)</f>
        <v>1.0 x 0.5</v>
      </c>
      <c r="L62" s="494">
        <f>CHOOSE(Q62, 'Variable Management'!O69,'Variable Management'!O70,'Variable Management'!O71)</f>
        <v>0.5</v>
      </c>
      <c r="P62" s="519"/>
      <c r="Q62" s="522">
        <v>1</v>
      </c>
      <c r="R62" s="519"/>
      <c r="S62" s="519"/>
    </row>
    <row r="63" spans="1:19" s="366" customFormat="1" ht="17.149999999999999" customHeight="1" x14ac:dyDescent="0.25">
      <c r="A63" s="393">
        <v>1</v>
      </c>
      <c r="B63" s="394" t="s">
        <v>523</v>
      </c>
      <c r="C63" s="392" t="s">
        <v>750</v>
      </c>
      <c r="D63" s="574" t="s">
        <v>755</v>
      </c>
      <c r="E63" s="575"/>
      <c r="F63" s="575"/>
      <c r="G63" s="576"/>
      <c r="H63" s="395" t="s">
        <v>627</v>
      </c>
      <c r="I63" s="395" t="s">
        <v>756</v>
      </c>
      <c r="J63" s="482" t="s">
        <v>500</v>
      </c>
      <c r="K63" s="500" t="s">
        <v>714</v>
      </c>
      <c r="L63" s="495">
        <v>15.75</v>
      </c>
      <c r="P63" s="519"/>
      <c r="Q63" s="522"/>
      <c r="R63" s="519"/>
      <c r="S63" s="519"/>
    </row>
    <row r="64" spans="1:19" x14ac:dyDescent="0.25">
      <c r="L64" s="493"/>
      <c r="P64" s="529"/>
      <c r="Q64" s="530"/>
      <c r="R64" s="529"/>
      <c r="S64" s="529"/>
    </row>
    <row r="65" spans="1:15" ht="17.5" x14ac:dyDescent="0.35">
      <c r="I65" s="607" t="s">
        <v>677</v>
      </c>
      <c r="J65" s="607"/>
      <c r="K65" s="607"/>
      <c r="L65" s="505">
        <f>SUM(L38:L63)*1.25</f>
        <v>290.9375</v>
      </c>
      <c r="M65" s="506" t="s">
        <v>678</v>
      </c>
      <c r="N65" s="507">
        <f>L65/25.4/25.4</f>
        <v>0.45095402690805392</v>
      </c>
      <c r="O65" s="506" t="s">
        <v>679</v>
      </c>
    </row>
    <row r="66" spans="1:15" ht="13" x14ac:dyDescent="0.3">
      <c r="A66" s="404" t="s">
        <v>541</v>
      </c>
    </row>
    <row r="67" spans="1:15" x14ac:dyDescent="0.25">
      <c r="A67" s="359" t="s">
        <v>540</v>
      </c>
    </row>
    <row r="68" spans="1:15" ht="13" x14ac:dyDescent="0.3">
      <c r="A68" s="359" t="s">
        <v>713</v>
      </c>
    </row>
    <row r="455" spans="17:17" x14ac:dyDescent="0.25">
      <c r="Q455" s="359">
        <v>2</v>
      </c>
    </row>
  </sheetData>
  <sheetProtection password="CCC8" sheet="1" objects="1" scenarios="1" selectLockedCells="1" selectUnlockedCells="1"/>
  <mergeCells count="27">
    <mergeCell ref="I65:K65"/>
    <mergeCell ref="D54:G54"/>
    <mergeCell ref="D48:G48"/>
    <mergeCell ref="D44:F44"/>
    <mergeCell ref="D45:F45"/>
    <mergeCell ref="D47:F47"/>
    <mergeCell ref="D42:F42"/>
    <mergeCell ref="D46:F46"/>
    <mergeCell ref="D43:F43"/>
    <mergeCell ref="D52:G52"/>
    <mergeCell ref="D53:G53"/>
    <mergeCell ref="D37:G37"/>
    <mergeCell ref="D63:G63"/>
    <mergeCell ref="D58:G58"/>
    <mergeCell ref="D56:G56"/>
    <mergeCell ref="D57:G57"/>
    <mergeCell ref="D49:G49"/>
    <mergeCell ref="D50:G50"/>
    <mergeCell ref="D55:G55"/>
    <mergeCell ref="D60:G60"/>
    <mergeCell ref="D61:G61"/>
    <mergeCell ref="D62:G62"/>
    <mergeCell ref="D59:G59"/>
    <mergeCell ref="D38:F38"/>
    <mergeCell ref="D39:F39"/>
    <mergeCell ref="D40:F40"/>
    <mergeCell ref="D41:F41"/>
  </mergeCells>
  <conditionalFormatting sqref="A59:J59">
    <cfRule type="expression" dxfId="4" priority="6">
      <formula>RDSON_sense=1</formula>
    </cfRule>
  </conditionalFormatting>
  <conditionalFormatting sqref="K59">
    <cfRule type="expression" dxfId="3" priority="5">
      <formula>RDSON_sense=1</formula>
    </cfRule>
  </conditionalFormatting>
  <conditionalFormatting sqref="L59">
    <cfRule type="expression" dxfId="2" priority="3">
      <formula>RDSON_sense=1</formula>
    </cfRule>
  </conditionalFormatting>
  <conditionalFormatting sqref="A42:F42">
    <cfRule type="expression" dxfId="1" priority="2">
      <formula>RDSON_sense=0</formula>
    </cfRule>
  </conditionalFormatting>
  <conditionalFormatting sqref="I42:L42">
    <cfRule type="expression" dxfId="0" priority="1">
      <formula>RDSON_sense=0</formula>
    </cfRule>
  </conditionalFormatting>
  <printOptions horizontalCentered="1"/>
  <pageMargins left="0.23" right="0.23" top="0.7" bottom="0.61" header="0.3" footer="0.5"/>
  <pageSetup scale="84" fitToHeight="2" orientation="landscape" r:id="rId1"/>
  <headerFooter alignWithMargins="0"/>
  <rowBreaks count="1" manualBreakCount="1">
    <brk id="34" max="9" man="1"/>
  </rowBreaks>
  <ignoredErrors>
    <ignoredError sqref="L59"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673839" r:id="rId4" name="Drop Down 47">
              <controlPr defaultSize="0" autoLine="0" autoPict="0">
                <anchor moveWithCells="1">
                  <from>
                    <xdr:col>7</xdr:col>
                    <xdr:colOff>0</xdr:colOff>
                    <xdr:row>48</xdr:row>
                    <xdr:rowOff>0</xdr:rowOff>
                  </from>
                  <to>
                    <xdr:col>8</xdr:col>
                    <xdr:colOff>0</xdr:colOff>
                    <xdr:row>48</xdr:row>
                    <xdr:rowOff>203200</xdr:rowOff>
                  </to>
                </anchor>
              </controlPr>
            </control>
          </mc:Choice>
        </mc:AlternateContent>
        <mc:AlternateContent xmlns:mc="http://schemas.openxmlformats.org/markup-compatibility/2006">
          <mc:Choice Requires="x14">
            <control shapeId="673840" r:id="rId5" name="Drop Down 48">
              <controlPr defaultSize="0" autoLine="0" autoPict="0">
                <anchor moveWithCells="1">
                  <from>
                    <xdr:col>7</xdr:col>
                    <xdr:colOff>0</xdr:colOff>
                    <xdr:row>49</xdr:row>
                    <xdr:rowOff>0</xdr:rowOff>
                  </from>
                  <to>
                    <xdr:col>8</xdr:col>
                    <xdr:colOff>0</xdr:colOff>
                    <xdr:row>49</xdr:row>
                    <xdr:rowOff>203200</xdr:rowOff>
                  </to>
                </anchor>
              </controlPr>
            </control>
          </mc:Choice>
        </mc:AlternateContent>
        <mc:AlternateContent xmlns:mc="http://schemas.openxmlformats.org/markup-compatibility/2006">
          <mc:Choice Requires="x14">
            <control shapeId="673855" r:id="rId6" name="Drop Down 63">
              <controlPr defaultSize="0" autoLine="0" autoPict="0">
                <anchor moveWithCells="1">
                  <from>
                    <xdr:col>7</xdr:col>
                    <xdr:colOff>0</xdr:colOff>
                    <xdr:row>37</xdr:row>
                    <xdr:rowOff>0</xdr:rowOff>
                  </from>
                  <to>
                    <xdr:col>7</xdr:col>
                    <xdr:colOff>876300</xdr:colOff>
                    <xdr:row>37</xdr:row>
                    <xdr:rowOff>203200</xdr:rowOff>
                  </to>
                </anchor>
              </controlPr>
            </control>
          </mc:Choice>
        </mc:AlternateContent>
        <mc:AlternateContent xmlns:mc="http://schemas.openxmlformats.org/markup-compatibility/2006">
          <mc:Choice Requires="x14">
            <control shapeId="673857" r:id="rId7" name="Drop Down 65">
              <controlPr defaultSize="0" autoLine="0" autoPict="0">
                <anchor moveWithCells="1">
                  <from>
                    <xdr:col>7</xdr:col>
                    <xdr:colOff>0</xdr:colOff>
                    <xdr:row>38</xdr:row>
                    <xdr:rowOff>0</xdr:rowOff>
                  </from>
                  <to>
                    <xdr:col>7</xdr:col>
                    <xdr:colOff>876300</xdr:colOff>
                    <xdr:row>38</xdr:row>
                    <xdr:rowOff>203200</xdr:rowOff>
                  </to>
                </anchor>
              </controlPr>
            </control>
          </mc:Choice>
        </mc:AlternateContent>
        <mc:AlternateContent xmlns:mc="http://schemas.openxmlformats.org/markup-compatibility/2006">
          <mc:Choice Requires="x14">
            <control shapeId="673858" r:id="rId8" name="Drop Down 66">
              <controlPr defaultSize="0" autoLine="0" autoPict="0">
                <anchor moveWithCells="1">
                  <from>
                    <xdr:col>7</xdr:col>
                    <xdr:colOff>0</xdr:colOff>
                    <xdr:row>39</xdr:row>
                    <xdr:rowOff>0</xdr:rowOff>
                  </from>
                  <to>
                    <xdr:col>7</xdr:col>
                    <xdr:colOff>876300</xdr:colOff>
                    <xdr:row>39</xdr:row>
                    <xdr:rowOff>203200</xdr:rowOff>
                  </to>
                </anchor>
              </controlPr>
            </control>
          </mc:Choice>
        </mc:AlternateContent>
        <mc:AlternateContent xmlns:mc="http://schemas.openxmlformats.org/markup-compatibility/2006">
          <mc:Choice Requires="x14">
            <control shapeId="673859" r:id="rId9" name="Drop Down 67">
              <controlPr defaultSize="0" autoLine="0" autoPict="0">
                <anchor moveWithCells="1">
                  <from>
                    <xdr:col>7</xdr:col>
                    <xdr:colOff>0</xdr:colOff>
                    <xdr:row>40</xdr:row>
                    <xdr:rowOff>0</xdr:rowOff>
                  </from>
                  <to>
                    <xdr:col>7</xdr:col>
                    <xdr:colOff>876300</xdr:colOff>
                    <xdr:row>40</xdr:row>
                    <xdr:rowOff>203200</xdr:rowOff>
                  </to>
                </anchor>
              </controlPr>
            </control>
          </mc:Choice>
        </mc:AlternateContent>
        <mc:AlternateContent xmlns:mc="http://schemas.openxmlformats.org/markup-compatibility/2006">
          <mc:Choice Requires="x14">
            <control shapeId="673860" r:id="rId10" name="Drop Down 68">
              <controlPr defaultSize="0" autoLine="0" autoPict="0">
                <anchor moveWithCells="1">
                  <from>
                    <xdr:col>7</xdr:col>
                    <xdr:colOff>0</xdr:colOff>
                    <xdr:row>41</xdr:row>
                    <xdr:rowOff>0</xdr:rowOff>
                  </from>
                  <to>
                    <xdr:col>7</xdr:col>
                    <xdr:colOff>876300</xdr:colOff>
                    <xdr:row>41</xdr:row>
                    <xdr:rowOff>203200</xdr:rowOff>
                  </to>
                </anchor>
              </controlPr>
            </control>
          </mc:Choice>
        </mc:AlternateContent>
        <mc:AlternateContent xmlns:mc="http://schemas.openxmlformats.org/markup-compatibility/2006">
          <mc:Choice Requires="x14">
            <control shapeId="673861" r:id="rId11" name="Drop Down 69">
              <controlPr defaultSize="0" autoLine="0" autoPict="0">
                <anchor moveWithCells="1">
                  <from>
                    <xdr:col>7</xdr:col>
                    <xdr:colOff>0</xdr:colOff>
                    <xdr:row>44</xdr:row>
                    <xdr:rowOff>0</xdr:rowOff>
                  </from>
                  <to>
                    <xdr:col>7</xdr:col>
                    <xdr:colOff>876300</xdr:colOff>
                    <xdr:row>44</xdr:row>
                    <xdr:rowOff>203200</xdr:rowOff>
                  </to>
                </anchor>
              </controlPr>
            </control>
          </mc:Choice>
        </mc:AlternateContent>
        <mc:AlternateContent xmlns:mc="http://schemas.openxmlformats.org/markup-compatibility/2006">
          <mc:Choice Requires="x14">
            <control shapeId="673862" r:id="rId12" name="Drop Down 70">
              <controlPr defaultSize="0" autoLine="0" autoPict="0">
                <anchor moveWithCells="1">
                  <from>
                    <xdr:col>7</xdr:col>
                    <xdr:colOff>0</xdr:colOff>
                    <xdr:row>45</xdr:row>
                    <xdr:rowOff>0</xdr:rowOff>
                  </from>
                  <to>
                    <xdr:col>7</xdr:col>
                    <xdr:colOff>876300</xdr:colOff>
                    <xdr:row>45</xdr:row>
                    <xdr:rowOff>203200</xdr:rowOff>
                  </to>
                </anchor>
              </controlPr>
            </control>
          </mc:Choice>
        </mc:AlternateContent>
        <mc:AlternateContent xmlns:mc="http://schemas.openxmlformats.org/markup-compatibility/2006">
          <mc:Choice Requires="x14">
            <control shapeId="673863" r:id="rId13" name="Drop Down 71">
              <controlPr defaultSize="0" autoLine="0" autoPict="0">
                <anchor moveWithCells="1">
                  <from>
                    <xdr:col>7</xdr:col>
                    <xdr:colOff>0</xdr:colOff>
                    <xdr:row>46</xdr:row>
                    <xdr:rowOff>0</xdr:rowOff>
                  </from>
                  <to>
                    <xdr:col>7</xdr:col>
                    <xdr:colOff>876300</xdr:colOff>
                    <xdr:row>46</xdr:row>
                    <xdr:rowOff>203200</xdr:rowOff>
                  </to>
                </anchor>
              </controlPr>
            </control>
          </mc:Choice>
        </mc:AlternateContent>
        <mc:AlternateContent xmlns:mc="http://schemas.openxmlformats.org/markup-compatibility/2006">
          <mc:Choice Requires="x14">
            <control shapeId="673865" r:id="rId14" name="Drop Down 73">
              <controlPr defaultSize="0" autoLine="0" autoPict="0">
                <anchor moveWithCells="1">
                  <from>
                    <xdr:col>7</xdr:col>
                    <xdr:colOff>0</xdr:colOff>
                    <xdr:row>51</xdr:row>
                    <xdr:rowOff>0</xdr:rowOff>
                  </from>
                  <to>
                    <xdr:col>7</xdr:col>
                    <xdr:colOff>876300</xdr:colOff>
                    <xdr:row>51</xdr:row>
                    <xdr:rowOff>203200</xdr:rowOff>
                  </to>
                </anchor>
              </controlPr>
            </control>
          </mc:Choice>
        </mc:AlternateContent>
        <mc:AlternateContent xmlns:mc="http://schemas.openxmlformats.org/markup-compatibility/2006">
          <mc:Choice Requires="x14">
            <control shapeId="673866" r:id="rId15" name="Drop Down 74">
              <controlPr defaultSize="0" autoLine="0" autoPict="0">
                <anchor moveWithCells="1">
                  <from>
                    <xdr:col>7</xdr:col>
                    <xdr:colOff>0</xdr:colOff>
                    <xdr:row>52</xdr:row>
                    <xdr:rowOff>0</xdr:rowOff>
                  </from>
                  <to>
                    <xdr:col>7</xdr:col>
                    <xdr:colOff>876300</xdr:colOff>
                    <xdr:row>52</xdr:row>
                    <xdr:rowOff>203200</xdr:rowOff>
                  </to>
                </anchor>
              </controlPr>
            </control>
          </mc:Choice>
        </mc:AlternateContent>
        <mc:AlternateContent xmlns:mc="http://schemas.openxmlformats.org/markup-compatibility/2006">
          <mc:Choice Requires="x14">
            <control shapeId="673867" r:id="rId16" name="Drop Down 75">
              <controlPr defaultSize="0" autoLine="0" autoPict="0">
                <anchor moveWithCells="1">
                  <from>
                    <xdr:col>7</xdr:col>
                    <xdr:colOff>0</xdr:colOff>
                    <xdr:row>53</xdr:row>
                    <xdr:rowOff>0</xdr:rowOff>
                  </from>
                  <to>
                    <xdr:col>7</xdr:col>
                    <xdr:colOff>876300</xdr:colOff>
                    <xdr:row>53</xdr:row>
                    <xdr:rowOff>203200</xdr:rowOff>
                  </to>
                </anchor>
              </controlPr>
            </control>
          </mc:Choice>
        </mc:AlternateContent>
        <mc:AlternateContent xmlns:mc="http://schemas.openxmlformats.org/markup-compatibility/2006">
          <mc:Choice Requires="x14">
            <control shapeId="673868" r:id="rId17" name="Drop Down 76">
              <controlPr defaultSize="0" autoLine="0" autoPict="0">
                <anchor moveWithCells="1">
                  <from>
                    <xdr:col>7</xdr:col>
                    <xdr:colOff>0</xdr:colOff>
                    <xdr:row>54</xdr:row>
                    <xdr:rowOff>0</xdr:rowOff>
                  </from>
                  <to>
                    <xdr:col>7</xdr:col>
                    <xdr:colOff>876300</xdr:colOff>
                    <xdr:row>54</xdr:row>
                    <xdr:rowOff>203200</xdr:rowOff>
                  </to>
                </anchor>
              </controlPr>
            </control>
          </mc:Choice>
        </mc:AlternateContent>
        <mc:AlternateContent xmlns:mc="http://schemas.openxmlformats.org/markup-compatibility/2006">
          <mc:Choice Requires="x14">
            <control shapeId="673869" r:id="rId18" name="Drop Down 77">
              <controlPr defaultSize="0" autoLine="0" autoPict="0">
                <anchor moveWithCells="1">
                  <from>
                    <xdr:col>7</xdr:col>
                    <xdr:colOff>0</xdr:colOff>
                    <xdr:row>55</xdr:row>
                    <xdr:rowOff>0</xdr:rowOff>
                  </from>
                  <to>
                    <xdr:col>7</xdr:col>
                    <xdr:colOff>876300</xdr:colOff>
                    <xdr:row>55</xdr:row>
                    <xdr:rowOff>203200</xdr:rowOff>
                  </to>
                </anchor>
              </controlPr>
            </control>
          </mc:Choice>
        </mc:AlternateContent>
        <mc:AlternateContent xmlns:mc="http://schemas.openxmlformats.org/markup-compatibility/2006">
          <mc:Choice Requires="x14">
            <control shapeId="673870" r:id="rId19" name="Drop Down 78">
              <controlPr defaultSize="0" autoLine="0" autoPict="0">
                <anchor moveWithCells="1">
                  <from>
                    <xdr:col>7</xdr:col>
                    <xdr:colOff>0</xdr:colOff>
                    <xdr:row>56</xdr:row>
                    <xdr:rowOff>0</xdr:rowOff>
                  </from>
                  <to>
                    <xdr:col>7</xdr:col>
                    <xdr:colOff>876300</xdr:colOff>
                    <xdr:row>56</xdr:row>
                    <xdr:rowOff>203200</xdr:rowOff>
                  </to>
                </anchor>
              </controlPr>
            </control>
          </mc:Choice>
        </mc:AlternateContent>
        <mc:AlternateContent xmlns:mc="http://schemas.openxmlformats.org/markup-compatibility/2006">
          <mc:Choice Requires="x14">
            <control shapeId="673871" r:id="rId20" name="Drop Down 79">
              <controlPr defaultSize="0" autoLine="0" autoPict="0">
                <anchor moveWithCells="1">
                  <from>
                    <xdr:col>7</xdr:col>
                    <xdr:colOff>0</xdr:colOff>
                    <xdr:row>57</xdr:row>
                    <xdr:rowOff>0</xdr:rowOff>
                  </from>
                  <to>
                    <xdr:col>7</xdr:col>
                    <xdr:colOff>876300</xdr:colOff>
                    <xdr:row>57</xdr:row>
                    <xdr:rowOff>203200</xdr:rowOff>
                  </to>
                </anchor>
              </controlPr>
            </control>
          </mc:Choice>
        </mc:AlternateContent>
        <mc:AlternateContent xmlns:mc="http://schemas.openxmlformats.org/markup-compatibility/2006">
          <mc:Choice Requires="x14">
            <control shapeId="673872" r:id="rId21" name="Drop Down 80">
              <controlPr defaultSize="0" autoLine="0" autoPict="0">
                <anchor moveWithCells="1">
                  <from>
                    <xdr:col>7</xdr:col>
                    <xdr:colOff>0</xdr:colOff>
                    <xdr:row>59</xdr:row>
                    <xdr:rowOff>0</xdr:rowOff>
                  </from>
                  <to>
                    <xdr:col>7</xdr:col>
                    <xdr:colOff>876300</xdr:colOff>
                    <xdr:row>59</xdr:row>
                    <xdr:rowOff>203200</xdr:rowOff>
                  </to>
                </anchor>
              </controlPr>
            </control>
          </mc:Choice>
        </mc:AlternateContent>
        <mc:AlternateContent xmlns:mc="http://schemas.openxmlformats.org/markup-compatibility/2006">
          <mc:Choice Requires="x14">
            <control shapeId="673873" r:id="rId22" name="Drop Down 81">
              <controlPr defaultSize="0" autoLine="0" autoPict="0">
                <anchor moveWithCells="1">
                  <from>
                    <xdr:col>7</xdr:col>
                    <xdr:colOff>0</xdr:colOff>
                    <xdr:row>60</xdr:row>
                    <xdr:rowOff>0</xdr:rowOff>
                  </from>
                  <to>
                    <xdr:col>7</xdr:col>
                    <xdr:colOff>876300</xdr:colOff>
                    <xdr:row>60</xdr:row>
                    <xdr:rowOff>203200</xdr:rowOff>
                  </to>
                </anchor>
              </controlPr>
            </control>
          </mc:Choice>
        </mc:AlternateContent>
        <mc:AlternateContent xmlns:mc="http://schemas.openxmlformats.org/markup-compatibility/2006">
          <mc:Choice Requires="x14">
            <control shapeId="673874" r:id="rId23" name="Drop Down 82">
              <controlPr defaultSize="0" autoLine="0" autoPict="0">
                <anchor moveWithCells="1">
                  <from>
                    <xdr:col>7</xdr:col>
                    <xdr:colOff>0</xdr:colOff>
                    <xdr:row>61</xdr:row>
                    <xdr:rowOff>0</xdr:rowOff>
                  </from>
                  <to>
                    <xdr:col>7</xdr:col>
                    <xdr:colOff>876300</xdr:colOff>
                    <xdr:row>61</xdr:row>
                    <xdr:rowOff>203200</xdr:rowOff>
                  </to>
                </anchor>
              </controlPr>
            </control>
          </mc:Choice>
        </mc:AlternateContent>
        <mc:AlternateContent xmlns:mc="http://schemas.openxmlformats.org/markup-compatibility/2006">
          <mc:Choice Requires="x14">
            <control shapeId="673877" r:id="rId24" name="Drop Down 85">
              <controlPr defaultSize="0" autoLine="0" autoPict="0">
                <anchor moveWithCells="1">
                  <from>
                    <xdr:col>7</xdr:col>
                    <xdr:colOff>0</xdr:colOff>
                    <xdr:row>47</xdr:row>
                    <xdr:rowOff>0</xdr:rowOff>
                  </from>
                  <to>
                    <xdr:col>7</xdr:col>
                    <xdr:colOff>876300</xdr:colOff>
                    <xdr:row>47</xdr:row>
                    <xdr:rowOff>203200</xdr:rowOff>
                  </to>
                </anchor>
              </controlPr>
            </control>
          </mc:Choice>
        </mc:AlternateContent>
        <mc:AlternateContent xmlns:mc="http://schemas.openxmlformats.org/markup-compatibility/2006">
          <mc:Choice Requires="x14">
            <control shapeId="673878" r:id="rId25" name="Drop Down 86">
              <controlPr defaultSize="0" autoLine="0" autoPict="0">
                <anchor moveWithCells="1">
                  <from>
                    <xdr:col>7</xdr:col>
                    <xdr:colOff>0</xdr:colOff>
                    <xdr:row>42</xdr:row>
                    <xdr:rowOff>0</xdr:rowOff>
                  </from>
                  <to>
                    <xdr:col>7</xdr:col>
                    <xdr:colOff>876300</xdr:colOff>
                    <xdr:row>42</xdr:row>
                    <xdr:rowOff>203200</xdr:rowOff>
                  </to>
                </anchor>
              </controlPr>
            </control>
          </mc:Choice>
        </mc:AlternateContent>
        <mc:AlternateContent xmlns:mc="http://schemas.openxmlformats.org/markup-compatibility/2006">
          <mc:Choice Requires="x14">
            <control shapeId="673879" r:id="rId26" name="Drop Down 87">
              <controlPr defaultSize="0" autoLine="0" autoPict="0">
                <anchor moveWithCells="1">
                  <from>
                    <xdr:col>7</xdr:col>
                    <xdr:colOff>0</xdr:colOff>
                    <xdr:row>43</xdr:row>
                    <xdr:rowOff>0</xdr:rowOff>
                  </from>
                  <to>
                    <xdr:col>7</xdr:col>
                    <xdr:colOff>876300</xdr:colOff>
                    <xdr:row>43</xdr:row>
                    <xdr:rowOff>203200</xdr:rowOff>
                  </to>
                </anchor>
              </controlPr>
            </control>
          </mc:Choice>
        </mc:AlternateContent>
        <mc:AlternateContent xmlns:mc="http://schemas.openxmlformats.org/markup-compatibility/2006">
          <mc:Choice Requires="x14">
            <control shapeId="674328" r:id="rId27" name="Drop Down 536">
              <controlPr defaultSize="0" autoLine="0" autoPict="0">
                <anchor moveWithCells="1">
                  <from>
                    <xdr:col>5</xdr:col>
                    <xdr:colOff>1174750</xdr:colOff>
                    <xdr:row>48</xdr:row>
                    <xdr:rowOff>12700</xdr:rowOff>
                  </from>
                  <to>
                    <xdr:col>6</xdr:col>
                    <xdr:colOff>641350</xdr:colOff>
                    <xdr:row>49</xdr:row>
                    <xdr:rowOff>0</xdr:rowOff>
                  </to>
                </anchor>
              </controlPr>
            </control>
          </mc:Choice>
        </mc:AlternateContent>
        <mc:AlternateContent xmlns:mc="http://schemas.openxmlformats.org/markup-compatibility/2006">
          <mc:Choice Requires="x14">
            <control shapeId="674330" r:id="rId28" name="Drop Down 538">
              <controlPr defaultSize="0" autoLine="0" autoPict="0">
                <anchor moveWithCells="1">
                  <from>
                    <xdr:col>5</xdr:col>
                    <xdr:colOff>1174750</xdr:colOff>
                    <xdr:row>49</xdr:row>
                    <xdr:rowOff>0</xdr:rowOff>
                  </from>
                  <to>
                    <xdr:col>6</xdr:col>
                    <xdr:colOff>641350</xdr:colOff>
                    <xdr:row>49</xdr:row>
                    <xdr:rowOff>203200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FF00"/>
    <pageSetUpPr fitToPage="1"/>
  </sheetPr>
  <dimension ref="A1:Y85"/>
  <sheetViews>
    <sheetView zoomScale="85" zoomScaleNormal="85" zoomScaleSheetLayoutView="80" workbookViewId="0">
      <selection activeCell="F3" sqref="F3"/>
    </sheetView>
  </sheetViews>
  <sheetFormatPr defaultColWidth="9.1796875" defaultRowHeight="12.5" x14ac:dyDescent="0.25"/>
  <cols>
    <col min="1" max="13" width="9.1796875" style="559"/>
    <col min="14" max="14" width="11.81640625" style="559" customWidth="1"/>
    <col min="15" max="16" width="9.1796875" style="559"/>
    <col min="17" max="17" width="15.7265625" style="559" customWidth="1"/>
    <col min="18" max="16384" width="9.1796875" style="559"/>
  </cols>
  <sheetData>
    <row r="1" spans="1:23" s="558" customFormat="1" ht="47.25" customHeight="1" x14ac:dyDescent="0.3">
      <c r="A1" s="613" t="s">
        <v>748</v>
      </c>
      <c r="B1" s="614"/>
      <c r="C1" s="614"/>
      <c r="D1" s="614"/>
      <c r="E1" s="614"/>
      <c r="F1" s="614"/>
      <c r="G1" s="614"/>
      <c r="H1" s="614"/>
      <c r="I1" s="614"/>
      <c r="J1" s="614"/>
      <c r="K1" s="614"/>
      <c r="L1" s="614"/>
      <c r="M1" s="614"/>
      <c r="N1" s="614"/>
      <c r="O1" s="614"/>
      <c r="P1" s="614"/>
      <c r="Q1" s="614"/>
      <c r="R1" s="557"/>
    </row>
    <row r="2" spans="1:23" ht="20" x14ac:dyDescent="0.4">
      <c r="M2" s="560"/>
      <c r="W2" s="560"/>
    </row>
    <row r="3" spans="1:23" ht="20" x14ac:dyDescent="0.4">
      <c r="B3" s="560" t="s">
        <v>753</v>
      </c>
    </row>
    <row r="5" spans="1:23" ht="20" x14ac:dyDescent="0.25">
      <c r="O5" s="561"/>
    </row>
    <row r="6" spans="1:23" ht="20" x14ac:dyDescent="0.25">
      <c r="O6" s="561"/>
    </row>
    <row r="31" spans="15:15" ht="20" x14ac:dyDescent="0.25">
      <c r="O31" s="562"/>
    </row>
    <row r="32" spans="15:15" ht="20" x14ac:dyDescent="0.25">
      <c r="O32" s="561"/>
    </row>
    <row r="51" spans="15:25" x14ac:dyDescent="0.25">
      <c r="Y51" s="559" t="s">
        <v>754</v>
      </c>
    </row>
    <row r="57" spans="15:25" ht="20" x14ac:dyDescent="0.25">
      <c r="O57" s="562"/>
    </row>
    <row r="84" spans="15:15" ht="20" x14ac:dyDescent="0.25">
      <c r="O84" s="561"/>
    </row>
    <row r="85" spans="15:15" ht="20" x14ac:dyDescent="0.25">
      <c r="O85" s="561"/>
    </row>
  </sheetData>
  <sheetProtection password="CCC8" sheet="1" objects="1" scenarios="1" selectLockedCells="1"/>
  <mergeCells count="1">
    <mergeCell ref="A1:Q1"/>
  </mergeCells>
  <pageMargins left="0.19" right="0.2" top="0.75" bottom="0.75" header="0.3" footer="0.3"/>
  <pageSetup scale="30"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S349"/>
  <sheetViews>
    <sheetView workbookViewId="0">
      <pane ySplit="5" topLeftCell="A6" activePane="bottomLeft" state="frozenSplit"/>
      <selection pane="bottomLeft" activeCell="B18" sqref="B18"/>
    </sheetView>
  </sheetViews>
  <sheetFormatPr defaultRowHeight="12.5" x14ac:dyDescent="0.25"/>
  <cols>
    <col min="1" max="1" width="35.1796875" bestFit="1" customWidth="1"/>
    <col min="2" max="2" width="19.1796875" customWidth="1"/>
    <col min="7" max="7" width="18.81640625" customWidth="1"/>
    <col min="9" max="10" width="12.453125" bestFit="1" customWidth="1"/>
    <col min="12" max="12" width="19.81640625" customWidth="1"/>
    <col min="14" max="14" width="11.453125" customWidth="1"/>
    <col min="17" max="17" width="10.54296875" customWidth="1"/>
  </cols>
  <sheetData>
    <row r="1" spans="1:8" ht="40.5" customHeight="1" x14ac:dyDescent="0.6">
      <c r="A1" s="616" t="s">
        <v>286</v>
      </c>
      <c r="B1" s="616"/>
      <c r="C1" s="616"/>
      <c r="D1" s="616"/>
      <c r="E1" s="616"/>
      <c r="F1" s="616"/>
      <c r="G1" s="616"/>
      <c r="H1" s="616"/>
    </row>
    <row r="2" spans="1:8" ht="12" customHeight="1" x14ac:dyDescent="0.3">
      <c r="A2" s="78"/>
      <c r="B2" s="78" t="s">
        <v>360</v>
      </c>
      <c r="C2" s="79"/>
      <c r="D2" s="78"/>
      <c r="E2" s="78"/>
      <c r="F2" s="78"/>
      <c r="G2" s="78"/>
      <c r="H2" s="78"/>
    </row>
    <row r="3" spans="1:8" ht="11.25" customHeight="1" x14ac:dyDescent="0.3">
      <c r="A3" s="78"/>
      <c r="B3" s="78" t="s">
        <v>420</v>
      </c>
      <c r="C3" s="80"/>
      <c r="D3" s="78"/>
      <c r="E3" s="78"/>
      <c r="F3" s="78"/>
      <c r="G3" s="78"/>
      <c r="H3" s="78"/>
    </row>
    <row r="4" spans="1:8" ht="11.25" customHeight="1" x14ac:dyDescent="0.3">
      <c r="A4" s="78"/>
      <c r="B4" s="78" t="s">
        <v>361</v>
      </c>
      <c r="C4" s="81"/>
      <c r="D4" s="78"/>
      <c r="E4" s="78"/>
      <c r="F4" s="78"/>
      <c r="G4" s="78"/>
      <c r="H4" s="78"/>
    </row>
    <row r="5" spans="1:8" ht="13" x14ac:dyDescent="0.3">
      <c r="A5" s="2" t="s">
        <v>113</v>
      </c>
      <c r="B5" s="2" t="s">
        <v>8</v>
      </c>
      <c r="C5" s="2" t="s">
        <v>9</v>
      </c>
      <c r="D5" s="615" t="s">
        <v>13</v>
      </c>
      <c r="E5" s="615"/>
      <c r="F5" s="615"/>
      <c r="G5" s="615"/>
      <c r="H5" s="2" t="s">
        <v>38</v>
      </c>
    </row>
    <row r="6" spans="1:8" ht="16" thickBot="1" x14ac:dyDescent="0.4">
      <c r="A6" s="158" t="s">
        <v>288</v>
      </c>
      <c r="B6" s="133"/>
      <c r="C6" s="133"/>
      <c r="D6" s="159"/>
      <c r="E6" s="159"/>
      <c r="F6" s="159"/>
      <c r="G6" s="159"/>
      <c r="H6" s="133"/>
    </row>
    <row r="7" spans="1:8" x14ac:dyDescent="0.25">
      <c r="A7" s="160" t="s">
        <v>4</v>
      </c>
      <c r="B7" s="21">
        <f>'Design Regulator'!E7</f>
        <v>24</v>
      </c>
      <c r="C7" s="112" t="s">
        <v>0</v>
      </c>
      <c r="D7" s="112" t="s">
        <v>14</v>
      </c>
      <c r="E7" s="112"/>
      <c r="F7" s="112"/>
      <c r="G7" s="112"/>
      <c r="H7" s="113">
        <v>1</v>
      </c>
    </row>
    <row r="8" spans="1:8" x14ac:dyDescent="0.25">
      <c r="A8" s="445" t="s">
        <v>578</v>
      </c>
      <c r="B8" s="44">
        <f>'Design Regulator'!E6</f>
        <v>16</v>
      </c>
      <c r="C8" s="204" t="s">
        <v>0</v>
      </c>
      <c r="D8" s="204" t="s">
        <v>581</v>
      </c>
      <c r="E8" s="13"/>
      <c r="F8" s="13"/>
      <c r="G8" s="13"/>
      <c r="H8" s="106"/>
    </row>
    <row r="9" spans="1:8" x14ac:dyDescent="0.25">
      <c r="A9" s="445" t="s">
        <v>577</v>
      </c>
      <c r="B9" s="44">
        <f>'Design Regulator'!E8</f>
        <v>36</v>
      </c>
      <c r="C9" s="204" t="s">
        <v>0</v>
      </c>
      <c r="D9" s="204" t="s">
        <v>582</v>
      </c>
      <c r="E9" s="13"/>
      <c r="F9" s="13"/>
      <c r="G9" s="13"/>
      <c r="H9" s="106"/>
    </row>
    <row r="10" spans="1:8" x14ac:dyDescent="0.25">
      <c r="A10" s="105" t="s">
        <v>5</v>
      </c>
      <c r="B10" s="44">
        <f>'Design Regulator'!E9</f>
        <v>12</v>
      </c>
      <c r="C10" s="13" t="s">
        <v>0</v>
      </c>
      <c r="D10" s="13" t="s">
        <v>1</v>
      </c>
      <c r="E10" s="13"/>
      <c r="F10" s="13"/>
      <c r="G10" s="13"/>
      <c r="H10" s="106">
        <v>1</v>
      </c>
    </row>
    <row r="11" spans="1:8" x14ac:dyDescent="0.25">
      <c r="A11" s="105" t="s">
        <v>6</v>
      </c>
      <c r="B11" s="44">
        <f>'Design Regulator'!E10</f>
        <v>9</v>
      </c>
      <c r="C11" s="13" t="s">
        <v>2</v>
      </c>
      <c r="D11" s="13" t="s">
        <v>15</v>
      </c>
      <c r="E11" s="13"/>
      <c r="F11" s="13"/>
      <c r="G11" s="13"/>
      <c r="H11" s="106">
        <v>1</v>
      </c>
    </row>
    <row r="12" spans="1:8" x14ac:dyDescent="0.25">
      <c r="A12" s="107" t="s">
        <v>7</v>
      </c>
      <c r="B12" s="406">
        <f>IF(AND('Design Regulator'!E12&lt;='Design Regulator'!E11*1.5, 'Design Regulator'!E12&gt;='Design Regulator'!E11*0.8), 'Design Regulator'!E12*1000, 'Design Regulator'!E11*1000)</f>
        <v>400000</v>
      </c>
      <c r="C12" s="204" t="s">
        <v>10</v>
      </c>
      <c r="D12" s="13" t="s">
        <v>16</v>
      </c>
      <c r="E12" s="13"/>
      <c r="F12" s="13"/>
      <c r="G12" s="13"/>
      <c r="H12" s="106">
        <v>1</v>
      </c>
    </row>
    <row r="13" spans="1:8" x14ac:dyDescent="0.25">
      <c r="A13" s="445" t="s">
        <v>711</v>
      </c>
      <c r="B13" s="406">
        <f>'Design Regulator'!E11*1000</f>
        <v>400000</v>
      </c>
      <c r="C13" s="354" t="s">
        <v>10</v>
      </c>
      <c r="D13" s="354" t="s">
        <v>712</v>
      </c>
      <c r="E13" s="13"/>
      <c r="F13" s="13"/>
      <c r="G13" s="13"/>
      <c r="H13" s="106"/>
    </row>
    <row r="14" spans="1:8" x14ac:dyDescent="0.25">
      <c r="A14" s="107" t="s">
        <v>78</v>
      </c>
      <c r="B14" s="108">
        <v>0.8</v>
      </c>
      <c r="C14" s="13" t="s">
        <v>0</v>
      </c>
      <c r="D14" s="13" t="s">
        <v>79</v>
      </c>
      <c r="E14" s="13"/>
      <c r="F14" s="13"/>
      <c r="G14" s="13"/>
      <c r="H14" s="106"/>
    </row>
    <row r="15" spans="1:8" x14ac:dyDescent="0.25">
      <c r="A15" s="353" t="s">
        <v>576</v>
      </c>
      <c r="B15" s="197">
        <f>1/(B13*0.0000000001)</f>
        <v>24999.999999999996</v>
      </c>
      <c r="C15" s="358" t="s">
        <v>208</v>
      </c>
      <c r="D15" s="13"/>
      <c r="E15" s="13"/>
      <c r="F15" s="13"/>
      <c r="G15" s="13"/>
      <c r="H15" s="106"/>
    </row>
    <row r="16" spans="1:8" x14ac:dyDescent="0.25">
      <c r="A16" s="445"/>
      <c r="B16" s="516"/>
      <c r="C16" s="358"/>
      <c r="D16" s="13"/>
      <c r="E16" s="13"/>
      <c r="F16" s="13"/>
      <c r="G16" s="13"/>
      <c r="H16" s="106"/>
    </row>
    <row r="17" spans="1:8" x14ac:dyDescent="0.25">
      <c r="A17" s="445" t="s">
        <v>695</v>
      </c>
      <c r="B17" s="517">
        <f>B38/Fsw*1000000000</f>
        <v>849.63223002340351</v>
      </c>
      <c r="C17" s="204" t="s">
        <v>147</v>
      </c>
      <c r="D17" s="13"/>
      <c r="E17" s="13"/>
      <c r="F17" s="13"/>
      <c r="G17" s="13"/>
      <c r="H17" s="106"/>
    </row>
    <row r="18" spans="1:8" x14ac:dyDescent="0.25">
      <c r="A18" s="353" t="s">
        <v>694</v>
      </c>
      <c r="B18" s="518">
        <f>B37/Fsw*1000000000</f>
        <v>581.10999244903098</v>
      </c>
      <c r="C18" s="204" t="s">
        <v>147</v>
      </c>
      <c r="D18" s="13"/>
      <c r="E18" s="13"/>
      <c r="F18" s="13"/>
      <c r="G18" s="13"/>
      <c r="H18" s="106"/>
    </row>
    <row r="19" spans="1:8" ht="13" thickBot="1" x14ac:dyDescent="0.3">
      <c r="A19" s="109"/>
      <c r="B19" s="515"/>
      <c r="C19" s="110"/>
      <c r="D19" s="110"/>
      <c r="E19" s="110"/>
      <c r="F19" s="110"/>
      <c r="G19" s="110"/>
      <c r="H19" s="111"/>
    </row>
    <row r="20" spans="1:8" x14ac:dyDescent="0.25">
      <c r="A20" s="13"/>
      <c r="B20" s="13"/>
      <c r="C20" s="13"/>
      <c r="D20" s="13"/>
      <c r="E20" s="13"/>
      <c r="F20" s="13"/>
      <c r="G20" s="13"/>
      <c r="H20" s="13"/>
    </row>
    <row r="21" spans="1:8" x14ac:dyDescent="0.25">
      <c r="A21" s="13"/>
      <c r="B21" s="13"/>
      <c r="C21" s="13"/>
      <c r="D21" s="13"/>
      <c r="E21" s="13"/>
      <c r="F21" s="13"/>
      <c r="G21" s="13"/>
      <c r="H21" s="13"/>
    </row>
    <row r="22" spans="1:8" ht="16" thickBot="1" x14ac:dyDescent="0.4">
      <c r="A22" s="158" t="s">
        <v>112</v>
      </c>
      <c r="B22" s="13"/>
      <c r="C22" s="13"/>
      <c r="D22" s="13"/>
      <c r="E22" s="13"/>
      <c r="F22" s="13"/>
      <c r="G22" s="13"/>
      <c r="H22" s="13"/>
    </row>
    <row r="23" spans="1:8" ht="13" x14ac:dyDescent="0.3">
      <c r="A23" s="161" t="s">
        <v>19</v>
      </c>
      <c r="B23" s="446">
        <f>Vout/Vin</f>
        <v>0.5</v>
      </c>
      <c r="C23" s="112" t="s">
        <v>23</v>
      </c>
      <c r="D23" s="112" t="s">
        <v>17</v>
      </c>
      <c r="E23" s="112"/>
      <c r="F23" s="112"/>
      <c r="G23" s="112"/>
      <c r="H23" s="113">
        <v>1</v>
      </c>
    </row>
    <row r="24" spans="1:8" ht="13" x14ac:dyDescent="0.3">
      <c r="A24" s="114" t="s">
        <v>20</v>
      </c>
      <c r="B24" s="448">
        <f>1-23:23</f>
        <v>0.5</v>
      </c>
      <c r="C24" s="13" t="s">
        <v>23</v>
      </c>
      <c r="D24" s="13" t="s">
        <v>18</v>
      </c>
      <c r="E24" s="13"/>
      <c r="F24" s="13"/>
      <c r="G24" s="13"/>
      <c r="H24" s="106">
        <v>1</v>
      </c>
    </row>
    <row r="25" spans="1:8" ht="13" x14ac:dyDescent="0.3">
      <c r="A25" s="449" t="s">
        <v>688</v>
      </c>
      <c r="B25" s="448">
        <f>Vout/Vinmin</f>
        <v>0.75</v>
      </c>
      <c r="C25" s="13"/>
      <c r="D25" s="13"/>
      <c r="E25" s="13"/>
      <c r="F25" s="13"/>
      <c r="G25" s="13"/>
      <c r="H25" s="106"/>
    </row>
    <row r="26" spans="1:8" ht="13" x14ac:dyDescent="0.3">
      <c r="A26" s="449" t="s">
        <v>689</v>
      </c>
      <c r="B26" s="448">
        <f>1-B25</f>
        <v>0.25</v>
      </c>
      <c r="C26" s="13"/>
      <c r="D26" s="13"/>
      <c r="E26" s="13"/>
      <c r="F26" s="13"/>
      <c r="G26" s="13"/>
      <c r="H26" s="106"/>
    </row>
    <row r="27" spans="1:8" ht="13" x14ac:dyDescent="0.3">
      <c r="A27" s="449" t="s">
        <v>580</v>
      </c>
      <c r="B27" s="448">
        <f>Vout/Vinmax</f>
        <v>0.33333333333333331</v>
      </c>
      <c r="C27" s="13"/>
      <c r="D27" s="13"/>
      <c r="E27" s="13"/>
      <c r="F27" s="13"/>
      <c r="G27" s="13"/>
      <c r="H27" s="106"/>
    </row>
    <row r="28" spans="1:8" ht="13" x14ac:dyDescent="0.3">
      <c r="A28" s="449" t="s">
        <v>579</v>
      </c>
      <c r="B28" s="448">
        <f>1-B27</f>
        <v>0.66666666666666674</v>
      </c>
      <c r="C28" s="13"/>
      <c r="D28" s="13"/>
      <c r="E28" s="13"/>
      <c r="F28" s="13"/>
      <c r="G28" s="13"/>
      <c r="H28" s="106"/>
    </row>
    <row r="29" spans="1:8" ht="13" x14ac:dyDescent="0.3">
      <c r="A29" s="449"/>
      <c r="B29" s="452"/>
      <c r="C29" s="13"/>
      <c r="D29" s="13"/>
      <c r="E29" s="13"/>
      <c r="F29" s="13"/>
      <c r="G29" s="13"/>
      <c r="H29" s="106"/>
    </row>
    <row r="30" spans="1:8" ht="13" x14ac:dyDescent="0.3">
      <c r="A30" s="114" t="s">
        <v>31</v>
      </c>
      <c r="B30" s="413">
        <f>(Vin-Vout)*_Don1/(Fsw*Iout*0.333)</f>
        <v>5.0050050050050049E-6</v>
      </c>
      <c r="C30" s="13" t="s">
        <v>24</v>
      </c>
      <c r="D30" s="13" t="s">
        <v>421</v>
      </c>
      <c r="E30" s="13"/>
      <c r="F30" s="13"/>
      <c r="G30" s="13"/>
      <c r="H30" s="106">
        <v>1</v>
      </c>
    </row>
    <row r="31" spans="1:8" x14ac:dyDescent="0.25">
      <c r="A31" s="105" t="s">
        <v>32</v>
      </c>
      <c r="B31" s="135">
        <f>'Design Regulator'!E17/1000000</f>
        <v>6.8000000000000001E-6</v>
      </c>
      <c r="C31" s="13" t="s">
        <v>24</v>
      </c>
      <c r="D31" s="204" t="s">
        <v>543</v>
      </c>
      <c r="E31" s="13"/>
      <c r="F31" s="13"/>
      <c r="G31" s="13"/>
      <c r="H31" s="106">
        <v>2</v>
      </c>
    </row>
    <row r="32" spans="1:8" x14ac:dyDescent="0.25">
      <c r="A32" s="105" t="s">
        <v>12</v>
      </c>
      <c r="B32" s="44">
        <f>'Design Regulator'!E18/1000</f>
        <v>1.2E-2</v>
      </c>
      <c r="C32" s="358" t="s">
        <v>208</v>
      </c>
      <c r="D32" s="204" t="s">
        <v>419</v>
      </c>
      <c r="E32" s="13"/>
      <c r="F32" s="13"/>
      <c r="G32" s="13"/>
      <c r="H32" s="106">
        <v>1</v>
      </c>
    </row>
    <row r="33" spans="1:18" x14ac:dyDescent="0.25">
      <c r="A33" s="444"/>
      <c r="B33" s="53"/>
      <c r="C33" s="358"/>
      <c r="D33" s="204"/>
      <c r="E33" s="13"/>
      <c r="F33" s="13"/>
      <c r="G33" s="13"/>
      <c r="H33" s="106"/>
    </row>
    <row r="34" spans="1:18" ht="13" x14ac:dyDescent="0.3">
      <c r="A34" s="353" t="s">
        <v>21</v>
      </c>
      <c r="B34" s="514">
        <f>(Vout+(Rdcr+RdsonBot)*Iout)/(Vin+(RdsonBot-RdsonTop)*Iout)</f>
        <v>0.51054746358613767</v>
      </c>
      <c r="C34" s="13"/>
      <c r="D34" s="133" t="s">
        <v>422</v>
      </c>
      <c r="E34" s="13"/>
      <c r="F34" s="13"/>
      <c r="G34" s="13"/>
      <c r="H34" s="106">
        <v>2</v>
      </c>
    </row>
    <row r="35" spans="1:18" ht="13" x14ac:dyDescent="0.3">
      <c r="A35" s="353" t="s">
        <v>22</v>
      </c>
      <c r="B35" s="514">
        <f>1-_Don2</f>
        <v>0.48945253641386233</v>
      </c>
      <c r="C35" s="13"/>
      <c r="D35" s="133" t="s">
        <v>423</v>
      </c>
      <c r="E35" s="13"/>
      <c r="F35" s="13"/>
      <c r="G35" s="13"/>
      <c r="H35" s="106">
        <v>2</v>
      </c>
    </row>
    <row r="36" spans="1:18" x14ac:dyDescent="0.25">
      <c r="A36" s="445" t="s">
        <v>690</v>
      </c>
      <c r="B36" s="514">
        <f>(Vout+(Rdcr+RdsonBot)*Iout)/(Vinmin+(RdsonBot-RdsonTop)*Iout)</f>
        <v>0.76755600302038762</v>
      </c>
      <c r="C36" s="13"/>
      <c r="D36" s="13"/>
      <c r="E36" s="13"/>
      <c r="F36" s="13"/>
      <c r="G36" s="13"/>
      <c r="H36" s="106"/>
    </row>
    <row r="37" spans="1:18" x14ac:dyDescent="0.25">
      <c r="A37" s="445" t="s">
        <v>691</v>
      </c>
      <c r="B37" s="514">
        <f>1-B36</f>
        <v>0.23244399697961238</v>
      </c>
      <c r="C37" s="13"/>
      <c r="D37" s="13"/>
      <c r="E37" s="13"/>
      <c r="F37" s="13"/>
      <c r="G37" s="13"/>
      <c r="H37" s="106"/>
    </row>
    <row r="38" spans="1:18" ht="13" x14ac:dyDescent="0.3">
      <c r="A38" s="445" t="s">
        <v>692</v>
      </c>
      <c r="B38" s="514">
        <f>(Vout+(Rdcr+RdsonBot)*Iout)/(Vinmax+(RdsonBot-RdsonTop)*Iout)</f>
        <v>0.33985289200936142</v>
      </c>
      <c r="C38" s="13"/>
      <c r="D38" s="13"/>
      <c r="E38" s="13"/>
      <c r="F38" s="13"/>
      <c r="G38" s="13"/>
      <c r="H38" s="106"/>
      <c r="L38" s="531" t="s">
        <v>741</v>
      </c>
      <c r="M38" s="532">
        <v>100</v>
      </c>
      <c r="N38" s="533">
        <v>1</v>
      </c>
    </row>
    <row r="39" spans="1:18" ht="13" x14ac:dyDescent="0.3">
      <c r="A39" s="445" t="s">
        <v>693</v>
      </c>
      <c r="B39" s="514">
        <f>1-B38</f>
        <v>0.66014710799063858</v>
      </c>
      <c r="C39" s="13"/>
      <c r="D39" s="13"/>
      <c r="E39" s="13"/>
      <c r="F39" s="13"/>
      <c r="G39" s="13"/>
      <c r="H39" s="106"/>
      <c r="L39" s="531" t="s">
        <v>629</v>
      </c>
      <c r="M39" s="532">
        <v>47</v>
      </c>
      <c r="N39" s="533">
        <v>2</v>
      </c>
    </row>
    <row r="40" spans="1:18" ht="13" x14ac:dyDescent="0.3">
      <c r="A40" s="449"/>
      <c r="B40" s="513"/>
      <c r="C40" s="13"/>
      <c r="D40" s="13"/>
      <c r="E40" s="13"/>
      <c r="F40" s="13"/>
      <c r="G40" s="13"/>
      <c r="H40" s="106"/>
      <c r="L40" s="531" t="s">
        <v>631</v>
      </c>
      <c r="M40" s="532">
        <v>22</v>
      </c>
      <c r="N40" s="533">
        <v>3</v>
      </c>
    </row>
    <row r="41" spans="1:18" ht="13" x14ac:dyDescent="0.3">
      <c r="A41" s="105" t="s">
        <v>26</v>
      </c>
      <c r="B41" s="116">
        <f>'Design Regulator'!E30/1000</f>
        <v>0.1</v>
      </c>
      <c r="C41" s="13" t="s">
        <v>0</v>
      </c>
      <c r="D41" s="13" t="s">
        <v>27</v>
      </c>
      <c r="E41" s="13"/>
      <c r="F41" s="13"/>
      <c r="G41" s="13"/>
      <c r="H41" s="106">
        <v>1</v>
      </c>
      <c r="L41" s="531" t="s">
        <v>633</v>
      </c>
      <c r="M41" s="532">
        <v>22</v>
      </c>
      <c r="N41" s="533">
        <v>4</v>
      </c>
    </row>
    <row r="42" spans="1:18" ht="13" x14ac:dyDescent="0.3">
      <c r="A42" s="117" t="s">
        <v>33</v>
      </c>
      <c r="B42" s="447">
        <f>(Vin-Vout)*_Don2/(Fsw*Lout2)</f>
        <v>2.2524152805270776</v>
      </c>
      <c r="C42" s="13" t="s">
        <v>2</v>
      </c>
      <c r="D42" s="204" t="s">
        <v>544</v>
      </c>
      <c r="E42" s="13"/>
      <c r="F42" s="13"/>
      <c r="G42" s="13"/>
      <c r="H42" s="106">
        <v>1</v>
      </c>
      <c r="L42" s="486" t="s">
        <v>658</v>
      </c>
      <c r="M42" s="532">
        <v>10</v>
      </c>
      <c r="N42" s="533">
        <v>5</v>
      </c>
    </row>
    <row r="43" spans="1:18" ht="13" x14ac:dyDescent="0.3">
      <c r="A43" s="117" t="s">
        <v>411</v>
      </c>
      <c r="B43" s="447">
        <f>Rdcr*(1+0.0039*(F43-25))</f>
        <v>1.5509999999999999E-2</v>
      </c>
      <c r="C43" s="53" t="s">
        <v>25</v>
      </c>
      <c r="D43" s="13"/>
      <c r="E43" s="13" t="s">
        <v>412</v>
      </c>
      <c r="F43" s="13">
        <v>100</v>
      </c>
      <c r="G43" s="13"/>
      <c r="H43" s="106"/>
      <c r="K43" s="13"/>
      <c r="L43" s="486" t="s">
        <v>659</v>
      </c>
      <c r="M43" s="566">
        <v>4.7</v>
      </c>
      <c r="N43" s="533">
        <v>6</v>
      </c>
    </row>
    <row r="44" spans="1:18" ht="13.5" thickBot="1" x14ac:dyDescent="0.35">
      <c r="A44" s="118" t="s">
        <v>356</v>
      </c>
      <c r="B44" s="119">
        <f>Lout2/Rdcr</f>
        <v>5.6666666666666671E-4</v>
      </c>
      <c r="C44" s="110" t="s">
        <v>265</v>
      </c>
      <c r="D44" s="110" t="s">
        <v>357</v>
      </c>
      <c r="E44" s="110"/>
      <c r="F44" s="110"/>
      <c r="G44" s="110"/>
      <c r="H44" s="111"/>
      <c r="L44" s="534" t="s">
        <v>715</v>
      </c>
      <c r="M44" s="535" t="str">
        <f>CHOOSE(N44,"100", "47","22","22","10", "4.7")</f>
        <v>22</v>
      </c>
      <c r="N44" s="438">
        <f>IF(Vout&lt;5, 1, IF(Vout&lt;=8, 2, IF(Vout&lt;=12, 3, IF(Vout&lt;=20, 4, IF(Vout&lt;=42, 5, 6)))))</f>
        <v>3</v>
      </c>
      <c r="Q44" s="490" t="s">
        <v>716</v>
      </c>
      <c r="R44" s="436">
        <v>1</v>
      </c>
    </row>
    <row r="45" spans="1:18" ht="13" x14ac:dyDescent="0.3">
      <c r="A45" s="133"/>
      <c r="B45" s="132"/>
      <c r="C45" s="13"/>
      <c r="D45" s="13"/>
      <c r="E45" s="13"/>
      <c r="F45" s="13"/>
      <c r="G45" s="13"/>
      <c r="H45" s="13"/>
      <c r="Q45" s="490" t="s">
        <v>717</v>
      </c>
      <c r="R45" s="436">
        <v>2</v>
      </c>
    </row>
    <row r="46" spans="1:18" ht="16" thickBot="1" x14ac:dyDescent="0.4">
      <c r="A46" s="158" t="s">
        <v>275</v>
      </c>
      <c r="B46" s="132"/>
      <c r="C46" s="13"/>
      <c r="D46" s="13"/>
      <c r="E46" s="13"/>
      <c r="F46" s="13"/>
      <c r="G46" s="13"/>
      <c r="H46" s="13"/>
    </row>
    <row r="47" spans="1:18" ht="13" x14ac:dyDescent="0.3">
      <c r="A47" s="162"/>
      <c r="B47" s="163"/>
      <c r="C47" s="112"/>
      <c r="D47" s="112"/>
      <c r="E47" s="112"/>
      <c r="F47" s="112"/>
      <c r="G47" s="112"/>
      <c r="H47" s="113"/>
    </row>
    <row r="48" spans="1:18" ht="13" x14ac:dyDescent="0.3">
      <c r="A48" s="117"/>
      <c r="B48" s="196"/>
      <c r="C48" s="13"/>
      <c r="D48" s="13"/>
      <c r="E48" s="13"/>
      <c r="F48" s="13"/>
      <c r="G48" s="13"/>
      <c r="H48" s="106"/>
      <c r="L48" s="490" t="s">
        <v>683</v>
      </c>
      <c r="M48" s="436">
        <v>1</v>
      </c>
      <c r="N48" s="490" t="s">
        <v>680</v>
      </c>
      <c r="O48" s="77">
        <v>30</v>
      </c>
    </row>
    <row r="49" spans="1:19" ht="13" x14ac:dyDescent="0.3">
      <c r="A49" s="117" t="s">
        <v>612</v>
      </c>
      <c r="B49" s="196">
        <f>'Design Regulator'!E24</f>
        <v>13</v>
      </c>
      <c r="C49" s="13"/>
      <c r="D49" s="13"/>
      <c r="E49" s="13"/>
      <c r="F49" s="13"/>
      <c r="G49" s="13"/>
      <c r="H49" s="106"/>
      <c r="L49" s="490" t="s">
        <v>684</v>
      </c>
      <c r="M49" s="436">
        <v>2</v>
      </c>
      <c r="N49" s="490" t="s">
        <v>681</v>
      </c>
      <c r="O49" s="77">
        <v>10.9</v>
      </c>
    </row>
    <row r="50" spans="1:19" x14ac:dyDescent="0.25">
      <c r="A50" s="105" t="s">
        <v>273</v>
      </c>
      <c r="B50" s="442">
        <f>'Design Regulator'!E24-Iripple1/2</f>
        <v>11.873792359736461</v>
      </c>
      <c r="C50" s="13" t="s">
        <v>2</v>
      </c>
      <c r="D50" s="204" t="s">
        <v>583</v>
      </c>
      <c r="E50" s="13"/>
      <c r="F50" s="13"/>
      <c r="G50" s="13"/>
      <c r="H50" s="106"/>
      <c r="L50" s="490" t="s">
        <v>685</v>
      </c>
      <c r="M50" s="436">
        <v>3</v>
      </c>
      <c r="N50" s="490" t="s">
        <v>687</v>
      </c>
      <c r="O50" s="77">
        <v>66</v>
      </c>
    </row>
    <row r="51" spans="1:19" x14ac:dyDescent="0.25">
      <c r="A51" s="445" t="s">
        <v>607</v>
      </c>
      <c r="B51" s="451">
        <f>ROUND('Design Regulator'!E24+Iripple1/2,0)*1.2</f>
        <v>16.8</v>
      </c>
      <c r="C51" s="204" t="s">
        <v>2</v>
      </c>
      <c r="D51" s="204"/>
      <c r="E51" s="13"/>
      <c r="F51" s="13"/>
      <c r="G51" s="13"/>
      <c r="H51" s="106"/>
      <c r="L51" s="490" t="s">
        <v>686</v>
      </c>
      <c r="M51" s="436">
        <v>4</v>
      </c>
      <c r="N51" s="490" t="s">
        <v>682</v>
      </c>
      <c r="O51" s="77">
        <v>150</v>
      </c>
    </row>
    <row r="52" spans="1:19" ht="13" x14ac:dyDescent="0.3">
      <c r="A52" s="445"/>
      <c r="B52" s="457"/>
      <c r="C52" s="204"/>
      <c r="D52" s="204"/>
      <c r="E52" s="13"/>
      <c r="F52" s="13"/>
      <c r="G52" s="13"/>
      <c r="H52" s="106"/>
      <c r="K52" s="487" t="s">
        <v>662</v>
      </c>
      <c r="L52" s="488" t="str">
        <f>CHOOSE(M52, L48, L49, L50, L51)</f>
        <v>SON 5 x 6</v>
      </c>
      <c r="M52" s="438">
        <v>1</v>
      </c>
    </row>
    <row r="53" spans="1:19" x14ac:dyDescent="0.25">
      <c r="A53" s="353" t="s">
        <v>592</v>
      </c>
      <c r="B53" s="120">
        <v>2.0000000000000001E-4</v>
      </c>
      <c r="C53" s="13" t="s">
        <v>2</v>
      </c>
      <c r="D53" s="204" t="s">
        <v>584</v>
      </c>
      <c r="E53" s="13"/>
      <c r="F53" s="13"/>
      <c r="G53" s="13"/>
      <c r="H53" s="106"/>
    </row>
    <row r="54" spans="1:19" ht="15.5" x14ac:dyDescent="0.4">
      <c r="A54" s="445" t="s">
        <v>593</v>
      </c>
      <c r="B54" s="120">
        <v>1E-4</v>
      </c>
      <c r="C54" s="13" t="s">
        <v>2</v>
      </c>
      <c r="D54" s="204" t="s">
        <v>585</v>
      </c>
      <c r="E54" s="13"/>
      <c r="F54" s="13"/>
      <c r="G54" s="13"/>
      <c r="H54" s="106"/>
      <c r="L54" s="204" t="s">
        <v>603</v>
      </c>
      <c r="M54" s="436">
        <v>1</v>
      </c>
    </row>
    <row r="55" spans="1:19" x14ac:dyDescent="0.25">
      <c r="A55" s="353" t="s">
        <v>594</v>
      </c>
      <c r="B55" s="443">
        <f>ILimit*RdsonBot/Ilim1</f>
        <v>593.68961798682301</v>
      </c>
      <c r="C55" s="358" t="s">
        <v>208</v>
      </c>
      <c r="D55" s="204" t="s">
        <v>588</v>
      </c>
      <c r="E55" s="13"/>
      <c r="F55" s="13"/>
      <c r="G55" s="13"/>
      <c r="H55" s="106"/>
      <c r="L55" s="204" t="s">
        <v>604</v>
      </c>
      <c r="M55" s="436">
        <v>2</v>
      </c>
    </row>
    <row r="56" spans="1:19" ht="13" x14ac:dyDescent="0.3">
      <c r="A56" s="353" t="s">
        <v>595</v>
      </c>
      <c r="B56" s="122">
        <f>'Standard Value Calculator'!S6</f>
        <v>590</v>
      </c>
      <c r="C56" s="358" t="s">
        <v>208</v>
      </c>
      <c r="D56" s="204" t="s">
        <v>587</v>
      </c>
      <c r="E56" s="13"/>
      <c r="F56" s="13"/>
      <c r="G56" s="13"/>
      <c r="H56" s="106"/>
      <c r="K56" s="487" t="s">
        <v>661</v>
      </c>
      <c r="L56" s="437" t="str">
        <f>CHOOSE(RDSON_sense, L54,L55)</f>
        <v>RDS(on) sensing</v>
      </c>
      <c r="M56" s="438">
        <v>1</v>
      </c>
      <c r="N56" s="203" t="s">
        <v>575</v>
      </c>
    </row>
    <row r="57" spans="1:19" ht="13" x14ac:dyDescent="0.3">
      <c r="D57" s="13"/>
      <c r="E57" s="13"/>
      <c r="F57" s="13"/>
      <c r="G57" s="13"/>
      <c r="H57" s="106"/>
      <c r="L57" s="438"/>
      <c r="M57" s="203"/>
    </row>
    <row r="58" spans="1:19" ht="13" x14ac:dyDescent="0.3">
      <c r="A58" s="445" t="s">
        <v>586</v>
      </c>
      <c r="B58" s="450">
        <f>'Design Regulator'!E23/1000</f>
        <v>2E-3</v>
      </c>
      <c r="C58" s="358" t="s">
        <v>208</v>
      </c>
      <c r="D58" s="13"/>
      <c r="E58" s="13"/>
      <c r="F58" s="13"/>
      <c r="G58" s="13"/>
      <c r="H58" s="106"/>
      <c r="J58" s="437"/>
      <c r="L58" s="438"/>
      <c r="M58" s="203"/>
    </row>
    <row r="59" spans="1:19" ht="13" x14ac:dyDescent="0.3">
      <c r="A59" s="445" t="s">
        <v>591</v>
      </c>
      <c r="B59" s="122">
        <f>ILimit*Rshunt/Ilim2</f>
        <v>237.4758471947292</v>
      </c>
      <c r="C59" s="358" t="s">
        <v>208</v>
      </c>
      <c r="D59" s="13"/>
      <c r="E59" s="13"/>
      <c r="F59" s="13"/>
      <c r="G59" s="13"/>
      <c r="H59" s="106"/>
      <c r="K59" s="486" t="s">
        <v>741</v>
      </c>
      <c r="L59" s="2" t="s">
        <v>628</v>
      </c>
      <c r="M59" s="436">
        <v>1</v>
      </c>
      <c r="Q59" s="486"/>
      <c r="R59" s="2"/>
      <c r="S59" s="436"/>
    </row>
    <row r="60" spans="1:19" ht="13" x14ac:dyDescent="0.3">
      <c r="A60" s="353" t="s">
        <v>596</v>
      </c>
      <c r="B60" s="123">
        <f>'Standard Value Calculator'!S22</f>
        <v>237</v>
      </c>
      <c r="C60" s="358" t="s">
        <v>208</v>
      </c>
      <c r="D60" s="204" t="s">
        <v>587</v>
      </c>
      <c r="E60" s="13"/>
      <c r="F60" s="13"/>
      <c r="G60" s="13"/>
      <c r="H60" s="106"/>
      <c r="K60" s="486" t="s">
        <v>629</v>
      </c>
      <c r="L60" s="2" t="s">
        <v>630</v>
      </c>
      <c r="M60" s="436">
        <v>2</v>
      </c>
      <c r="Q60" s="486" t="s">
        <v>670</v>
      </c>
      <c r="R60" s="2" t="s">
        <v>630</v>
      </c>
      <c r="S60" s="436">
        <v>1</v>
      </c>
    </row>
    <row r="61" spans="1:19" ht="13" x14ac:dyDescent="0.3">
      <c r="A61" s="445"/>
      <c r="B61" s="123"/>
      <c r="C61" s="358"/>
      <c r="D61" s="204"/>
      <c r="E61" s="13"/>
      <c r="F61" s="13"/>
      <c r="G61" s="13"/>
      <c r="H61" s="106"/>
      <c r="K61" s="486" t="s">
        <v>631</v>
      </c>
      <c r="L61" s="2" t="s">
        <v>632</v>
      </c>
      <c r="M61" s="436">
        <v>3</v>
      </c>
      <c r="Q61" s="486" t="s">
        <v>671</v>
      </c>
      <c r="R61" s="2" t="s">
        <v>632</v>
      </c>
      <c r="S61" s="436">
        <v>2</v>
      </c>
    </row>
    <row r="62" spans="1:19" ht="13" x14ac:dyDescent="0.3">
      <c r="A62" s="353" t="s">
        <v>590</v>
      </c>
      <c r="B62" s="450">
        <f>ROUND(((1-Don_Vinmax)*Iout)^2*Rshunt,2)</f>
        <v>7.0000000000000007E-2</v>
      </c>
      <c r="C62" s="354" t="s">
        <v>208</v>
      </c>
      <c r="D62" s="13"/>
      <c r="E62" s="13"/>
      <c r="F62" s="13"/>
      <c r="G62" s="13"/>
      <c r="H62" s="106"/>
      <c r="K62" s="486" t="s">
        <v>633</v>
      </c>
      <c r="L62" s="2" t="s">
        <v>634</v>
      </c>
      <c r="M62" s="436">
        <v>4</v>
      </c>
      <c r="Q62" s="486" t="s">
        <v>672</v>
      </c>
      <c r="R62" s="2" t="s">
        <v>634</v>
      </c>
      <c r="S62" s="436">
        <v>3</v>
      </c>
    </row>
    <row r="63" spans="1:19" ht="13" x14ac:dyDescent="0.3">
      <c r="A63" s="445"/>
      <c r="B63" s="450"/>
      <c r="C63" s="354"/>
      <c r="D63" s="13"/>
      <c r="E63" s="13"/>
      <c r="F63" s="13"/>
      <c r="G63" s="13"/>
      <c r="H63" s="106"/>
      <c r="K63" s="486"/>
      <c r="L63" s="2"/>
      <c r="M63" s="436"/>
      <c r="Q63" s="486"/>
      <c r="R63" s="2"/>
      <c r="S63" s="436"/>
    </row>
    <row r="64" spans="1:19" ht="13" x14ac:dyDescent="0.3">
      <c r="A64" s="105" t="s">
        <v>701</v>
      </c>
      <c r="B64" s="528">
        <f>0.000000006/Rilim_Rdson_ideal - 0.000000000002</f>
        <v>8.1062909274811851E-12</v>
      </c>
      <c r="C64" s="354" t="s">
        <v>34</v>
      </c>
      <c r="D64" s="13" t="s">
        <v>705</v>
      </c>
      <c r="E64" s="13"/>
      <c r="F64" s="13"/>
      <c r="G64" s="13"/>
      <c r="H64" s="106"/>
      <c r="K64" s="486" t="s">
        <v>658</v>
      </c>
      <c r="L64" s="2" t="s">
        <v>635</v>
      </c>
      <c r="M64" s="436">
        <v>5</v>
      </c>
      <c r="Q64" s="486" t="s">
        <v>673</v>
      </c>
      <c r="R64" s="2" t="s">
        <v>635</v>
      </c>
      <c r="S64" s="436">
        <v>4</v>
      </c>
    </row>
    <row r="65" spans="1:19" ht="13" x14ac:dyDescent="0.3">
      <c r="A65" s="105" t="s">
        <v>702</v>
      </c>
      <c r="B65" s="122">
        <f>'Standard Value Calculator'!S23</f>
        <v>8.1999999999999993</v>
      </c>
      <c r="C65" s="354" t="s">
        <v>53</v>
      </c>
      <c r="D65" s="13"/>
      <c r="E65" s="13"/>
      <c r="F65" s="13"/>
      <c r="G65" s="13"/>
      <c r="H65" s="106"/>
      <c r="K65" s="486" t="s">
        <v>659</v>
      </c>
      <c r="L65" s="2" t="s">
        <v>660</v>
      </c>
      <c r="M65" s="436">
        <v>6</v>
      </c>
      <c r="Q65" s="486" t="s">
        <v>674</v>
      </c>
      <c r="R65" s="2" t="s">
        <v>660</v>
      </c>
      <c r="S65" s="436">
        <v>5</v>
      </c>
    </row>
    <row r="66" spans="1:19" ht="13.5" thickBot="1" x14ac:dyDescent="0.35">
      <c r="A66" s="109" t="s">
        <v>289</v>
      </c>
      <c r="B66" s="125" t="e">
        <f>Ics*Rset/Rdcr-Iripple1/2</f>
        <v>#NAME?</v>
      </c>
      <c r="C66" s="110" t="s">
        <v>2</v>
      </c>
      <c r="D66" s="209" t="s">
        <v>480</v>
      </c>
      <c r="E66" s="110"/>
      <c r="F66" s="110"/>
      <c r="G66" s="110"/>
      <c r="H66" s="111"/>
      <c r="K66" s="487" t="s">
        <v>636</v>
      </c>
      <c r="L66" s="488" t="str">
        <f>CHOOSE(M66,"6.3V","10V","16V","25V","50V","100V")</f>
        <v>16V</v>
      </c>
      <c r="M66" s="438">
        <f>IF(Vout&lt;5, 1, IF(Vout&lt;=8, 2, IF(Vout&lt;=12, 3, IF(Vout&lt;=20, 4,  IF(Vout&lt;=42, 5, 6)))))</f>
        <v>3</v>
      </c>
      <c r="Q66" s="487" t="s">
        <v>669</v>
      </c>
      <c r="R66" s="488" t="str">
        <f>CHOOSE(S66,"10V","16V","25V","50V","100V")</f>
        <v>50V</v>
      </c>
      <c r="S66" s="438">
        <f>IF(Vinmax&lt;=8,1,IF(Vinmax&lt;=12,2,IF(Vinmax&lt;=20,3,IF(Vinmax&lt;=42,4,5))))</f>
        <v>4</v>
      </c>
    </row>
    <row r="68" spans="1:19" ht="16" thickBot="1" x14ac:dyDescent="0.4">
      <c r="A68" s="158" t="s">
        <v>276</v>
      </c>
      <c r="B68" s="13"/>
      <c r="C68" s="13"/>
      <c r="D68" s="13"/>
      <c r="E68" s="13"/>
      <c r="F68" s="13"/>
      <c r="G68" s="13"/>
      <c r="H68" s="13"/>
    </row>
    <row r="69" spans="1:19" x14ac:dyDescent="0.25">
      <c r="A69" s="160" t="s">
        <v>284</v>
      </c>
      <c r="B69" s="509">
        <f>Iripple1/SQRT(3)/2</f>
        <v>0.65021628426956735</v>
      </c>
      <c r="C69" s="207" t="s">
        <v>2</v>
      </c>
      <c r="D69" s="207" t="s">
        <v>481</v>
      </c>
      <c r="E69" s="112"/>
      <c r="F69" s="112"/>
      <c r="G69" s="112"/>
      <c r="H69" s="113"/>
      <c r="L69" s="489" t="s">
        <v>637</v>
      </c>
      <c r="M69" s="436">
        <v>1</v>
      </c>
      <c r="N69" s="203" t="s">
        <v>638</v>
      </c>
      <c r="O69" s="77">
        <v>0.5</v>
      </c>
    </row>
    <row r="70" spans="1:19" ht="13" x14ac:dyDescent="0.3">
      <c r="A70" s="114" t="s">
        <v>29</v>
      </c>
      <c r="B70" s="115">
        <f>(Iripple1/(Vripple1*Fsw*8))</f>
        <v>7.0387977516471173E-6</v>
      </c>
      <c r="C70" s="13" t="s">
        <v>34</v>
      </c>
      <c r="D70" s="13" t="s">
        <v>28</v>
      </c>
      <c r="E70" s="13"/>
      <c r="F70" s="13"/>
      <c r="G70" s="13"/>
      <c r="H70" s="106">
        <v>1</v>
      </c>
      <c r="L70" s="489" t="s">
        <v>501</v>
      </c>
      <c r="M70" s="436">
        <v>2</v>
      </c>
      <c r="N70" s="203" t="s">
        <v>639</v>
      </c>
      <c r="O70" s="77">
        <v>1.3</v>
      </c>
    </row>
    <row r="71" spans="1:19" x14ac:dyDescent="0.25">
      <c r="A71" s="105" t="s">
        <v>36</v>
      </c>
      <c r="B71" s="44">
        <f>'Design Regulator'!E32/1000000</f>
        <v>5.0000000000000002E-5</v>
      </c>
      <c r="C71" s="13" t="s">
        <v>34</v>
      </c>
      <c r="D71" s="13" t="s">
        <v>35</v>
      </c>
      <c r="E71" s="13"/>
      <c r="F71" s="13"/>
      <c r="G71" s="13"/>
      <c r="H71" s="106">
        <v>1</v>
      </c>
      <c r="L71" s="489" t="s">
        <v>640</v>
      </c>
      <c r="M71" s="436">
        <v>3</v>
      </c>
      <c r="N71" s="203" t="s">
        <v>641</v>
      </c>
      <c r="O71" s="77">
        <v>2.5</v>
      </c>
    </row>
    <row r="72" spans="1:19" ht="13" x14ac:dyDescent="0.3">
      <c r="A72" s="114" t="s">
        <v>114</v>
      </c>
      <c r="B72" s="448">
        <f>SQRT((Vripple1/Iripple1)^2-(1/(Fsw*Cout*8))^2)</f>
        <v>4.395466003685089E-2</v>
      </c>
      <c r="C72" s="358" t="s">
        <v>208</v>
      </c>
      <c r="D72" s="204" t="s">
        <v>482</v>
      </c>
      <c r="E72" s="13"/>
      <c r="F72" s="13"/>
      <c r="G72" s="13"/>
      <c r="H72" s="106">
        <v>1</v>
      </c>
      <c r="L72" s="489" t="s">
        <v>642</v>
      </c>
      <c r="M72" s="436">
        <v>4</v>
      </c>
      <c r="N72" s="203" t="s">
        <v>643</v>
      </c>
      <c r="O72" s="77">
        <v>5.0999999999999996</v>
      </c>
    </row>
    <row r="73" spans="1:19" x14ac:dyDescent="0.25">
      <c r="A73" s="105" t="s">
        <v>272</v>
      </c>
      <c r="B73" s="108">
        <f>'Design Regulator'!E34/1000</f>
        <v>1E-3</v>
      </c>
      <c r="C73" s="358" t="s">
        <v>208</v>
      </c>
      <c r="D73" s="204" t="s">
        <v>483</v>
      </c>
      <c r="E73" s="13"/>
      <c r="F73" s="13"/>
      <c r="G73" s="13"/>
      <c r="H73" s="106">
        <v>1</v>
      </c>
      <c r="L73" s="489" t="s">
        <v>644</v>
      </c>
      <c r="M73" s="436">
        <v>5</v>
      </c>
      <c r="N73" s="203" t="s">
        <v>645</v>
      </c>
      <c r="O73" s="77">
        <v>8</v>
      </c>
    </row>
    <row r="74" spans="1:19" ht="13.5" thickBot="1" x14ac:dyDescent="0.35">
      <c r="A74" s="126" t="s">
        <v>363</v>
      </c>
      <c r="B74" s="508">
        <f>Iripple1*SQRT(CoutEsr^2+(1/(8*Fsw*Cout))^2)</f>
        <v>1.4256650018511431E-2</v>
      </c>
      <c r="C74" s="188" t="s">
        <v>75</v>
      </c>
      <c r="D74" s="110"/>
      <c r="E74" s="110"/>
      <c r="F74" s="110"/>
      <c r="G74" s="110"/>
      <c r="H74" s="111"/>
      <c r="K74" s="487" t="s">
        <v>646</v>
      </c>
      <c r="L74" s="488" t="str">
        <f>CHOOSE(M74,"0402","0603","0805","1206","1210")</f>
        <v>1210</v>
      </c>
      <c r="M74" s="438">
        <v>5</v>
      </c>
      <c r="N74" s="488" t="str">
        <f>CHOOSE(M74,N69,N70, N71,N72,N73)</f>
        <v>3.2 x 2.5</v>
      </c>
    </row>
    <row r="76" spans="1:19" ht="13" thickBot="1" x14ac:dyDescent="0.3">
      <c r="A76" s="13"/>
      <c r="B76" s="13"/>
      <c r="C76" s="13"/>
      <c r="D76" s="13"/>
      <c r="E76" s="13"/>
      <c r="F76" s="13"/>
      <c r="G76" s="13"/>
      <c r="H76" s="13"/>
    </row>
    <row r="77" spans="1:19" ht="15.5" x14ac:dyDescent="0.35">
      <c r="A77" s="174" t="s">
        <v>277</v>
      </c>
      <c r="B77" s="175"/>
      <c r="C77" s="175"/>
      <c r="D77" s="175"/>
      <c r="E77" s="175"/>
      <c r="F77" s="175"/>
      <c r="G77" s="175"/>
      <c r="H77" s="176"/>
    </row>
    <row r="78" spans="1:19" x14ac:dyDescent="0.25">
      <c r="A78" s="177" t="s">
        <v>416</v>
      </c>
      <c r="B78" s="131">
        <f>'Design Regulator'!E39/1000</f>
        <v>0.5</v>
      </c>
      <c r="C78" s="173" t="s">
        <v>75</v>
      </c>
      <c r="D78" s="13"/>
      <c r="E78" s="13"/>
      <c r="F78" s="13"/>
      <c r="G78" s="13"/>
      <c r="H78" s="178"/>
      <c r="L78" s="203" t="s">
        <v>647</v>
      </c>
      <c r="M78" s="436">
        <v>1</v>
      </c>
      <c r="N78" s="490" t="s">
        <v>648</v>
      </c>
      <c r="O78" s="77">
        <v>9</v>
      </c>
    </row>
    <row r="79" spans="1:19" x14ac:dyDescent="0.25">
      <c r="A79" s="179" t="s">
        <v>283</v>
      </c>
      <c r="B79" s="199">
        <f>Iout*SQRT(_Don2*Doff2)</f>
        <v>4.4989986476952657</v>
      </c>
      <c r="C79" s="171" t="s">
        <v>2</v>
      </c>
      <c r="D79" s="13"/>
      <c r="E79" s="13"/>
      <c r="F79" s="13"/>
      <c r="G79" s="13"/>
      <c r="H79" s="178"/>
      <c r="L79" s="203" t="s">
        <v>649</v>
      </c>
      <c r="M79" s="436">
        <v>2</v>
      </c>
      <c r="N79" s="490" t="s">
        <v>650</v>
      </c>
      <c r="O79" s="77">
        <v>16</v>
      </c>
    </row>
    <row r="80" spans="1:19" x14ac:dyDescent="0.25">
      <c r="A80" s="179" t="s">
        <v>415</v>
      </c>
      <c r="B80" s="185">
        <f>Iout*_Don2*(1-_Don2)/(Vinripple1*Fsw)</f>
        <v>1.1244993795535459E-5</v>
      </c>
      <c r="C80" s="171" t="s">
        <v>34</v>
      </c>
      <c r="D80" s="13"/>
      <c r="E80" s="13"/>
      <c r="F80" s="13"/>
      <c r="G80" s="13"/>
      <c r="H80" s="178"/>
      <c r="L80" s="203" t="s">
        <v>651</v>
      </c>
      <c r="M80" s="436">
        <v>3</v>
      </c>
      <c r="N80" s="490" t="s">
        <v>652</v>
      </c>
      <c r="O80" s="77">
        <v>25</v>
      </c>
    </row>
    <row r="81" spans="1:15" x14ac:dyDescent="0.25">
      <c r="A81" s="179" t="s">
        <v>127</v>
      </c>
      <c r="B81" s="172">
        <f>'Design Regulator'!E41/1000000</f>
        <v>1.8E-5</v>
      </c>
      <c r="C81" s="171" t="s">
        <v>34</v>
      </c>
      <c r="D81" s="13" t="s">
        <v>287</v>
      </c>
      <c r="E81" s="13"/>
      <c r="F81" s="13"/>
      <c r="G81" s="13"/>
      <c r="H81" s="178"/>
      <c r="L81" s="203" t="s">
        <v>653</v>
      </c>
      <c r="M81" s="436">
        <v>4</v>
      </c>
      <c r="N81" s="490" t="s">
        <v>654</v>
      </c>
      <c r="O81" s="77">
        <v>36</v>
      </c>
    </row>
    <row r="82" spans="1:15" x14ac:dyDescent="0.25">
      <c r="A82" s="180" t="s">
        <v>417</v>
      </c>
      <c r="B82" s="186">
        <f>-(Iout*_Don2*(1-_Don2)/(Cin*Fsw)-Vinripple1)/(Iout+Iripple1/2)</f>
        <v>1.8530042825612329E-2</v>
      </c>
      <c r="C82" s="358" t="s">
        <v>208</v>
      </c>
      <c r="D82" s="13"/>
      <c r="E82" s="13"/>
      <c r="F82" s="13"/>
      <c r="G82" s="13"/>
      <c r="H82" s="178"/>
      <c r="L82" s="203" t="s">
        <v>655</v>
      </c>
      <c r="M82" s="436">
        <v>5</v>
      </c>
      <c r="N82" s="490" t="s">
        <v>656</v>
      </c>
      <c r="O82" s="77">
        <v>49</v>
      </c>
    </row>
    <row r="83" spans="1:15" x14ac:dyDescent="0.25">
      <c r="A83" s="179" t="s">
        <v>159</v>
      </c>
      <c r="B83" s="172">
        <f>'Design Regulator'!E43/1000</f>
        <v>1E-3</v>
      </c>
      <c r="C83" s="358" t="s">
        <v>208</v>
      </c>
      <c r="D83" s="204" t="s">
        <v>484</v>
      </c>
      <c r="E83" s="13"/>
      <c r="F83" s="13"/>
      <c r="G83" s="13"/>
      <c r="H83" s="178"/>
      <c r="L83" s="203" t="s">
        <v>663</v>
      </c>
      <c r="M83" s="436">
        <v>6</v>
      </c>
      <c r="N83" s="490" t="s">
        <v>664</v>
      </c>
      <c r="O83" s="77">
        <v>64</v>
      </c>
    </row>
    <row r="84" spans="1:15" x14ac:dyDescent="0.25">
      <c r="A84" s="179" t="s">
        <v>418</v>
      </c>
      <c r="B84" s="200">
        <f>Iout*_Don2*(1-_Don2)/(Cin*Fsw)+(Iout +Iripple1/2)*RCinEsr</f>
        <v>0.32248714640513743</v>
      </c>
      <c r="C84" s="171" t="s">
        <v>75</v>
      </c>
      <c r="D84" s="13"/>
      <c r="E84" s="13"/>
      <c r="F84" s="13"/>
      <c r="G84" s="13"/>
      <c r="H84" s="178"/>
      <c r="L84" s="203" t="s">
        <v>665</v>
      </c>
      <c r="M84" s="436">
        <v>7</v>
      </c>
      <c r="N84" s="490" t="s">
        <v>666</v>
      </c>
      <c r="O84" s="77">
        <v>100</v>
      </c>
    </row>
    <row r="85" spans="1:15" ht="13" thickBot="1" x14ac:dyDescent="0.3">
      <c r="A85" s="181"/>
      <c r="B85" s="187">
        <f>Iout*_Don1*(1-_Don1)/(Cin*Fsw)</f>
        <v>0.3125</v>
      </c>
      <c r="C85" s="182"/>
      <c r="D85" s="183"/>
      <c r="E85" s="183"/>
      <c r="F85" s="183"/>
      <c r="G85" s="183"/>
      <c r="H85" s="184"/>
      <c r="L85" s="203" t="s">
        <v>667</v>
      </c>
      <c r="M85" s="436">
        <v>8</v>
      </c>
      <c r="N85" s="490" t="s">
        <v>668</v>
      </c>
      <c r="O85" s="77">
        <v>144</v>
      </c>
    </row>
    <row r="86" spans="1:15" ht="13" x14ac:dyDescent="0.3">
      <c r="A86" s="13"/>
      <c r="B86" s="13"/>
      <c r="C86" s="13"/>
      <c r="D86" s="13"/>
      <c r="E86" s="13"/>
      <c r="F86" s="13"/>
      <c r="G86" s="13"/>
      <c r="H86" s="13"/>
      <c r="K86" s="487" t="s">
        <v>657</v>
      </c>
      <c r="L86" s="488" t="str">
        <f>CHOOSE(M86,L78,L79, L80, L81, L82, L83, L84, L85)</f>
        <v>12mm x 12mm</v>
      </c>
      <c r="M86" s="438">
        <v>8</v>
      </c>
      <c r="N86" s="488" t="str">
        <f>CHOOSE(M86,N78,N79, N80,N81,N82, N83, N84, N85)</f>
        <v>12.0 x 12.0</v>
      </c>
      <c r="O86" s="488"/>
    </row>
    <row r="87" spans="1:15" ht="16" thickBot="1" x14ac:dyDescent="0.4">
      <c r="A87" s="158" t="s">
        <v>290</v>
      </c>
      <c r="B87" s="13"/>
      <c r="C87" s="13"/>
      <c r="D87" s="13"/>
      <c r="E87" s="13"/>
      <c r="F87" s="13"/>
      <c r="G87" s="13"/>
      <c r="H87" s="13"/>
    </row>
    <row r="88" spans="1:15" x14ac:dyDescent="0.25">
      <c r="A88" s="160" t="s">
        <v>292</v>
      </c>
      <c r="B88" s="21">
        <f>'Design Regulator'!E48/1000</f>
        <v>4.0000000000000001E-3</v>
      </c>
      <c r="C88" s="112" t="s">
        <v>265</v>
      </c>
      <c r="D88" s="112" t="s">
        <v>293</v>
      </c>
      <c r="E88" s="112"/>
      <c r="F88" s="112"/>
      <c r="G88" s="112"/>
      <c r="H88" s="113"/>
    </row>
    <row r="89" spans="1:15" x14ac:dyDescent="0.25">
      <c r="A89" s="105" t="s">
        <v>294</v>
      </c>
      <c r="B89" s="121">
        <f>Cout*Vout/Tss</f>
        <v>0.15000000000000002</v>
      </c>
      <c r="C89" s="13" t="s">
        <v>2</v>
      </c>
      <c r="D89" s="204" t="s">
        <v>440</v>
      </c>
      <c r="E89" s="13"/>
      <c r="F89" s="13"/>
      <c r="G89" s="13"/>
      <c r="H89" s="106"/>
    </row>
    <row r="90" spans="1:15" x14ac:dyDescent="0.25">
      <c r="A90" s="105" t="s">
        <v>295</v>
      </c>
      <c r="B90" s="128">
        <f>0.00001*Tss/0.8</f>
        <v>4.9999999999999998E-8</v>
      </c>
      <c r="C90" s="13" t="s">
        <v>34</v>
      </c>
      <c r="D90" s="13"/>
      <c r="E90" s="13"/>
      <c r="F90" s="13"/>
      <c r="G90" s="13"/>
      <c r="H90" s="106"/>
    </row>
    <row r="91" spans="1:15" ht="13" thickBot="1" x14ac:dyDescent="0.3">
      <c r="A91" s="109" t="s">
        <v>311</v>
      </c>
      <c r="B91" s="127">
        <f>'Standard Value Calculator'!B4</f>
        <v>4.6999999999999997E-8</v>
      </c>
      <c r="C91" s="110" t="s">
        <v>34</v>
      </c>
      <c r="D91" s="110"/>
      <c r="E91" s="110"/>
      <c r="F91" s="110"/>
      <c r="G91" s="110"/>
      <c r="H91" s="111"/>
    </row>
    <row r="93" spans="1:15" ht="16" thickBot="1" x14ac:dyDescent="0.4">
      <c r="A93" s="158" t="s">
        <v>329</v>
      </c>
      <c r="B93" s="13"/>
      <c r="C93" s="13"/>
      <c r="D93" s="13"/>
      <c r="E93" s="13"/>
      <c r="F93" s="13"/>
      <c r="G93" s="13"/>
      <c r="H93" s="13"/>
    </row>
    <row r="94" spans="1:15" x14ac:dyDescent="0.25">
      <c r="A94" s="352"/>
      <c r="B94" s="164"/>
      <c r="C94" s="207"/>
      <c r="D94" s="112"/>
      <c r="E94" s="112"/>
      <c r="F94" s="112"/>
      <c r="G94" s="112"/>
      <c r="H94" s="113"/>
    </row>
    <row r="95" spans="1:15" ht="15.5" x14ac:dyDescent="0.4">
      <c r="A95" s="353" t="s">
        <v>486</v>
      </c>
      <c r="B95" s="129">
        <f>'Design Regulator'!E50</f>
        <v>14</v>
      </c>
      <c r="C95" s="354" t="s">
        <v>0</v>
      </c>
      <c r="D95" s="13"/>
      <c r="E95" s="13"/>
      <c r="F95" s="13"/>
      <c r="G95" s="13"/>
      <c r="H95" s="106"/>
    </row>
    <row r="96" spans="1:15" ht="15.5" x14ac:dyDescent="0.4">
      <c r="A96" s="353" t="s">
        <v>487</v>
      </c>
      <c r="B96" s="129">
        <f>'Design Regulator'!E51</f>
        <v>13</v>
      </c>
      <c r="C96" s="354" t="s">
        <v>0</v>
      </c>
      <c r="D96" s="13"/>
      <c r="E96" s="13"/>
      <c r="F96" s="13"/>
      <c r="G96" s="13"/>
      <c r="H96" s="106"/>
    </row>
    <row r="97" spans="1:8" ht="15.5" x14ac:dyDescent="0.4">
      <c r="A97" s="353" t="s">
        <v>516</v>
      </c>
      <c r="B97" s="77">
        <f>(VINuvlo_off-VINuvlo_on*Vuvlo_off/Vuvlo_on)/(Iuvlo1*Vuvlo_off/Vuvlo_on-Iuvlo2)</f>
        <v>100.00000000000017</v>
      </c>
      <c r="C97" s="65" t="s">
        <v>493</v>
      </c>
      <c r="D97" s="13">
        <f>'Standard Value Calculator'!S16</f>
        <v>100</v>
      </c>
      <c r="E97" s="65" t="s">
        <v>493</v>
      </c>
      <c r="F97" s="129">
        <f>IF(Ruvlo1&lt;0,"N/A",D97)</f>
        <v>100</v>
      </c>
      <c r="G97" s="129" t="str">
        <f>IF(Ruvlo1&lt;0,"N/A",D97&amp;"kΩ")</f>
        <v>100kΩ</v>
      </c>
      <c r="H97" s="106"/>
    </row>
    <row r="98" spans="1:8" ht="15.75" customHeight="1" x14ac:dyDescent="0.4">
      <c r="A98" s="353" t="s">
        <v>517</v>
      </c>
      <c r="B98" s="355">
        <f>D97*Vuvlo_on/(VINuvlo_on-Vuvlo_on+Ruvlo1*Iuvlo1)</f>
        <v>9.375</v>
      </c>
      <c r="C98" s="65" t="s">
        <v>493</v>
      </c>
      <c r="D98" s="13">
        <f>'Standard Value Calculator'!S17</f>
        <v>9.31</v>
      </c>
      <c r="E98" s="65" t="s">
        <v>493</v>
      </c>
      <c r="F98" s="129">
        <f>IF(F97="N/A","N/A",D98)</f>
        <v>9.31</v>
      </c>
      <c r="G98" s="129" t="str">
        <f>IF(G97="N/A","N/A",D98&amp;"kΩ")</f>
        <v>9.31kΩ</v>
      </c>
      <c r="H98" s="106"/>
    </row>
    <row r="99" spans="1:8" ht="15.75" customHeight="1" x14ac:dyDescent="0.3">
      <c r="A99" s="353"/>
      <c r="B99" s="355"/>
      <c r="C99" s="65"/>
      <c r="D99" s="13"/>
      <c r="E99" s="65"/>
      <c r="F99" s="13"/>
      <c r="G99" s="13"/>
      <c r="H99" s="106"/>
    </row>
    <row r="100" spans="1:8" ht="15.75" customHeight="1" x14ac:dyDescent="0.4">
      <c r="A100" s="353" t="s">
        <v>494</v>
      </c>
      <c r="B100" s="355">
        <f>(D97+D98)/D98*Vuvlo_on-Iuvlo1*D97</f>
        <v>14.089366272824918</v>
      </c>
      <c r="C100" s="65"/>
      <c r="D100" s="13"/>
      <c r="E100" s="65"/>
      <c r="F100" s="13"/>
      <c r="G100" s="13"/>
      <c r="H100" s="106"/>
    </row>
    <row r="101" spans="1:8" ht="15.75" customHeight="1" x14ac:dyDescent="0.4">
      <c r="A101" s="353" t="s">
        <v>495</v>
      </c>
      <c r="B101" s="355">
        <f>(D97+D98)/D98*Vuvlo_off-Iuvlo2*D97</f>
        <v>13.089366272824918</v>
      </c>
      <c r="C101" s="65"/>
      <c r="D101" s="13"/>
      <c r="E101" s="65"/>
      <c r="F101" s="13"/>
      <c r="G101" s="13"/>
      <c r="H101" s="106"/>
    </row>
    <row r="102" spans="1:8" ht="15.75" customHeight="1" x14ac:dyDescent="0.3">
      <c r="A102" s="353"/>
      <c r="B102" s="355"/>
      <c r="C102" s="65"/>
      <c r="D102" s="13"/>
      <c r="E102" s="65"/>
      <c r="F102" s="13"/>
      <c r="G102" s="13"/>
      <c r="H102" s="106"/>
    </row>
    <row r="103" spans="1:8" ht="15.75" customHeight="1" x14ac:dyDescent="0.25">
      <c r="A103" s="353"/>
      <c r="B103" s="129"/>
      <c r="C103" s="13"/>
      <c r="D103" s="13"/>
      <c r="E103" s="13"/>
      <c r="F103" s="13"/>
      <c r="G103" s="13"/>
      <c r="H103" s="106"/>
    </row>
    <row r="104" spans="1:8" ht="15.75" customHeight="1" x14ac:dyDescent="0.25">
      <c r="A104" s="353" t="s">
        <v>488</v>
      </c>
      <c r="B104" s="129">
        <v>1.2</v>
      </c>
      <c r="C104" s="13"/>
      <c r="D104" s="13"/>
      <c r="E104" s="13"/>
      <c r="F104" s="13"/>
      <c r="G104" s="13"/>
      <c r="H104" s="106"/>
    </row>
    <row r="105" spans="1:8" ht="15.75" customHeight="1" x14ac:dyDescent="0.25">
      <c r="A105" s="353" t="s">
        <v>489</v>
      </c>
      <c r="B105" s="129">
        <v>1.2</v>
      </c>
      <c r="C105" s="13"/>
      <c r="D105" s="13"/>
      <c r="E105" s="13"/>
      <c r="F105" s="13"/>
      <c r="G105" s="13"/>
      <c r="H105" s="106"/>
    </row>
    <row r="106" spans="1:8" ht="15.75" customHeight="1" x14ac:dyDescent="0.25">
      <c r="A106" s="353" t="s">
        <v>489</v>
      </c>
      <c r="B106" s="129">
        <f>B104-B105</f>
        <v>0</v>
      </c>
      <c r="C106" s="13"/>
      <c r="D106" s="13"/>
      <c r="E106" s="13"/>
      <c r="F106" s="13"/>
      <c r="G106" s="13"/>
      <c r="H106" s="106"/>
    </row>
    <row r="107" spans="1:8" ht="15.75" customHeight="1" x14ac:dyDescent="0.25">
      <c r="A107" s="353" t="s">
        <v>492</v>
      </c>
      <c r="B107" s="129">
        <v>0</v>
      </c>
      <c r="C107" s="13"/>
      <c r="D107" s="13"/>
      <c r="E107" s="13"/>
      <c r="F107" s="13"/>
      <c r="G107" s="13"/>
      <c r="H107" s="106"/>
    </row>
    <row r="108" spans="1:8" ht="15.75" customHeight="1" x14ac:dyDescent="0.25">
      <c r="A108" s="353" t="s">
        <v>490</v>
      </c>
      <c r="B108" s="129">
        <v>0.01</v>
      </c>
      <c r="C108" s="13"/>
      <c r="D108" s="13"/>
      <c r="E108" s="13"/>
      <c r="F108" s="13"/>
      <c r="G108" s="13"/>
      <c r="H108" s="106"/>
    </row>
    <row r="109" spans="1:8" ht="15.75" customHeight="1" x14ac:dyDescent="0.25">
      <c r="A109" s="353" t="s">
        <v>491</v>
      </c>
      <c r="B109" s="129">
        <f>B108-B107</f>
        <v>0.01</v>
      </c>
      <c r="C109" s="13"/>
      <c r="D109" s="13"/>
      <c r="E109" s="13"/>
      <c r="F109" s="13"/>
      <c r="G109" s="13"/>
      <c r="H109" s="106"/>
    </row>
    <row r="110" spans="1:8" ht="15.75" customHeight="1" x14ac:dyDescent="0.25">
      <c r="A110" s="353"/>
      <c r="B110" s="129"/>
      <c r="C110" s="13"/>
      <c r="D110" s="13"/>
      <c r="E110" s="13"/>
      <c r="F110" s="13"/>
      <c r="G110" s="13"/>
      <c r="H110" s="106"/>
    </row>
    <row r="111" spans="1:8" ht="15.75" customHeight="1" x14ac:dyDescent="0.4">
      <c r="A111" s="105" t="s">
        <v>331</v>
      </c>
      <c r="B111" s="129"/>
      <c r="C111" s="358" t="s">
        <v>208</v>
      </c>
      <c r="D111" s="13"/>
      <c r="E111" s="13"/>
      <c r="F111" s="13"/>
      <c r="G111" s="13"/>
      <c r="H111" s="106"/>
    </row>
    <row r="112" spans="1:8" ht="15.75" customHeight="1" x14ac:dyDescent="0.4">
      <c r="A112" s="105" t="s">
        <v>332</v>
      </c>
      <c r="B112" s="129"/>
      <c r="C112" s="358" t="s">
        <v>208</v>
      </c>
      <c r="D112" s="13"/>
      <c r="E112" s="13"/>
      <c r="F112" s="13"/>
      <c r="G112" s="13"/>
      <c r="H112" s="106"/>
    </row>
    <row r="113" spans="1:8" ht="15.75" customHeight="1" x14ac:dyDescent="0.25">
      <c r="A113" s="105" t="s">
        <v>306</v>
      </c>
      <c r="B113" s="129"/>
      <c r="C113" s="358" t="s">
        <v>208</v>
      </c>
      <c r="D113" s="13"/>
      <c r="E113" s="13"/>
      <c r="F113" s="13"/>
      <c r="G113" s="13"/>
      <c r="H113" s="106"/>
    </row>
    <row r="114" spans="1:8" ht="15.75" customHeight="1" x14ac:dyDescent="0.25">
      <c r="A114" s="105" t="s">
        <v>429</v>
      </c>
      <c r="B114" s="129" t="e">
        <f>80700/(Totp+273)*398</f>
        <v>#NAME?</v>
      </c>
      <c r="C114" s="358" t="s">
        <v>208</v>
      </c>
      <c r="D114" s="13"/>
      <c r="E114" s="13"/>
      <c r="F114" s="13"/>
      <c r="G114" s="13"/>
      <c r="H114" s="106"/>
    </row>
    <row r="115" spans="1:8" ht="15.75" customHeight="1" x14ac:dyDescent="0.25">
      <c r="A115" s="105"/>
      <c r="B115" s="129"/>
      <c r="C115" s="13"/>
      <c r="D115" s="13"/>
      <c r="E115" s="13"/>
      <c r="F115" s="13"/>
      <c r="G115" s="13"/>
      <c r="H115" s="106"/>
    </row>
    <row r="116" spans="1:8" x14ac:dyDescent="0.25">
      <c r="A116" s="105"/>
      <c r="B116" s="129"/>
      <c r="C116" s="13"/>
      <c r="D116" s="13"/>
      <c r="E116" s="13"/>
      <c r="F116" s="13"/>
      <c r="G116" s="13"/>
      <c r="H116" s="106"/>
    </row>
    <row r="117" spans="1:8" x14ac:dyDescent="0.25">
      <c r="A117" s="105" t="s">
        <v>333</v>
      </c>
      <c r="B117" s="129">
        <v>100</v>
      </c>
      <c r="C117" s="204" t="s">
        <v>53</v>
      </c>
      <c r="D117" s="13"/>
      <c r="E117" s="13"/>
      <c r="F117" s="13"/>
      <c r="G117" s="13"/>
      <c r="H117" s="106"/>
    </row>
    <row r="118" spans="1:8" x14ac:dyDescent="0.25">
      <c r="A118" s="105"/>
      <c r="B118" s="129"/>
      <c r="C118" s="13"/>
      <c r="D118" s="13"/>
      <c r="E118" s="13"/>
      <c r="F118" s="13"/>
      <c r="G118" s="13"/>
      <c r="H118" s="106"/>
    </row>
    <row r="119" spans="1:8" ht="13" thickBot="1" x14ac:dyDescent="0.3">
      <c r="A119" s="109"/>
      <c r="B119" s="130"/>
      <c r="C119" s="110"/>
      <c r="D119" s="110"/>
      <c r="E119" s="110"/>
      <c r="F119" s="110"/>
      <c r="G119" s="110"/>
      <c r="H119" s="111"/>
    </row>
    <row r="120" spans="1:8" x14ac:dyDescent="0.25">
      <c r="B120" s="64"/>
    </row>
    <row r="121" spans="1:8" ht="16" thickBot="1" x14ac:dyDescent="0.4">
      <c r="A121" s="158" t="s">
        <v>330</v>
      </c>
      <c r="B121" s="13"/>
      <c r="C121" s="13"/>
      <c r="D121" s="13"/>
      <c r="E121" s="13"/>
      <c r="F121" s="13"/>
      <c r="G121" s="13"/>
      <c r="H121" s="13"/>
    </row>
    <row r="122" spans="1:8" x14ac:dyDescent="0.25">
      <c r="A122" s="160" t="s">
        <v>81</v>
      </c>
      <c r="B122" s="408">
        <v>10000</v>
      </c>
      <c r="C122" s="112" t="s">
        <v>49</v>
      </c>
      <c r="D122" s="207" t="s">
        <v>432</v>
      </c>
      <c r="E122" s="112"/>
      <c r="F122" s="112"/>
      <c r="G122" s="112"/>
      <c r="H122" s="113"/>
    </row>
    <row r="123" spans="1:8" x14ac:dyDescent="0.25">
      <c r="A123" s="105" t="s">
        <v>82</v>
      </c>
      <c r="B123" s="108">
        <v>5000000</v>
      </c>
      <c r="C123" s="13" t="s">
        <v>10</v>
      </c>
      <c r="D123" s="204" t="s">
        <v>433</v>
      </c>
      <c r="E123" s="13"/>
      <c r="F123" s="13"/>
      <c r="G123" s="13"/>
      <c r="H123" s="106"/>
    </row>
    <row r="124" spans="1:8" x14ac:dyDescent="0.25">
      <c r="A124" s="353" t="s">
        <v>545</v>
      </c>
      <c r="B124" s="169">
        <f>'Design Regulator'!E60*1000</f>
        <v>50000</v>
      </c>
      <c r="C124" s="204" t="s">
        <v>10</v>
      </c>
      <c r="D124" s="13"/>
      <c r="E124" s="13"/>
      <c r="F124" s="13"/>
      <c r="G124" s="13"/>
      <c r="H124" s="106"/>
    </row>
    <row r="125" spans="1:8" x14ac:dyDescent="0.25">
      <c r="A125" s="105" t="s">
        <v>51</v>
      </c>
      <c r="B125" s="170">
        <f>Fcross/Fo/15</f>
        <v>0.38460522748801135</v>
      </c>
      <c r="C125" s="13" t="s">
        <v>49</v>
      </c>
      <c r="D125" s="204" t="s">
        <v>439</v>
      </c>
      <c r="E125" s="13"/>
      <c r="F125" s="13"/>
      <c r="G125" s="13"/>
      <c r="H125" s="106">
        <v>1</v>
      </c>
    </row>
    <row r="126" spans="1:8" x14ac:dyDescent="0.25">
      <c r="A126" s="105" t="s">
        <v>52</v>
      </c>
      <c r="B126" s="131">
        <f>'Design Regulator'!E62*1000</f>
        <v>21000</v>
      </c>
      <c r="C126" s="358" t="s">
        <v>208</v>
      </c>
      <c r="D126" s="13" t="s">
        <v>260</v>
      </c>
      <c r="E126" s="13"/>
      <c r="F126" s="13"/>
      <c r="G126" s="13"/>
      <c r="H126" s="106">
        <v>1</v>
      </c>
    </row>
    <row r="127" spans="1:8" ht="13" x14ac:dyDescent="0.3">
      <c r="A127" s="117" t="s">
        <v>77</v>
      </c>
      <c r="B127" s="411">
        <f>IF(Vout=Vref,100000000,Vref/((Vout-Vref)/_Rfb1))</f>
        <v>1500.0000000000002</v>
      </c>
      <c r="C127" s="358" t="s">
        <v>208</v>
      </c>
      <c r="D127" s="204" t="s">
        <v>707</v>
      </c>
      <c r="E127" s="13"/>
      <c r="F127" s="13"/>
      <c r="G127" s="13"/>
      <c r="H127" s="106"/>
    </row>
    <row r="128" spans="1:8" x14ac:dyDescent="0.25">
      <c r="A128" s="105" t="s">
        <v>271</v>
      </c>
      <c r="B128" s="121">
        <f>IF(Vout=Vref,"N/A",'Standard Value Calculator'!S11)</f>
        <v>1500</v>
      </c>
      <c r="C128" s="358" t="s">
        <v>208</v>
      </c>
      <c r="D128" s="204" t="s">
        <v>706</v>
      </c>
      <c r="E128" s="13"/>
      <c r="F128" s="13"/>
      <c r="G128" s="13"/>
      <c r="H128" s="106"/>
    </row>
    <row r="129" spans="1:8" x14ac:dyDescent="0.25">
      <c r="A129" s="444" t="s">
        <v>698</v>
      </c>
      <c r="B129" s="526">
        <f>0.8/Rfb2_u*(Rfb2_u+_Rfb1)</f>
        <v>12</v>
      </c>
      <c r="C129" s="13" t="s">
        <v>0</v>
      </c>
      <c r="D129" s="354" t="s">
        <v>699</v>
      </c>
      <c r="E129" s="13"/>
      <c r="F129" s="13"/>
      <c r="G129" s="13"/>
      <c r="H129" s="106"/>
    </row>
    <row r="130" spans="1:8" x14ac:dyDescent="0.25">
      <c r="A130" s="444"/>
      <c r="B130" s="53"/>
      <c r="C130" s="358"/>
      <c r="D130" s="204"/>
      <c r="E130" s="13"/>
      <c r="F130" s="13"/>
      <c r="G130" s="13"/>
      <c r="H130" s="106"/>
    </row>
    <row r="131" spans="1:8" ht="13" x14ac:dyDescent="0.3">
      <c r="A131" s="114" t="s">
        <v>74</v>
      </c>
      <c r="B131" s="448">
        <f>Vin/15</f>
        <v>1.6</v>
      </c>
      <c r="C131" s="13" t="s">
        <v>75</v>
      </c>
      <c r="D131" s="204" t="s">
        <v>562</v>
      </c>
      <c r="E131" s="13"/>
      <c r="F131" s="13"/>
      <c r="G131" s="13"/>
      <c r="H131" s="106"/>
    </row>
    <row r="132" spans="1:8" ht="13" x14ac:dyDescent="0.3">
      <c r="A132" s="114" t="s">
        <v>58</v>
      </c>
      <c r="B132" s="412">
        <f>Kmidband*_Rfb1</f>
        <v>8076.7097772482384</v>
      </c>
      <c r="C132" s="358" t="s">
        <v>208</v>
      </c>
      <c r="D132" s="204" t="s">
        <v>431</v>
      </c>
      <c r="E132" s="13"/>
      <c r="F132" s="13"/>
      <c r="G132" s="13"/>
      <c r="H132" s="106">
        <v>1</v>
      </c>
    </row>
    <row r="133" spans="1:8" ht="13" x14ac:dyDescent="0.3">
      <c r="A133" s="114" t="s">
        <v>54</v>
      </c>
      <c r="B133" s="413">
        <f>1/(Rcea1*('Design Regulator'!E66*1000)*2*Pi)</f>
        <v>3.2480600668113541E-9</v>
      </c>
      <c r="C133" s="13" t="s">
        <v>34</v>
      </c>
      <c r="D133" s="13" t="s">
        <v>261</v>
      </c>
      <c r="E133" s="13"/>
      <c r="F133" s="13"/>
      <c r="G133" s="13"/>
      <c r="H133" s="106">
        <v>1</v>
      </c>
    </row>
    <row r="134" spans="1:8" ht="13" x14ac:dyDescent="0.3">
      <c r="A134" s="114" t="s">
        <v>55</v>
      </c>
      <c r="B134" s="413">
        <f>1/((Rcea1*2*Pi*'Design Regulator'!E69*1000)-1/Cc1ea)</f>
        <v>1.016093214639507E-10</v>
      </c>
      <c r="C134" s="13" t="s">
        <v>34</v>
      </c>
      <c r="D134" s="13"/>
      <c r="E134" s="13"/>
      <c r="F134" s="13"/>
      <c r="G134" s="13"/>
      <c r="H134" s="106">
        <v>1</v>
      </c>
    </row>
    <row r="135" spans="1:8" ht="13" x14ac:dyDescent="0.3">
      <c r="A135" s="114" t="s">
        <v>56</v>
      </c>
      <c r="B135" s="411">
        <f>(1/(1000*2*Pi*'Design Regulator'!E68))*_Rfb1/(1/('Design Regulator'!E67*1000*2*Pi)-(1/(1000*2*Pi*'Design Regulator'!E68)))</f>
        <v>51.587061060362629</v>
      </c>
      <c r="C135" s="358" t="s">
        <v>208</v>
      </c>
      <c r="D135" s="13"/>
      <c r="E135" s="13"/>
      <c r="F135" s="13"/>
      <c r="G135" s="13"/>
      <c r="H135" s="106">
        <v>1</v>
      </c>
    </row>
    <row r="136" spans="1:8" ht="13" x14ac:dyDescent="0.3">
      <c r="A136" s="114" t="s">
        <v>57</v>
      </c>
      <c r="B136" s="413">
        <f>(1/(1000*2*Pi*'Design Regulator'!E68))/Rcea2</f>
        <v>9.6923528831181925E-10</v>
      </c>
      <c r="C136" s="13" t="s">
        <v>34</v>
      </c>
      <c r="D136" s="13"/>
      <c r="E136" s="13"/>
      <c r="F136" s="13"/>
      <c r="G136" s="13"/>
      <c r="H136" s="106">
        <v>1</v>
      </c>
    </row>
    <row r="137" spans="1:8" ht="13" x14ac:dyDescent="0.3">
      <c r="A137" s="114"/>
      <c r="B137" s="132"/>
      <c r="C137" s="13"/>
      <c r="D137" s="13"/>
      <c r="E137" s="13"/>
      <c r="F137" s="13"/>
      <c r="G137" s="13"/>
      <c r="H137" s="106"/>
    </row>
    <row r="138" spans="1:8" ht="13" x14ac:dyDescent="0.3">
      <c r="A138" s="117" t="s">
        <v>383</v>
      </c>
      <c r="B138" s="13"/>
      <c r="C138" s="13"/>
      <c r="D138" s="13"/>
      <c r="E138" s="13"/>
      <c r="F138" s="13"/>
      <c r="G138" s="13"/>
      <c r="H138" s="106"/>
    </row>
    <row r="139" spans="1:8" x14ac:dyDescent="0.25">
      <c r="A139" s="105" t="s">
        <v>59</v>
      </c>
      <c r="B139" s="197">
        <f>'Design Regulator'!D73*1000</f>
        <v>8060.0000000000009</v>
      </c>
      <c r="C139" s="358" t="s">
        <v>208</v>
      </c>
      <c r="D139" s="13"/>
      <c r="E139" s="13"/>
      <c r="F139" s="13"/>
      <c r="G139" s="13"/>
      <c r="H139" s="106">
        <v>2</v>
      </c>
    </row>
    <row r="140" spans="1:8" x14ac:dyDescent="0.25">
      <c r="A140" s="105" t="s">
        <v>60</v>
      </c>
      <c r="B140" s="124">
        <f>'Design Regulator'!D74*0.000000000001</f>
        <v>6.7999999999999997E-9</v>
      </c>
      <c r="C140" s="13" t="s">
        <v>34</v>
      </c>
      <c r="D140" s="13"/>
      <c r="E140" s="13"/>
      <c r="F140" s="13"/>
      <c r="G140" s="13"/>
      <c r="H140" s="106">
        <v>2</v>
      </c>
    </row>
    <row r="141" spans="1:8" x14ac:dyDescent="0.25">
      <c r="A141" s="105" t="s">
        <v>61</v>
      </c>
      <c r="B141" s="124">
        <f>'Design Regulator'!D75*0.000000000001</f>
        <v>1E-10</v>
      </c>
      <c r="C141" s="13" t="s">
        <v>34</v>
      </c>
      <c r="D141" s="13"/>
      <c r="E141" s="13"/>
      <c r="F141" s="13"/>
      <c r="G141" s="13"/>
      <c r="H141" s="106">
        <v>2</v>
      </c>
    </row>
    <row r="142" spans="1:8" x14ac:dyDescent="0.25">
      <c r="A142" s="105" t="s">
        <v>62</v>
      </c>
      <c r="B142" s="197">
        <f>'Design Regulator'!D76</f>
        <v>51.1</v>
      </c>
      <c r="C142" s="358" t="s">
        <v>208</v>
      </c>
      <c r="D142" s="13"/>
      <c r="E142" s="13"/>
      <c r="F142" s="13"/>
      <c r="G142" s="13"/>
      <c r="H142" s="106">
        <v>2</v>
      </c>
    </row>
    <row r="143" spans="1:8" x14ac:dyDescent="0.25">
      <c r="A143" s="105" t="s">
        <v>63</v>
      </c>
      <c r="B143" s="124">
        <f>'Design Regulator'!D77*0.000000000001</f>
        <v>1.0000000000000001E-9</v>
      </c>
      <c r="C143" s="13" t="s">
        <v>34</v>
      </c>
      <c r="D143" s="13"/>
      <c r="E143" s="13"/>
      <c r="F143" s="13"/>
      <c r="G143" s="13"/>
      <c r="H143" s="106">
        <v>2</v>
      </c>
    </row>
    <row r="144" spans="1:8" x14ac:dyDescent="0.25">
      <c r="A144" s="105"/>
      <c r="B144" s="13"/>
      <c r="C144" s="13"/>
      <c r="D144" s="13"/>
      <c r="E144" s="13"/>
      <c r="F144" s="13"/>
      <c r="G144" s="13"/>
      <c r="H144" s="106"/>
    </row>
    <row r="145" spans="1:8" ht="13" x14ac:dyDescent="0.3">
      <c r="A145" s="117" t="s">
        <v>344</v>
      </c>
      <c r="B145" s="13"/>
      <c r="C145" s="13"/>
      <c r="D145" s="13">
        <f>Cout</f>
        <v>5.0000000000000002E-5</v>
      </c>
      <c r="E145" s="13">
        <f>CoutEsr</f>
        <v>1E-3</v>
      </c>
      <c r="F145" s="13"/>
      <c r="G145" s="13"/>
      <c r="H145" s="106"/>
    </row>
    <row r="146" spans="1:8" ht="13" x14ac:dyDescent="0.3">
      <c r="A146" s="114" t="s">
        <v>39</v>
      </c>
      <c r="B146" s="479">
        <f>SQRT((Rfets+Rdcr+Ro)/(Cout*Lout2*(CoutEsr+Ro)))/(2*Pi)</f>
        <v>8666.8955466478619</v>
      </c>
      <c r="C146" s="13" t="s">
        <v>10</v>
      </c>
      <c r="D146" s="13" t="s">
        <v>40</v>
      </c>
      <c r="E146" s="13"/>
      <c r="F146" s="13"/>
      <c r="G146" s="13"/>
      <c r="H146" s="106"/>
    </row>
    <row r="147" spans="1:8" ht="13" x14ac:dyDescent="0.3">
      <c r="A147" s="114" t="s">
        <v>42</v>
      </c>
      <c r="B147" s="480">
        <f>(Rfets+Rdcr+Ro)/(Lout2+Cout*(Rdcr+Rfets)*(CoutEsr+Ro)+Cout*CoutEsr*Ro)/(Fo*2*Pi)</f>
        <v>3.2219834664424836</v>
      </c>
      <c r="C147" s="13" t="s">
        <v>49</v>
      </c>
      <c r="D147" s="13" t="s">
        <v>43</v>
      </c>
      <c r="E147" s="13"/>
      <c r="F147" s="13"/>
      <c r="G147" s="13"/>
      <c r="H147" s="106"/>
    </row>
    <row r="148" spans="1:8" ht="13" x14ac:dyDescent="0.3">
      <c r="A148" s="114" t="s">
        <v>41</v>
      </c>
      <c r="B148" s="479">
        <f>1/(2*Pi*Cout*CoutEsr)</f>
        <v>3183098.8654751275</v>
      </c>
      <c r="C148" s="13" t="s">
        <v>10</v>
      </c>
      <c r="D148" s="204" t="s">
        <v>434</v>
      </c>
      <c r="E148" s="13"/>
      <c r="F148" s="13"/>
      <c r="G148" s="13"/>
      <c r="H148" s="106"/>
    </row>
    <row r="149" spans="1:8" ht="13" x14ac:dyDescent="0.3">
      <c r="A149" s="114" t="s">
        <v>64</v>
      </c>
      <c r="B149" s="479">
        <f>1/(2*Pi*Rcea1_u*Cc1ea_u)</f>
        <v>2903.8633643584217</v>
      </c>
      <c r="C149" s="13" t="s">
        <v>10</v>
      </c>
      <c r="D149" s="204" t="s">
        <v>547</v>
      </c>
      <c r="E149" s="13"/>
      <c r="F149" s="13"/>
      <c r="G149" s="13"/>
      <c r="H149" s="106"/>
    </row>
    <row r="150" spans="1:8" ht="13" x14ac:dyDescent="0.3">
      <c r="A150" s="114" t="s">
        <v>65</v>
      </c>
      <c r="B150" s="479">
        <f>1/(2*Pi*Cc3ea_u*(_Rfb1+Rcea2_u))</f>
        <v>7560.4098253182192</v>
      </c>
      <c r="C150" s="13" t="s">
        <v>10</v>
      </c>
      <c r="D150" s="204" t="s">
        <v>547</v>
      </c>
      <c r="E150" s="13"/>
      <c r="F150" s="13"/>
      <c r="G150" s="13"/>
      <c r="H150" s="106"/>
    </row>
    <row r="151" spans="1:8" ht="13" x14ac:dyDescent="0.3">
      <c r="A151" s="114" t="s">
        <v>66</v>
      </c>
      <c r="B151" s="479">
        <f>1/(2*Pi*Rcea2_u*Cc3ea_u)</f>
        <v>3114578.1462574629</v>
      </c>
      <c r="C151" s="13" t="s">
        <v>10</v>
      </c>
      <c r="D151" s="13" t="s">
        <v>263</v>
      </c>
      <c r="E151" s="13"/>
      <c r="F151" s="13"/>
      <c r="G151" s="13"/>
      <c r="H151" s="106"/>
    </row>
    <row r="152" spans="1:8" ht="13" x14ac:dyDescent="0.3">
      <c r="A152" s="114" t="s">
        <v>67</v>
      </c>
      <c r="B152" s="479">
        <f>1/(2*Pi*Rcea1_u*(Cc1ea_u*Cc2ea_u/(Cc1ea_u+Cc2ea_u)))</f>
        <v>200366.57214073109</v>
      </c>
      <c r="C152" s="13" t="s">
        <v>10</v>
      </c>
      <c r="D152" s="13" t="s">
        <v>262</v>
      </c>
      <c r="E152" s="13"/>
      <c r="F152" s="13"/>
      <c r="G152" s="13"/>
      <c r="H152" s="106"/>
    </row>
    <row r="153" spans="1:8" ht="13" x14ac:dyDescent="0.3">
      <c r="A153" s="114" t="s">
        <v>80</v>
      </c>
      <c r="B153" s="480">
        <f>Vout/(Iout+Vref/_Rfb2)</f>
        <v>1.3332543256695899</v>
      </c>
      <c r="C153" s="13"/>
      <c r="D153" s="204" t="s">
        <v>546</v>
      </c>
      <c r="E153" s="13"/>
      <c r="F153" s="13"/>
      <c r="G153" s="13"/>
      <c r="H153" s="106"/>
    </row>
    <row r="154" spans="1:8" ht="13" x14ac:dyDescent="0.3">
      <c r="A154" s="114" t="s">
        <v>70</v>
      </c>
      <c r="B154" s="480">
        <v>3.1415926500000002</v>
      </c>
      <c r="C154" s="13"/>
      <c r="D154" s="13" t="s">
        <v>264</v>
      </c>
      <c r="E154" s="13"/>
      <c r="F154" s="13"/>
      <c r="G154" s="13"/>
      <c r="H154" s="106"/>
    </row>
    <row r="155" spans="1:8" ht="13" x14ac:dyDescent="0.3">
      <c r="A155" s="114" t="s">
        <v>328</v>
      </c>
      <c r="B155" s="132"/>
      <c r="C155" s="13"/>
      <c r="D155" s="13"/>
      <c r="E155" s="13"/>
      <c r="F155" s="13"/>
      <c r="G155" s="13"/>
      <c r="H155" s="106"/>
    </row>
    <row r="156" spans="1:8" ht="13" x14ac:dyDescent="0.3">
      <c r="A156" s="114" t="s">
        <v>337</v>
      </c>
      <c r="B156" s="132">
        <v>0</v>
      </c>
      <c r="C156" s="358" t="s">
        <v>208</v>
      </c>
      <c r="D156" s="204" t="s">
        <v>542</v>
      </c>
      <c r="E156" s="13"/>
      <c r="F156" s="13"/>
      <c r="G156" s="13">
        <f>_Don2*RdsonTop+Doff2*RdsonBot+B161*Vin^2*Fsw/2/(((Iripple1/SQRT(3))^2))</f>
        <v>0.3567282671744812</v>
      </c>
      <c r="H156" s="106"/>
    </row>
    <row r="157" spans="1:8" x14ac:dyDescent="0.25">
      <c r="A157" s="105"/>
      <c r="B157" s="13"/>
      <c r="C157" s="13"/>
      <c r="D157" s="13"/>
      <c r="E157" s="13"/>
      <c r="F157" s="13"/>
      <c r="G157" s="13"/>
      <c r="H157" s="106"/>
    </row>
    <row r="158" spans="1:8" ht="13" x14ac:dyDescent="0.3">
      <c r="A158" s="114" t="s">
        <v>340</v>
      </c>
      <c r="B158" s="133">
        <f>0.00000002*Fsw*0.6*4/Iripple1</f>
        <v>8.5241829808165269E-3</v>
      </c>
      <c r="C158" s="13"/>
      <c r="D158" s="133"/>
      <c r="E158" s="13"/>
      <c r="F158" s="13"/>
      <c r="G158" s="13"/>
      <c r="H158" s="106"/>
    </row>
    <row r="159" spans="1:8" ht="13" x14ac:dyDescent="0.3">
      <c r="A159" s="114" t="s">
        <v>339</v>
      </c>
      <c r="B159" s="133">
        <f>_Don2*RdsonTop+Doff2*RdsonBot</f>
        <v>1.6126569563033651E-2</v>
      </c>
      <c r="C159" s="13"/>
      <c r="D159" s="133"/>
      <c r="E159" s="13"/>
      <c r="F159" s="13"/>
      <c r="G159" s="13"/>
      <c r="H159" s="106"/>
    </row>
    <row r="160" spans="1:8" ht="13" x14ac:dyDescent="0.3">
      <c r="A160" s="114" t="s">
        <v>338</v>
      </c>
      <c r="B160" s="133">
        <f>B161*Vin^2*Fsw/2/(((Iripple1/SQRT(3))^2))</f>
        <v>0.34060169761144754</v>
      </c>
      <c r="C160" s="13"/>
      <c r="D160" s="133"/>
      <c r="E160" s="13"/>
      <c r="F160" s="13"/>
      <c r="G160" s="13"/>
      <c r="H160" s="106"/>
    </row>
    <row r="161" spans="1:8" ht="13.5" thickBot="1" x14ac:dyDescent="0.35">
      <c r="A161" s="126" t="s">
        <v>341</v>
      </c>
      <c r="B161" s="134">
        <v>5.0000000000000001E-9</v>
      </c>
      <c r="C161" s="110"/>
      <c r="D161" s="134"/>
      <c r="E161" s="110"/>
      <c r="F161" s="110"/>
      <c r="G161" s="110"/>
      <c r="H161" s="111"/>
    </row>
    <row r="162" spans="1:8" ht="13" x14ac:dyDescent="0.3">
      <c r="A162" s="1"/>
      <c r="B162" s="74"/>
      <c r="D162" s="74"/>
    </row>
    <row r="163" spans="1:8" ht="13" x14ac:dyDescent="0.3">
      <c r="A163" s="1"/>
      <c r="B163" s="74"/>
      <c r="D163" s="74"/>
    </row>
    <row r="164" spans="1:8" ht="16" thickBot="1" x14ac:dyDescent="0.4">
      <c r="A164" s="165" t="s">
        <v>362</v>
      </c>
      <c r="B164" s="13"/>
      <c r="C164" s="13"/>
      <c r="D164" s="13"/>
      <c r="E164" s="13"/>
      <c r="F164" s="13"/>
      <c r="G164" s="13"/>
      <c r="H164" s="13"/>
    </row>
    <row r="165" spans="1:8" x14ac:dyDescent="0.25">
      <c r="A165" s="160"/>
      <c r="B165" s="112"/>
      <c r="C165" s="112"/>
      <c r="D165" s="112"/>
      <c r="E165" s="112"/>
      <c r="F165" s="112"/>
      <c r="G165" s="112"/>
      <c r="H165" s="113"/>
    </row>
    <row r="166" spans="1:8" ht="13" x14ac:dyDescent="0.3">
      <c r="A166" s="117" t="s">
        <v>125</v>
      </c>
      <c r="B166" s="13"/>
      <c r="C166" s="13"/>
      <c r="D166" s="13"/>
      <c r="E166" s="13"/>
      <c r="F166" s="13"/>
      <c r="G166" s="13"/>
      <c r="H166" s="106"/>
    </row>
    <row r="167" spans="1:8" x14ac:dyDescent="0.25">
      <c r="A167" s="105" t="s">
        <v>156</v>
      </c>
      <c r="B167" s="44">
        <v>25</v>
      </c>
      <c r="C167" s="13"/>
      <c r="D167" s="13" t="s">
        <v>175</v>
      </c>
      <c r="E167" s="13"/>
      <c r="F167" s="13"/>
      <c r="G167" s="13"/>
      <c r="H167" s="106"/>
    </row>
    <row r="168" spans="1:8" ht="15.5" x14ac:dyDescent="0.35">
      <c r="A168" s="543" t="s">
        <v>128</v>
      </c>
      <c r="B168" s="13"/>
      <c r="C168" s="13"/>
      <c r="D168" s="13"/>
      <c r="E168" s="13"/>
      <c r="F168" s="13"/>
      <c r="G168" s="13"/>
      <c r="H168" s="106"/>
    </row>
    <row r="169" spans="1:8" x14ac:dyDescent="0.25">
      <c r="A169" s="105" t="s">
        <v>155</v>
      </c>
      <c r="B169" s="108">
        <f>4000/1000000</f>
        <v>4.0000000000000001E-3</v>
      </c>
      <c r="C169" s="204" t="s">
        <v>563</v>
      </c>
      <c r="D169" s="13" t="s">
        <v>176</v>
      </c>
      <c r="E169" s="13"/>
      <c r="F169" s="13"/>
      <c r="G169" s="13"/>
      <c r="H169" s="106"/>
    </row>
    <row r="170" spans="1:8" x14ac:dyDescent="0.25">
      <c r="A170" s="105" t="s">
        <v>250</v>
      </c>
      <c r="B170" s="108">
        <v>20</v>
      </c>
      <c r="C170" s="354" t="s">
        <v>381</v>
      </c>
      <c r="D170" s="13" t="s">
        <v>251</v>
      </c>
      <c r="E170" s="13"/>
      <c r="F170" s="13"/>
      <c r="G170" s="13"/>
      <c r="H170" s="106"/>
    </row>
    <row r="171" spans="1:8" x14ac:dyDescent="0.25">
      <c r="A171" s="105" t="s">
        <v>159</v>
      </c>
      <c r="B171" s="44">
        <f>RCinEsr</f>
        <v>1E-3</v>
      </c>
      <c r="C171" s="358" t="s">
        <v>208</v>
      </c>
      <c r="D171" s="13" t="s">
        <v>178</v>
      </c>
      <c r="E171" s="13"/>
      <c r="F171" s="13"/>
      <c r="G171" s="13"/>
      <c r="H171" s="106"/>
    </row>
    <row r="172" spans="1:8" ht="13" x14ac:dyDescent="0.3">
      <c r="A172" s="114" t="s">
        <v>268</v>
      </c>
      <c r="B172" s="13"/>
      <c r="C172" s="13"/>
      <c r="D172" s="13"/>
      <c r="E172" s="13"/>
      <c r="F172" s="13"/>
      <c r="G172" s="13"/>
      <c r="H172" s="106"/>
    </row>
    <row r="173" spans="1:8" x14ac:dyDescent="0.25">
      <c r="A173" s="353" t="s">
        <v>619</v>
      </c>
      <c r="B173" s="108">
        <v>7.5</v>
      </c>
      <c r="C173" s="13"/>
      <c r="D173" s="13"/>
      <c r="E173" s="13"/>
      <c r="F173" s="13"/>
      <c r="G173" s="13"/>
      <c r="H173" s="106"/>
    </row>
    <row r="174" spans="1:8" ht="13" x14ac:dyDescent="0.3">
      <c r="A174" s="117" t="s">
        <v>202</v>
      </c>
      <c r="B174" s="13"/>
      <c r="C174" s="13"/>
      <c r="D174" s="13"/>
      <c r="E174" s="13"/>
      <c r="F174" s="13"/>
      <c r="G174" s="13"/>
      <c r="H174" s="106"/>
    </row>
    <row r="175" spans="1:8" x14ac:dyDescent="0.25">
      <c r="A175" s="105" t="s">
        <v>132</v>
      </c>
      <c r="B175" s="108">
        <v>1</v>
      </c>
      <c r="C175" s="358" t="s">
        <v>208</v>
      </c>
      <c r="D175" s="13" t="s">
        <v>204</v>
      </c>
      <c r="E175" s="13"/>
      <c r="F175" s="13"/>
      <c r="G175" s="13"/>
      <c r="H175" s="106"/>
    </row>
    <row r="176" spans="1:8" x14ac:dyDescent="0.25">
      <c r="A176" s="105" t="s">
        <v>239</v>
      </c>
      <c r="B176" s="108">
        <v>0.9</v>
      </c>
      <c r="C176" s="358" t="s">
        <v>208</v>
      </c>
      <c r="D176" s="13" t="s">
        <v>205</v>
      </c>
      <c r="E176" s="13"/>
      <c r="F176" s="13"/>
      <c r="G176" s="13"/>
      <c r="H176" s="106"/>
    </row>
    <row r="177" spans="1:8" ht="13" x14ac:dyDescent="0.3">
      <c r="A177" s="117" t="s">
        <v>203</v>
      </c>
      <c r="B177" s="13"/>
      <c r="C177" s="13"/>
      <c r="D177" s="13"/>
      <c r="E177" s="13"/>
      <c r="F177" s="13"/>
      <c r="G177" s="13"/>
      <c r="H177" s="106"/>
    </row>
    <row r="178" spans="1:8" x14ac:dyDescent="0.25">
      <c r="A178" s="105" t="s">
        <v>131</v>
      </c>
      <c r="B178" s="189">
        <v>1</v>
      </c>
      <c r="C178" s="358" t="s">
        <v>208</v>
      </c>
      <c r="D178" s="13" t="s">
        <v>204</v>
      </c>
      <c r="E178" s="13"/>
      <c r="F178" s="13"/>
      <c r="G178" s="13"/>
      <c r="H178" s="106"/>
    </row>
    <row r="179" spans="1:8" x14ac:dyDescent="0.25">
      <c r="A179" s="105" t="s">
        <v>238</v>
      </c>
      <c r="B179" s="108">
        <v>0.9</v>
      </c>
      <c r="C179" s="358" t="s">
        <v>208</v>
      </c>
      <c r="D179" s="13" t="s">
        <v>205</v>
      </c>
      <c r="E179" s="13"/>
      <c r="F179" s="13"/>
      <c r="G179" s="13"/>
      <c r="H179" s="106"/>
    </row>
    <row r="180" spans="1:8" ht="13" x14ac:dyDescent="0.3">
      <c r="A180" s="117" t="s">
        <v>133</v>
      </c>
      <c r="B180" s="13"/>
      <c r="C180" s="13"/>
      <c r="D180" s="13" t="s">
        <v>199</v>
      </c>
      <c r="E180" s="13"/>
      <c r="F180" s="13"/>
      <c r="G180" s="13"/>
      <c r="H180" s="106"/>
    </row>
    <row r="181" spans="1:8" x14ac:dyDescent="0.25">
      <c r="A181" s="105" t="s">
        <v>133</v>
      </c>
      <c r="B181" s="120">
        <v>2.9999999999999997E-8</v>
      </c>
      <c r="C181" s="13" t="s">
        <v>265</v>
      </c>
      <c r="D181" s="13" t="s">
        <v>179</v>
      </c>
      <c r="E181" s="13"/>
      <c r="F181" s="13"/>
      <c r="G181" s="13"/>
      <c r="H181" s="106"/>
    </row>
    <row r="182" spans="1:8" ht="13" x14ac:dyDescent="0.3">
      <c r="A182" s="117" t="s">
        <v>119</v>
      </c>
      <c r="B182" s="13"/>
      <c r="C182" s="13"/>
      <c r="D182" s="13"/>
      <c r="E182" s="13"/>
      <c r="F182" s="13"/>
      <c r="G182" s="13"/>
      <c r="H182" s="106"/>
    </row>
    <row r="183" spans="1:8" x14ac:dyDescent="0.25">
      <c r="A183" s="105" t="s">
        <v>249</v>
      </c>
      <c r="B183" s="108">
        <v>3.0000000000000001E-3</v>
      </c>
      <c r="C183" s="13" t="s">
        <v>2</v>
      </c>
      <c r="D183" s="13" t="s">
        <v>259</v>
      </c>
      <c r="E183" s="13"/>
      <c r="F183" s="13"/>
      <c r="G183" s="13"/>
      <c r="H183" s="106"/>
    </row>
    <row r="184" spans="1:8" ht="15.5" x14ac:dyDescent="0.35">
      <c r="A184" s="543" t="s">
        <v>129</v>
      </c>
      <c r="B184" s="13"/>
      <c r="C184" s="13"/>
      <c r="D184" s="13"/>
      <c r="E184" s="13"/>
      <c r="F184" s="13"/>
      <c r="G184" s="13"/>
      <c r="H184" s="106"/>
    </row>
    <row r="185" spans="1:8" x14ac:dyDescent="0.25">
      <c r="A185" s="105" t="s">
        <v>142</v>
      </c>
      <c r="B185" s="44">
        <f>'Design Regulator'!E84/1000</f>
        <v>2.1999999999999999E-2</v>
      </c>
      <c r="C185" s="358" t="s">
        <v>208</v>
      </c>
      <c r="D185" s="13" t="s">
        <v>194</v>
      </c>
      <c r="E185" s="13"/>
      <c r="F185" s="13"/>
      <c r="G185" s="13"/>
      <c r="H185" s="106"/>
    </row>
    <row r="186" spans="1:8" x14ac:dyDescent="0.25">
      <c r="A186" s="105" t="s">
        <v>152</v>
      </c>
      <c r="B186" s="108">
        <f>4000/1000000</f>
        <v>4.0000000000000001E-3</v>
      </c>
      <c r="C186" s="204" t="s">
        <v>563</v>
      </c>
      <c r="D186" s="13" t="s">
        <v>193</v>
      </c>
      <c r="E186" s="13"/>
      <c r="F186" s="13"/>
      <c r="G186" s="13"/>
      <c r="H186" s="106"/>
    </row>
    <row r="187" spans="1:8" x14ac:dyDescent="0.25">
      <c r="A187" s="105" t="s">
        <v>141</v>
      </c>
      <c r="B187" s="135">
        <f>'Design Regulator'!E85/1000000000</f>
        <v>1.05E-8</v>
      </c>
      <c r="C187" s="13" t="s">
        <v>269</v>
      </c>
      <c r="D187" s="13" t="s">
        <v>180</v>
      </c>
      <c r="E187" s="13"/>
      <c r="F187" s="13"/>
      <c r="G187" s="13"/>
      <c r="H187" s="106"/>
    </row>
    <row r="188" spans="1:8" x14ac:dyDescent="0.25">
      <c r="A188" s="105" t="s">
        <v>218</v>
      </c>
      <c r="B188" s="135">
        <f>'Design Regulator'!E86/1000000000</f>
        <v>1.8E-9</v>
      </c>
      <c r="C188" s="13" t="s">
        <v>269</v>
      </c>
      <c r="D188" s="13" t="s">
        <v>219</v>
      </c>
      <c r="E188" s="13"/>
      <c r="F188" s="13"/>
      <c r="G188" s="13"/>
      <c r="H188" s="106"/>
    </row>
    <row r="189" spans="1:8" x14ac:dyDescent="0.25">
      <c r="A189" s="105" t="s">
        <v>236</v>
      </c>
      <c r="B189" s="135">
        <f>'Design Regulator'!E87/1000000000</f>
        <v>3.6E-9</v>
      </c>
      <c r="C189" s="13" t="s">
        <v>269</v>
      </c>
      <c r="D189" s="173" t="s">
        <v>722</v>
      </c>
      <c r="E189" s="13"/>
      <c r="F189" s="13"/>
      <c r="G189" s="13"/>
      <c r="H189" s="106"/>
    </row>
    <row r="190" spans="1:8" x14ac:dyDescent="0.25">
      <c r="A190" s="445" t="s">
        <v>729</v>
      </c>
      <c r="B190" s="135">
        <f>'Design Regulator'!E88/1000000000000</f>
        <v>3.0199999999999999E-10</v>
      </c>
      <c r="C190" s="173" t="s">
        <v>34</v>
      </c>
      <c r="D190" s="173" t="s">
        <v>730</v>
      </c>
      <c r="E190" s="13"/>
      <c r="F190" s="13"/>
      <c r="G190" s="13"/>
      <c r="H190" s="106"/>
    </row>
    <row r="191" spans="1:8" x14ac:dyDescent="0.25">
      <c r="A191" s="105" t="s">
        <v>168</v>
      </c>
      <c r="B191" s="44">
        <f>'Design Regulator'!E89</f>
        <v>2</v>
      </c>
      <c r="C191" s="358" t="s">
        <v>208</v>
      </c>
      <c r="D191" s="13" t="s">
        <v>731</v>
      </c>
      <c r="E191" s="13"/>
      <c r="F191" s="13"/>
      <c r="G191" s="13"/>
      <c r="H191" s="106"/>
    </row>
    <row r="192" spans="1:8" x14ac:dyDescent="0.25">
      <c r="A192" s="105" t="s">
        <v>140</v>
      </c>
      <c r="B192" s="44">
        <f>'Design Regulator'!E90</f>
        <v>10</v>
      </c>
      <c r="C192" s="13" t="s">
        <v>137</v>
      </c>
      <c r="D192" s="13" t="s">
        <v>182</v>
      </c>
      <c r="E192" s="13"/>
      <c r="F192" s="13"/>
      <c r="G192" s="13"/>
      <c r="H192" s="106"/>
    </row>
    <row r="193" spans="1:10" x14ac:dyDescent="0.25">
      <c r="A193" s="105" t="s">
        <v>170</v>
      </c>
      <c r="B193" s="44">
        <f>'Design Regulator'!E91</f>
        <v>3.7</v>
      </c>
      <c r="C193" s="13" t="s">
        <v>0</v>
      </c>
      <c r="D193" s="13" t="s">
        <v>183</v>
      </c>
      <c r="E193" s="13"/>
      <c r="F193" s="13"/>
      <c r="G193" s="13"/>
      <c r="H193" s="106"/>
    </row>
    <row r="194" spans="1:10" x14ac:dyDescent="0.25">
      <c r="A194" s="105" t="s">
        <v>235</v>
      </c>
      <c r="B194" s="121">
        <f>VthTop+Iout/GmTop</f>
        <v>4.6000000000000005</v>
      </c>
      <c r="C194" s="13" t="s">
        <v>0</v>
      </c>
      <c r="D194" s="13" t="s">
        <v>266</v>
      </c>
      <c r="E194" s="13"/>
      <c r="F194" s="13"/>
      <c r="G194" s="13"/>
      <c r="H194" s="106"/>
    </row>
    <row r="195" spans="1:10" x14ac:dyDescent="0.25">
      <c r="A195" s="105" t="s">
        <v>378</v>
      </c>
      <c r="B195" s="44">
        <f>'Design Regulator'!E92</f>
        <v>0.8</v>
      </c>
      <c r="C195" s="13" t="s">
        <v>0</v>
      </c>
      <c r="D195" s="13" t="s">
        <v>380</v>
      </c>
      <c r="E195" s="13"/>
      <c r="F195" s="13"/>
      <c r="G195" s="13"/>
      <c r="H195" s="106"/>
    </row>
    <row r="196" spans="1:10" x14ac:dyDescent="0.25">
      <c r="A196" s="105" t="s">
        <v>161</v>
      </c>
      <c r="B196" s="44">
        <f>'Design Regulator'!E93</f>
        <v>42</v>
      </c>
      <c r="C196" s="204" t="s">
        <v>381</v>
      </c>
      <c r="D196" s="13" t="s">
        <v>184</v>
      </c>
      <c r="E196" s="13"/>
      <c r="F196" s="13"/>
      <c r="G196" s="13"/>
      <c r="H196" s="106"/>
    </row>
    <row r="197" spans="1:10" ht="15.5" x14ac:dyDescent="0.35">
      <c r="A197" s="543" t="s">
        <v>130</v>
      </c>
      <c r="B197" s="13"/>
      <c r="C197" s="13"/>
      <c r="D197" s="13"/>
      <c r="E197" s="13"/>
      <c r="F197" s="13"/>
      <c r="G197" s="13"/>
      <c r="H197" s="106"/>
    </row>
    <row r="198" spans="1:10" x14ac:dyDescent="0.25">
      <c r="A198" s="105" t="s">
        <v>139</v>
      </c>
      <c r="B198" s="44">
        <f>'Design Regulator'!E96/1000</f>
        <v>0.01</v>
      </c>
      <c r="C198" s="358" t="s">
        <v>208</v>
      </c>
      <c r="D198" s="13" t="s">
        <v>192</v>
      </c>
      <c r="E198" s="13"/>
      <c r="F198" s="13"/>
      <c r="G198" s="13"/>
      <c r="H198" s="106"/>
    </row>
    <row r="199" spans="1:10" x14ac:dyDescent="0.25">
      <c r="A199" s="105" t="s">
        <v>153</v>
      </c>
      <c r="B199" s="44">
        <f>4000/1000000</f>
        <v>4.0000000000000001E-3</v>
      </c>
      <c r="C199" s="204" t="s">
        <v>563</v>
      </c>
      <c r="D199" s="13" t="s">
        <v>185</v>
      </c>
      <c r="E199" s="13"/>
      <c r="F199" s="13"/>
      <c r="G199" s="13"/>
      <c r="H199" s="106"/>
    </row>
    <row r="200" spans="1:10" x14ac:dyDescent="0.25">
      <c r="A200" s="105" t="s">
        <v>138</v>
      </c>
      <c r="B200" s="135">
        <f>'Design Regulator'!E97/1000000000</f>
        <v>1.3000000000000001E-8</v>
      </c>
      <c r="C200" s="13" t="s">
        <v>269</v>
      </c>
      <c r="D200" s="204" t="s">
        <v>725</v>
      </c>
      <c r="E200" s="13"/>
      <c r="F200" s="13"/>
      <c r="G200" s="13"/>
      <c r="H200" s="106"/>
      <c r="J200">
        <f>RGateTop</f>
        <v>2</v>
      </c>
    </row>
    <row r="201" spans="1:10" x14ac:dyDescent="0.25">
      <c r="A201" s="445" t="s">
        <v>723</v>
      </c>
      <c r="B201" s="135">
        <f>'Design Regulator'!E98/1000000000</f>
        <v>2E-8</v>
      </c>
      <c r="C201" s="13" t="s">
        <v>269</v>
      </c>
      <c r="D201" s="204" t="s">
        <v>724</v>
      </c>
      <c r="E201" s="13"/>
      <c r="F201" s="13"/>
      <c r="G201" s="13"/>
      <c r="H201" s="106"/>
    </row>
    <row r="202" spans="1:10" x14ac:dyDescent="0.25">
      <c r="A202" s="445" t="s">
        <v>728</v>
      </c>
      <c r="B202" s="135">
        <f>'Design Regulator'!E99/1000000000000</f>
        <v>5.7999999999999996E-10</v>
      </c>
      <c r="C202" s="53" t="s">
        <v>34</v>
      </c>
      <c r="D202" s="204" t="s">
        <v>727</v>
      </c>
      <c r="E202" s="13"/>
      <c r="F202" s="13"/>
      <c r="G202" s="13"/>
      <c r="H202" s="106"/>
    </row>
    <row r="203" spans="1:10" x14ac:dyDescent="0.25">
      <c r="A203" s="105" t="s">
        <v>169</v>
      </c>
      <c r="B203" s="44">
        <v>1</v>
      </c>
      <c r="C203" s="358" t="s">
        <v>208</v>
      </c>
      <c r="D203" s="13" t="s">
        <v>181</v>
      </c>
      <c r="E203" s="13"/>
      <c r="F203" s="13"/>
      <c r="G203" s="13"/>
      <c r="H203" s="106"/>
    </row>
    <row r="204" spans="1:10" x14ac:dyDescent="0.25">
      <c r="A204" s="105" t="s">
        <v>144</v>
      </c>
      <c r="B204" s="44">
        <f>'Design Regulator'!E100</f>
        <v>0.9</v>
      </c>
      <c r="C204" s="13" t="s">
        <v>0</v>
      </c>
      <c r="D204" s="13" t="s">
        <v>186</v>
      </c>
      <c r="E204" s="13"/>
      <c r="F204" s="13"/>
      <c r="G204" s="13"/>
      <c r="H204" s="106"/>
    </row>
    <row r="205" spans="1:10" x14ac:dyDescent="0.25">
      <c r="A205" s="105" t="s">
        <v>145</v>
      </c>
      <c r="B205" s="135">
        <f>'Design Regulator'!E101/1000000000</f>
        <v>4.9999999999999998E-8</v>
      </c>
      <c r="C205" s="13" t="s">
        <v>269</v>
      </c>
      <c r="D205" s="13" t="s">
        <v>196</v>
      </c>
      <c r="E205" s="13"/>
      <c r="F205" s="13"/>
      <c r="G205" s="13"/>
      <c r="H205" s="106"/>
    </row>
    <row r="206" spans="1:10" x14ac:dyDescent="0.25">
      <c r="A206" s="105" t="s">
        <v>146</v>
      </c>
      <c r="B206" s="135">
        <v>4.0000000000000001E-8</v>
      </c>
      <c r="C206" s="13" t="s">
        <v>265</v>
      </c>
      <c r="D206" s="13" t="s">
        <v>187</v>
      </c>
      <c r="E206" s="13"/>
      <c r="F206" s="13"/>
      <c r="G206" s="13"/>
      <c r="H206" s="106"/>
    </row>
    <row r="207" spans="1:10" x14ac:dyDescent="0.25">
      <c r="A207" s="105" t="s">
        <v>160</v>
      </c>
      <c r="B207" s="44">
        <f>'Design Regulator'!E102</f>
        <v>40</v>
      </c>
      <c r="C207" s="204" t="s">
        <v>381</v>
      </c>
      <c r="D207" s="13" t="s">
        <v>184</v>
      </c>
      <c r="E207" s="13"/>
      <c r="F207" s="13"/>
      <c r="G207" s="13"/>
      <c r="H207" s="106"/>
    </row>
    <row r="208" spans="1:10" ht="15.5" x14ac:dyDescent="0.35">
      <c r="A208" s="543" t="s">
        <v>428</v>
      </c>
      <c r="B208" s="44"/>
      <c r="C208" s="13"/>
      <c r="D208" s="13"/>
      <c r="E208" s="13"/>
      <c r="F208" s="13"/>
      <c r="G208" s="13"/>
      <c r="H208" s="106"/>
    </row>
    <row r="209" spans="1:8" x14ac:dyDescent="0.25">
      <c r="A209" s="105" t="s">
        <v>365</v>
      </c>
      <c r="B209" s="44">
        <f>'Design Regulator'!E104</f>
        <v>0</v>
      </c>
      <c r="C209" s="13" t="s">
        <v>0</v>
      </c>
      <c r="D209" s="53" t="s">
        <v>368</v>
      </c>
      <c r="E209" s="13"/>
      <c r="F209" s="13"/>
      <c r="G209" s="13"/>
      <c r="H209" s="106"/>
    </row>
    <row r="210" spans="1:8" x14ac:dyDescent="0.25">
      <c r="A210" s="105" t="s">
        <v>366</v>
      </c>
      <c r="B210" s="44">
        <f>'Design Regulator'!E105/1000000000</f>
        <v>0</v>
      </c>
      <c r="C210" s="13" t="s">
        <v>269</v>
      </c>
      <c r="D210" s="53" t="s">
        <v>369</v>
      </c>
      <c r="E210" s="13"/>
      <c r="F210" s="13"/>
      <c r="G210" s="13"/>
      <c r="H210" s="106"/>
    </row>
    <row r="211" spans="1:8" x14ac:dyDescent="0.25">
      <c r="A211" s="105" t="s">
        <v>367</v>
      </c>
      <c r="B211" s="44">
        <v>0</v>
      </c>
      <c r="C211" s="13" t="s">
        <v>2</v>
      </c>
      <c r="D211" s="53" t="s">
        <v>370</v>
      </c>
      <c r="E211" s="13"/>
      <c r="F211" s="13"/>
      <c r="G211" s="13"/>
      <c r="H211" s="106"/>
    </row>
    <row r="212" spans="1:8" ht="13" x14ac:dyDescent="0.3">
      <c r="A212" s="117" t="s">
        <v>209</v>
      </c>
      <c r="B212" s="13"/>
      <c r="C212" s="13"/>
      <c r="D212" s="13"/>
      <c r="E212" s="13"/>
      <c r="F212" s="13"/>
      <c r="G212" s="13"/>
      <c r="H212" s="106"/>
    </row>
    <row r="213" spans="1:8" x14ac:dyDescent="0.25">
      <c r="A213" s="105" t="s">
        <v>267</v>
      </c>
      <c r="B213" s="44">
        <v>30</v>
      </c>
      <c r="C213" s="13"/>
      <c r="D213" s="13"/>
      <c r="E213" s="13"/>
      <c r="F213" s="13"/>
      <c r="G213" s="13"/>
      <c r="H213" s="106"/>
    </row>
    <row r="214" spans="1:8" ht="13" x14ac:dyDescent="0.3">
      <c r="A214" s="117" t="s">
        <v>149</v>
      </c>
      <c r="B214" s="13"/>
      <c r="C214" s="13"/>
      <c r="D214" s="13"/>
      <c r="E214" s="13"/>
      <c r="F214" s="13"/>
      <c r="G214" s="13"/>
      <c r="H214" s="106"/>
    </row>
    <row r="215" spans="1:8" x14ac:dyDescent="0.25">
      <c r="A215" s="105" t="s">
        <v>129</v>
      </c>
      <c r="B215" s="13"/>
      <c r="C215" s="13"/>
      <c r="D215" s="13"/>
      <c r="E215" s="13"/>
      <c r="F215" s="13"/>
      <c r="G215" s="13"/>
      <c r="H215" s="106"/>
    </row>
    <row r="216" spans="1:8" x14ac:dyDescent="0.25">
      <c r="A216" s="105" t="s">
        <v>166</v>
      </c>
      <c r="B216" s="124">
        <f>(QgdTop+QgsTop/2)*(RdsonDRT+RGateTop)/(Vdd-VspTop)</f>
        <v>3.7241379310344837E-9</v>
      </c>
      <c r="C216" s="13" t="s">
        <v>265</v>
      </c>
      <c r="D216" s="13"/>
      <c r="E216" s="13"/>
      <c r="F216" s="13"/>
      <c r="G216" s="13"/>
      <c r="H216" s="106"/>
    </row>
    <row r="217" spans="1:8" x14ac:dyDescent="0.25">
      <c r="A217" s="105" t="s">
        <v>167</v>
      </c>
      <c r="B217" s="124">
        <f>(QgdTop+QgsTop/2)*(RdsonDRT+RGateTop)/(VspTop)</f>
        <v>2.3478260869565216E-9</v>
      </c>
      <c r="C217" s="13" t="s">
        <v>265</v>
      </c>
      <c r="D217" s="13"/>
      <c r="E217" s="13"/>
      <c r="F217" s="13"/>
      <c r="G217" s="13"/>
      <c r="H217" s="106"/>
    </row>
    <row r="218" spans="1:8" x14ac:dyDescent="0.25">
      <c r="A218" s="105"/>
      <c r="B218" s="13"/>
      <c r="C218" s="13"/>
      <c r="D218" s="13"/>
      <c r="E218" s="13"/>
      <c r="F218" s="13"/>
      <c r="G218" s="13"/>
      <c r="H218" s="106"/>
    </row>
    <row r="219" spans="1:8" x14ac:dyDescent="0.25">
      <c r="A219" s="105"/>
      <c r="B219" s="13"/>
      <c r="C219" s="13"/>
      <c r="D219" s="13"/>
      <c r="E219" s="13"/>
      <c r="F219" s="13"/>
      <c r="G219" s="13"/>
      <c r="H219" s="106"/>
    </row>
    <row r="220" spans="1:8" ht="13" x14ac:dyDescent="0.3">
      <c r="A220" s="166" t="s">
        <v>392</v>
      </c>
      <c r="B220" s="144" t="s">
        <v>8</v>
      </c>
      <c r="C220" s="62" t="s">
        <v>148</v>
      </c>
      <c r="D220" s="13"/>
      <c r="E220" s="13"/>
      <c r="F220" s="13"/>
      <c r="G220" s="13"/>
      <c r="H220" s="106"/>
    </row>
    <row r="221" spans="1:8" x14ac:dyDescent="0.25">
      <c r="A221" s="167" t="s">
        <v>207</v>
      </c>
      <c r="B221" s="467">
        <f>'Power Calculations'!AN9</f>
        <v>0.29759999999999998</v>
      </c>
      <c r="C221" s="145" t="s">
        <v>208</v>
      </c>
      <c r="D221" s="13"/>
      <c r="E221" s="13"/>
      <c r="F221" s="13"/>
      <c r="G221" s="13"/>
      <c r="H221" s="106"/>
    </row>
    <row r="222" spans="1:8" x14ac:dyDescent="0.25">
      <c r="A222" s="167" t="s">
        <v>211</v>
      </c>
      <c r="B222" s="468">
        <f>B221*ThetaJaCtrl</f>
        <v>8.927999999999999</v>
      </c>
      <c r="C222" s="354" t="s">
        <v>442</v>
      </c>
      <c r="D222" s="13"/>
      <c r="E222" s="13"/>
      <c r="F222" s="13"/>
      <c r="G222" s="13"/>
      <c r="H222" s="106"/>
    </row>
    <row r="223" spans="1:8" x14ac:dyDescent="0.25">
      <c r="A223" s="167" t="s">
        <v>388</v>
      </c>
      <c r="B223" s="470">
        <f>(QgBot+QgTop)*Fsw+Iq</f>
        <v>1.2399999999999998E-2</v>
      </c>
      <c r="C223" s="53" t="s">
        <v>2</v>
      </c>
      <c r="D223" s="13"/>
      <c r="E223" s="13"/>
      <c r="F223" s="13"/>
      <c r="G223" s="13"/>
      <c r="H223" s="106"/>
    </row>
    <row r="224" spans="1:8" x14ac:dyDescent="0.25">
      <c r="A224" s="167" t="s">
        <v>389</v>
      </c>
      <c r="B224" s="469">
        <f>QrrBot*Fsw</f>
        <v>0.02</v>
      </c>
      <c r="C224" s="53" t="s">
        <v>2</v>
      </c>
      <c r="D224" s="13"/>
      <c r="E224" s="13"/>
      <c r="F224" s="13"/>
      <c r="G224" s="13"/>
      <c r="H224" s="106"/>
    </row>
    <row r="225" spans="1:8" x14ac:dyDescent="0.25">
      <c r="A225" s="167" t="s">
        <v>390</v>
      </c>
      <c r="B225" s="469">
        <f>C225/Vin</f>
        <v>2.1026371836632422E-4</v>
      </c>
      <c r="C225" s="53">
        <f>Deadtime*Fsw*(Ipp/2)*(VsdTop+VsdBot)</f>
        <v>5.0463292407917811E-3</v>
      </c>
      <c r="D225" s="13"/>
      <c r="E225" s="13"/>
      <c r="F225" s="13"/>
      <c r="G225" s="13"/>
      <c r="H225" s="106"/>
    </row>
    <row r="226" spans="1:8" x14ac:dyDescent="0.25">
      <c r="A226" s="167" t="s">
        <v>393</v>
      </c>
      <c r="B226" s="469">
        <f>SUM(B223:B225)</f>
        <v>3.2610263718366325E-2</v>
      </c>
      <c r="C226" s="53" t="s">
        <v>2</v>
      </c>
      <c r="D226" s="13"/>
      <c r="E226" s="13"/>
      <c r="F226" s="13"/>
      <c r="G226" s="13"/>
      <c r="H226" s="106"/>
    </row>
    <row r="227" spans="1:8" x14ac:dyDescent="0.25">
      <c r="A227" s="105"/>
      <c r="B227" s="13"/>
      <c r="C227" s="13"/>
      <c r="D227" s="13"/>
      <c r="E227" s="13"/>
      <c r="F227" s="13"/>
      <c r="G227" s="13"/>
      <c r="H227" s="106"/>
    </row>
    <row r="228" spans="1:8" x14ac:dyDescent="0.25">
      <c r="A228" s="105"/>
      <c r="B228" s="13"/>
      <c r="C228" s="13"/>
      <c r="D228" s="13"/>
      <c r="E228" s="13"/>
      <c r="F228" s="13"/>
      <c r="G228" s="13"/>
      <c r="H228" s="106"/>
    </row>
    <row r="229" spans="1:8" x14ac:dyDescent="0.25">
      <c r="A229" s="105"/>
      <c r="B229" s="13"/>
      <c r="C229" s="13"/>
      <c r="D229" s="13"/>
      <c r="E229" s="13"/>
      <c r="F229" s="13"/>
      <c r="G229" s="13"/>
      <c r="H229" s="106"/>
    </row>
    <row r="230" spans="1:8" x14ac:dyDescent="0.25">
      <c r="A230" s="105"/>
      <c r="B230" s="13"/>
      <c r="C230" s="13"/>
      <c r="D230" s="13"/>
      <c r="E230" s="13"/>
      <c r="F230" s="13"/>
      <c r="G230" s="13"/>
      <c r="H230" s="106"/>
    </row>
    <row r="231" spans="1:8" x14ac:dyDescent="0.25">
      <c r="A231" s="105"/>
      <c r="B231" s="13"/>
      <c r="C231" s="13"/>
      <c r="D231" s="13"/>
      <c r="E231" s="13"/>
      <c r="F231" s="13"/>
      <c r="G231" s="13"/>
      <c r="H231" s="106"/>
    </row>
    <row r="232" spans="1:8" ht="13" x14ac:dyDescent="0.3">
      <c r="A232" s="117" t="s">
        <v>150</v>
      </c>
      <c r="B232" s="13"/>
      <c r="C232" s="13"/>
      <c r="D232" s="13"/>
      <c r="E232" s="13"/>
      <c r="F232" s="13"/>
      <c r="G232" s="13"/>
      <c r="H232" s="106"/>
    </row>
    <row r="233" spans="1:8" x14ac:dyDescent="0.25">
      <c r="A233" s="105" t="s">
        <v>206</v>
      </c>
      <c r="B233" s="13"/>
      <c r="C233" s="13"/>
      <c r="D233" s="13"/>
      <c r="E233" s="13"/>
      <c r="F233" s="13"/>
      <c r="G233" s="13"/>
      <c r="H233" s="106"/>
    </row>
    <row r="234" spans="1:8" ht="13" thickBot="1" x14ac:dyDescent="0.3">
      <c r="A234" s="109" t="s">
        <v>207</v>
      </c>
      <c r="B234" s="110"/>
      <c r="C234" s="110"/>
      <c r="D234" s="110"/>
      <c r="E234" s="110"/>
      <c r="F234" s="110"/>
      <c r="G234" s="110"/>
      <c r="H234" s="111"/>
    </row>
    <row r="235" spans="1:8" ht="13" x14ac:dyDescent="0.3">
      <c r="A235" s="1"/>
      <c r="B235" s="1"/>
    </row>
    <row r="236" spans="1:8" ht="21.75" customHeight="1" thickBot="1" x14ac:dyDescent="0.4">
      <c r="A236" s="158" t="s">
        <v>382</v>
      </c>
      <c r="B236" s="13"/>
      <c r="C236" s="13"/>
      <c r="D236" s="13"/>
      <c r="E236" s="13"/>
      <c r="F236" s="13"/>
      <c r="G236" s="13"/>
      <c r="H236" s="13"/>
    </row>
    <row r="237" spans="1:8" x14ac:dyDescent="0.25">
      <c r="A237" s="160" t="str">
        <f>"RC1 = "&amp;'Design Regulator'!D73&amp;"kΩ"</f>
        <v>RC1 = 8.06kΩ</v>
      </c>
      <c r="B237" s="112" t="str">
        <f>'Design Regulator'!D73&amp;"kΩ"</f>
        <v>8.06kΩ</v>
      </c>
      <c r="C237" s="112"/>
      <c r="D237" s="168"/>
      <c r="E237" s="168"/>
      <c r="F237" s="168"/>
      <c r="G237" s="168"/>
      <c r="H237" s="113"/>
    </row>
    <row r="238" spans="1:8" x14ac:dyDescent="0.25">
      <c r="A238" s="105" t="str">
        <f>"LOUT = "&amp;'Design Regulator'!E17&amp;"uH"</f>
        <v>LOUT = 6.8uH</v>
      </c>
      <c r="B238" s="13" t="str">
        <f>'Design Regulator'!E17&amp;"µH"</f>
        <v>6.8µH</v>
      </c>
      <c r="C238" s="13"/>
      <c r="D238" s="13"/>
      <c r="E238" s="13"/>
      <c r="F238" s="13"/>
      <c r="G238" s="13"/>
      <c r="H238" s="106"/>
    </row>
    <row r="239" spans="1:8" x14ac:dyDescent="0.25">
      <c r="A239" s="105" t="str">
        <f>"Rdcr = "&amp;'Design Regulator'!E18&amp;"mΩ"</f>
        <v>Rdcr = 12mΩ</v>
      </c>
      <c r="B239" s="13" t="str">
        <f>'Design Regulator'!E18&amp;"mΩ"</f>
        <v>12mΩ</v>
      </c>
      <c r="C239" s="13"/>
      <c r="D239" s="13"/>
      <c r="E239" s="13"/>
      <c r="F239" s="13"/>
      <c r="G239" s="13"/>
      <c r="H239" s="106"/>
    </row>
    <row r="240" spans="1:8" x14ac:dyDescent="0.25">
      <c r="A240" s="444"/>
      <c r="B240" s="13"/>
      <c r="C240" s="13"/>
      <c r="D240" s="13"/>
      <c r="E240" s="13"/>
      <c r="F240" s="13"/>
      <c r="G240" s="13"/>
      <c r="H240" s="106"/>
    </row>
    <row r="241" spans="1:8" x14ac:dyDescent="0.25">
      <c r="A241" s="105" t="str">
        <f>"VOUT = "&amp;'Design Regulator'!E9&amp;"V"</f>
        <v>VOUT = 12V</v>
      </c>
      <c r="B241" s="13" t="str">
        <f>'Design Regulator'!E9&amp;"V"</f>
        <v>12V</v>
      </c>
      <c r="C241" s="13"/>
      <c r="D241" s="13"/>
      <c r="E241" s="13"/>
      <c r="F241" s="13"/>
      <c r="G241" s="13"/>
      <c r="H241" s="106"/>
    </row>
    <row r="242" spans="1:8" x14ac:dyDescent="0.25">
      <c r="A242" s="105"/>
      <c r="B242" s="13"/>
      <c r="C242" s="206" t="str">
        <f>M44</f>
        <v>22</v>
      </c>
      <c r="D242" s="206">
        <f>ROUNDUP('Design Regulator'!$E$32/C242,0)</f>
        <v>3</v>
      </c>
      <c r="E242" s="13"/>
      <c r="F242" s="13"/>
      <c r="G242" s="13"/>
      <c r="H242" s="106"/>
    </row>
    <row r="243" spans="1:8" x14ac:dyDescent="0.25">
      <c r="A243" s="105" t="str">
        <f>"COUT = "&amp;'Design Regulator'!$E$32&amp;"uF"</f>
        <v>COUT = 50uF</v>
      </c>
      <c r="B243" s="13" t="str">
        <f>'Design Regulator'!$E$32&amp;"µF"</f>
        <v>50µF</v>
      </c>
      <c r="C243" s="206" t="str">
        <f>C242</f>
        <v>22</v>
      </c>
      <c r="D243" s="206" t="str">
        <f>IF(D242=1, "",B245)</f>
        <v xml:space="preserve">3 x </v>
      </c>
      <c r="E243" s="13" t="str">
        <f>D243&amp;C243&amp;"µF"</f>
        <v>3 x 22µF</v>
      </c>
      <c r="F243" s="13" t="str">
        <f>C243&amp;"µF"</f>
        <v>22µF</v>
      </c>
      <c r="G243" s="13" t="str">
        <f>L66</f>
        <v>16V</v>
      </c>
      <c r="H243" s="106"/>
    </row>
    <row r="244" spans="1:8" x14ac:dyDescent="0.25">
      <c r="A244" s="353" t="s">
        <v>531</v>
      </c>
      <c r="B244" s="13" t="str">
        <f>C242&amp;"µF"</f>
        <v>22µF</v>
      </c>
      <c r="C244" s="13"/>
      <c r="D244" s="13"/>
      <c r="E244" s="13"/>
      <c r="F244" s="13"/>
      <c r="G244" s="13"/>
      <c r="H244" s="106"/>
    </row>
    <row r="245" spans="1:8" x14ac:dyDescent="0.25">
      <c r="A245" s="353" t="s">
        <v>532</v>
      </c>
      <c r="B245" s="206" t="str">
        <f>D242&amp;" x "</f>
        <v xml:space="preserve">3 x </v>
      </c>
      <c r="C245" s="13"/>
      <c r="D245" s="13"/>
      <c r="E245" s="13"/>
      <c r="F245" s="13"/>
      <c r="G245" s="13"/>
      <c r="H245" s="106"/>
    </row>
    <row r="246" spans="1:8" x14ac:dyDescent="0.25">
      <c r="A246" s="445"/>
      <c r="D246" s="13"/>
      <c r="E246" s="13"/>
      <c r="F246" s="13"/>
      <c r="G246" s="13"/>
      <c r="H246" s="106"/>
    </row>
    <row r="247" spans="1:8" x14ac:dyDescent="0.25">
      <c r="A247" s="444"/>
      <c r="B247" s="13"/>
      <c r="C247" s="13"/>
      <c r="D247" s="13"/>
      <c r="E247" s="13"/>
      <c r="F247" s="13"/>
      <c r="G247" s="13"/>
      <c r="H247" s="106"/>
    </row>
    <row r="248" spans="1:8" x14ac:dyDescent="0.25">
      <c r="A248" s="105" t="s">
        <v>410</v>
      </c>
      <c r="B248" s="13" t="str">
        <f>Cin*1000000&amp;"µF"</f>
        <v>18µF</v>
      </c>
      <c r="C248" s="13"/>
      <c r="D248" s="13"/>
      <c r="E248" s="13"/>
      <c r="F248" s="13"/>
      <c r="G248" s="13"/>
      <c r="H248" s="106"/>
    </row>
    <row r="249" spans="1:8" x14ac:dyDescent="0.25">
      <c r="A249" s="353" t="s">
        <v>530</v>
      </c>
      <c r="B249" s="13" t="str">
        <f>"4.7µF"</f>
        <v>4.7µF</v>
      </c>
      <c r="C249" s="13"/>
      <c r="D249" s="13"/>
      <c r="E249" s="13"/>
      <c r="F249" s="13"/>
      <c r="G249" s="13"/>
      <c r="H249" s="106"/>
    </row>
    <row r="250" spans="1:8" x14ac:dyDescent="0.25">
      <c r="A250" s="353" t="s">
        <v>529</v>
      </c>
      <c r="B250" s="206" t="str">
        <f>ROUNDUP(Cin*1000000/4.7,0)&amp;" x "</f>
        <v xml:space="preserve">4 x </v>
      </c>
      <c r="C250" s="13"/>
      <c r="D250" s="13"/>
      <c r="E250" s="13" t="str">
        <f>B250&amp;B249</f>
        <v>4 x 4.7µF</v>
      </c>
      <c r="F250" s="13"/>
      <c r="G250" s="13"/>
      <c r="H250" s="106"/>
    </row>
    <row r="251" spans="1:8" x14ac:dyDescent="0.25">
      <c r="A251" s="445"/>
      <c r="B251" s="206"/>
      <c r="C251" s="13"/>
      <c r="D251" s="13"/>
      <c r="E251" s="13"/>
      <c r="F251" s="13"/>
      <c r="G251" s="13"/>
      <c r="H251" s="106"/>
    </row>
    <row r="252" spans="1:8" x14ac:dyDescent="0.25">
      <c r="A252" s="353"/>
      <c r="B252" s="206"/>
      <c r="C252" s="13"/>
      <c r="D252" s="13"/>
      <c r="E252" s="13"/>
      <c r="F252" s="13"/>
      <c r="G252" s="13"/>
      <c r="H252" s="106"/>
    </row>
    <row r="253" spans="1:8" x14ac:dyDescent="0.25">
      <c r="A253" s="105" t="str">
        <f>"RC1 = "&amp;Rcea1_u/1000&amp;"kΩ"</f>
        <v>RC1 = 8.06kΩ</v>
      </c>
      <c r="B253" s="13" t="str">
        <f>ROUND(Rcea1_u/1000,2)&amp;"kΩ"</f>
        <v>8.06kΩ</v>
      </c>
      <c r="C253" s="13"/>
      <c r="D253" s="13"/>
      <c r="E253" s="13"/>
      <c r="F253" s="13"/>
      <c r="G253" s="13"/>
      <c r="H253" s="106"/>
    </row>
    <row r="254" spans="1:8" x14ac:dyDescent="0.25">
      <c r="A254" s="105" t="str">
        <f>"CC1 = "&amp;Cc1ea_u*10^9&amp;"nF"</f>
        <v>CC1 = 6.8nF</v>
      </c>
      <c r="B254" s="13" t="str">
        <f>ROUND(Cc1ea_u*10^9,1)&amp;"nF"</f>
        <v>6.8nF</v>
      </c>
      <c r="C254" s="13"/>
      <c r="D254" s="13"/>
      <c r="E254" s="13"/>
      <c r="F254" s="13"/>
      <c r="G254" s="13"/>
      <c r="H254" s="106"/>
    </row>
    <row r="255" spans="1:8" x14ac:dyDescent="0.25">
      <c r="A255" s="105" t="str">
        <f>"CC2 = "&amp;Cc2ea_u*10^12&amp;"pF"</f>
        <v>CC2 = 100pF</v>
      </c>
      <c r="B255" s="13" t="str">
        <f>ROUND(Cc2ea_u*10^12,0)&amp;"pF"</f>
        <v>100pF</v>
      </c>
      <c r="C255" s="13"/>
      <c r="D255" s="13"/>
      <c r="E255" s="13"/>
      <c r="F255" s="13"/>
      <c r="G255" s="13"/>
      <c r="H255" s="106"/>
    </row>
    <row r="256" spans="1:8" x14ac:dyDescent="0.25">
      <c r="A256" s="105" t="str">
        <f>"RC2 = "&amp;Rcea2_u&amp;"Ω"</f>
        <v>RC2 = 51.1Ω</v>
      </c>
      <c r="B256" s="13" t="str">
        <f>ROUND(Rcea2_u,2)&amp;"Ω"</f>
        <v>51.1Ω</v>
      </c>
      <c r="C256" s="13"/>
      <c r="D256" s="13"/>
      <c r="E256" s="13"/>
      <c r="F256" s="13"/>
      <c r="G256" s="13"/>
      <c r="H256" s="106"/>
    </row>
    <row r="257" spans="1:8" x14ac:dyDescent="0.25">
      <c r="A257" s="105" t="str">
        <f>"CC3 = "&amp;Cc3ea_u*10^12&amp;"pF"</f>
        <v>CC3 = 1000pF</v>
      </c>
      <c r="B257" s="13" t="str">
        <f>ROUND(Cc3ea_u*10^12,0)&amp;"pF"</f>
        <v>1000pF</v>
      </c>
      <c r="C257" s="13"/>
      <c r="D257" s="13"/>
      <c r="E257" s="13"/>
      <c r="F257" s="13"/>
      <c r="G257" s="13"/>
      <c r="H257" s="106"/>
    </row>
    <row r="258" spans="1:8" x14ac:dyDescent="0.25">
      <c r="A258" s="105" t="str">
        <f>"RFB1 = "&amp;'Design Regulator'!E62&amp;"kΩ"</f>
        <v>RFB1 = 21kΩ</v>
      </c>
      <c r="B258" s="13" t="str">
        <f>'Design Regulator'!E62&amp;"kΩ"</f>
        <v>21kΩ</v>
      </c>
      <c r="C258" s="13"/>
      <c r="D258" s="13"/>
      <c r="E258" s="13"/>
      <c r="F258" s="13"/>
      <c r="G258" s="13"/>
      <c r="H258" s="106"/>
    </row>
    <row r="259" spans="1:8" x14ac:dyDescent="0.25">
      <c r="A259" s="105" t="str">
        <f>"RFB2 = "&amp;IF(Vout=Vref,"OPEN",'Design Regulator'!E63&amp;"kΩ")</f>
        <v>RFB2 = 1.5kΩ</v>
      </c>
      <c r="B259" s="13" t="str">
        <f>IF(Vout=Vref,"OPEN",Rfb2_u/1000&amp;"kΩ")</f>
        <v>1.5kΩ</v>
      </c>
      <c r="C259" s="13"/>
      <c r="D259" s="13"/>
      <c r="E259" s="13"/>
      <c r="F259" s="13"/>
      <c r="G259" s="13"/>
      <c r="H259" s="106"/>
    </row>
    <row r="260" spans="1:8" x14ac:dyDescent="0.25">
      <c r="A260" s="105" t="str">
        <f>"Crossover Frequency = "&amp;ROUND('Bode Plots Calculations'!BK5,0)&amp;" kHz"</f>
        <v>Crossover Frequency = 56 kHz</v>
      </c>
      <c r="B260" s="13" t="str">
        <f>ROUND('Bode Plots Calculations'!BK5,0)&amp;" kHz"</f>
        <v>56 kHz</v>
      </c>
      <c r="C260" s="205">
        <f>'Bode Plots Calculations'!BK5</f>
        <v>55.5</v>
      </c>
      <c r="D260" s="13"/>
      <c r="E260" s="13"/>
      <c r="F260" s="13"/>
      <c r="G260" s="13"/>
      <c r="H260" s="106"/>
    </row>
    <row r="261" spans="1:8" x14ac:dyDescent="0.25">
      <c r="A261" s="105" t="str">
        <f>"Phase Margin = "&amp;ROUND('Bode Plots Calculations'!BK6,0)&amp;"°"</f>
        <v>Phase Margin = 62°</v>
      </c>
      <c r="B261" s="206" t="str">
        <f>ROUND('Bode Plots Calculations'!BK6,0)&amp;"°"</f>
        <v>62°</v>
      </c>
      <c r="C261" s="13"/>
      <c r="D261" s="358"/>
      <c r="E261" s="13"/>
      <c r="F261" s="13"/>
      <c r="G261" s="13"/>
      <c r="H261" s="106"/>
    </row>
    <row r="262" spans="1:8" x14ac:dyDescent="0.25">
      <c r="A262" s="444"/>
      <c r="B262" s="206"/>
      <c r="C262" s="13"/>
      <c r="D262" s="358"/>
      <c r="E262" s="13"/>
      <c r="F262" s="13"/>
      <c r="G262" s="13"/>
      <c r="H262" s="106"/>
    </row>
    <row r="263" spans="1:8" x14ac:dyDescent="0.25">
      <c r="A263" s="105"/>
      <c r="B263" s="13"/>
      <c r="C263" s="13"/>
      <c r="D263" s="13"/>
      <c r="E263" s="13"/>
      <c r="F263" s="13"/>
      <c r="G263" s="13"/>
      <c r="H263" s="106"/>
    </row>
    <row r="264" spans="1:8" x14ac:dyDescent="0.25">
      <c r="A264" s="105" t="str">
        <f>"Rilim(Rdson) = "&amp;Rilim_Rdson&amp;"Ω"</f>
        <v>Rilim(Rdson) = 590Ω</v>
      </c>
      <c r="B264" s="13" t="str">
        <f>IF(Rilim_Rdson&gt;999,Rilim_Rdson/1000&amp;"kΩ", Rilim_Rdson&amp;"Ω")</f>
        <v>590Ω</v>
      </c>
      <c r="C264" s="13">
        <f>IF(Rilim_Rdson&gt;999,Rilim_Rdson/1000, Rilim_Rdson)</f>
        <v>590</v>
      </c>
      <c r="D264" s="13"/>
      <c r="E264" s="13"/>
      <c r="F264" s="13"/>
      <c r="G264" s="13"/>
      <c r="H264" s="106"/>
    </row>
    <row r="265" spans="1:8" x14ac:dyDescent="0.25">
      <c r="A265" s="105" t="str">
        <f>"Rilim(shunt) = "&amp;Rilim_shunt&amp;"Ω"</f>
        <v>Rilim(shunt) = 237Ω</v>
      </c>
      <c r="B265" s="13" t="str">
        <f>IF('Standard Value Calculator'!S22&gt;999, 'Standard Value Calculator'!S22/1000&amp;"kΩ", 'Standard Value Calculator'!S22&amp;"Ω")</f>
        <v>237Ω</v>
      </c>
      <c r="C265" s="13">
        <f>IF('Standard Value Calculator'!S22&gt;999, 'Standard Value Calculator'!S22/1000, 'Standard Value Calculator'!S22)</f>
        <v>237</v>
      </c>
      <c r="D265" s="13"/>
      <c r="E265" s="13"/>
      <c r="F265" s="13"/>
      <c r="G265" s="13"/>
      <c r="H265" s="106"/>
    </row>
    <row r="266" spans="1:8" x14ac:dyDescent="0.25">
      <c r="A266" s="105" t="s">
        <v>701</v>
      </c>
      <c r="B266" s="13" t="str">
        <f>Cilim_ideal&amp;"pF"</f>
        <v>8.2pF</v>
      </c>
      <c r="C266" s="527">
        <f>Cilim_ideal</f>
        <v>8.1999999999999993</v>
      </c>
      <c r="D266" s="13"/>
      <c r="E266" s="13"/>
      <c r="F266" s="13"/>
      <c r="G266" s="13"/>
      <c r="H266" s="106"/>
    </row>
    <row r="267" spans="1:8" x14ac:dyDescent="0.25">
      <c r="A267" s="444"/>
      <c r="B267" s="13"/>
      <c r="C267" s="13"/>
      <c r="D267" s="13"/>
      <c r="E267" s="13"/>
      <c r="F267" s="13"/>
      <c r="G267" s="13"/>
      <c r="H267" s="106"/>
    </row>
    <row r="268" spans="1:8" x14ac:dyDescent="0.25">
      <c r="A268" s="445" t="s">
        <v>602</v>
      </c>
      <c r="B268" s="13" t="str">
        <f>IF(RDSON_sense=1, 'Variable Management'!B264,'Variable Management'!B265)</f>
        <v>590Ω</v>
      </c>
      <c r="C268" s="13">
        <f>IF(RDSON_sense=1, 'Variable Management'!C264,'Variable Management'!C265)</f>
        <v>590</v>
      </c>
      <c r="D268" s="13"/>
      <c r="E268" s="13"/>
      <c r="F268" s="13"/>
      <c r="G268" s="13"/>
      <c r="H268" s="106"/>
    </row>
    <row r="269" spans="1:8" x14ac:dyDescent="0.25">
      <c r="A269" s="445" t="str">
        <f>IF(RDSON_sense=1, "", "Rs")</f>
        <v/>
      </c>
      <c r="B269" s="13" t="str">
        <f>IF(RDSON_sense=1, "", Rshunt*1000&amp;"mΩ")</f>
        <v/>
      </c>
      <c r="C269" s="13"/>
      <c r="D269" s="13" t="s">
        <v>703</v>
      </c>
      <c r="E269" s="13"/>
      <c r="F269" s="13"/>
      <c r="G269" s="13"/>
      <c r="H269" s="106"/>
    </row>
    <row r="270" spans="1:8" x14ac:dyDescent="0.25">
      <c r="A270" s="445" t="str">
        <f>IF(RDSON_sense=1, "Cs", "")</f>
        <v>Cs</v>
      </c>
      <c r="B270" s="13" t="str">
        <f>IF(RDSON_sense=1, IF(Cilim_ideal&lt;3.3, "N/A", Cilim_ideal&amp;"pF"), "")</f>
        <v>8.2pF</v>
      </c>
      <c r="C270" s="537" t="str">
        <f>IF(RDSON_sense=1, IF(Cilim_ideal&lt;3.3, "N/A", Cilim_ideal&amp;""), "")</f>
        <v>8.2</v>
      </c>
      <c r="D270" s="13" t="s">
        <v>704</v>
      </c>
      <c r="E270" s="13"/>
      <c r="F270" s="13"/>
      <c r="G270" s="13"/>
      <c r="H270" s="106"/>
    </row>
    <row r="271" spans="1:8" x14ac:dyDescent="0.25">
      <c r="A271" s="444"/>
      <c r="B271" s="13"/>
      <c r="C271" s="13"/>
      <c r="D271" s="13"/>
      <c r="E271" s="13"/>
      <c r="F271" s="13"/>
      <c r="G271" s="13"/>
      <c r="H271" s="106"/>
    </row>
    <row r="272" spans="1:8" x14ac:dyDescent="0.25">
      <c r="A272" s="444"/>
      <c r="B272" s="13"/>
      <c r="C272" s="13"/>
      <c r="D272" s="13"/>
      <c r="E272" s="13"/>
      <c r="F272" s="13"/>
      <c r="G272" s="13"/>
      <c r="H272" s="106"/>
    </row>
    <row r="273" spans="1:8" x14ac:dyDescent="0.25">
      <c r="A273" s="105" t="s">
        <v>429</v>
      </c>
      <c r="B273" s="13" t="str">
        <f>'Standard Value Calculator'!S24/1000&amp;"kΩ"</f>
        <v>0kΩ</v>
      </c>
      <c r="C273" s="13">
        <f>'Standard Value Calculator'!S24/1000</f>
        <v>0</v>
      </c>
      <c r="D273" s="13"/>
      <c r="E273" s="13"/>
      <c r="G273" s="13"/>
      <c r="H273" s="106"/>
    </row>
    <row r="274" spans="1:8" x14ac:dyDescent="0.25">
      <c r="A274" s="353" t="s">
        <v>524</v>
      </c>
      <c r="B274" s="204" t="s">
        <v>525</v>
      </c>
      <c r="C274" s="13"/>
      <c r="D274" s="13"/>
      <c r="E274" s="13"/>
      <c r="F274" s="13"/>
      <c r="G274" s="13"/>
      <c r="H274" s="106"/>
    </row>
    <row r="275" spans="1:8" x14ac:dyDescent="0.25">
      <c r="A275" s="105" t="s">
        <v>296</v>
      </c>
      <c r="B275" s="13" t="str">
        <f>'Standard Value Calculator'!S4/1000&amp;"kΩ"</f>
        <v>24.9kΩ</v>
      </c>
      <c r="C275" s="13"/>
      <c r="D275" s="13"/>
      <c r="E275" s="13"/>
      <c r="F275" s="13"/>
      <c r="G275" s="13"/>
      <c r="H275" s="106"/>
    </row>
    <row r="276" spans="1:8" x14ac:dyDescent="0.25">
      <c r="A276" s="105" t="s">
        <v>295</v>
      </c>
      <c r="B276" s="13" t="str">
        <f>'Standard Value Calculator'!B4*1000000000 &amp;"nF"</f>
        <v>47nF</v>
      </c>
      <c r="C276" s="13"/>
      <c r="D276" s="13"/>
      <c r="E276" s="13"/>
      <c r="F276" s="13"/>
      <c r="G276" s="13"/>
      <c r="H276" s="106"/>
    </row>
    <row r="277" spans="1:8" x14ac:dyDescent="0.25">
      <c r="A277" s="353" t="s">
        <v>526</v>
      </c>
      <c r="B277" s="204" t="s">
        <v>564</v>
      </c>
      <c r="C277" s="13"/>
      <c r="D277" s="13"/>
      <c r="E277" s="13"/>
      <c r="F277" s="13"/>
      <c r="G277" s="13"/>
      <c r="H277" s="106"/>
    </row>
    <row r="278" spans="1:8" x14ac:dyDescent="0.25">
      <c r="A278" s="105" t="s">
        <v>358</v>
      </c>
      <c r="B278" s="13" t="str">
        <f>IF(B47="y","","|")</f>
        <v>|</v>
      </c>
      <c r="C278" s="13"/>
      <c r="D278" s="13"/>
      <c r="E278" s="13"/>
      <c r="F278" s="13"/>
      <c r="G278" s="13"/>
      <c r="H278" s="106"/>
    </row>
    <row r="279" spans="1:8" x14ac:dyDescent="0.25">
      <c r="A279" s="105" t="s">
        <v>385</v>
      </c>
      <c r="B279" s="13" t="str">
        <f>'Design Regulator'!$E$10&amp;"A"</f>
        <v>9A</v>
      </c>
      <c r="C279" s="13"/>
      <c r="D279" s="13"/>
      <c r="E279" s="13"/>
      <c r="F279" s="13"/>
      <c r="G279" s="13"/>
      <c r="H279" s="106"/>
    </row>
    <row r="280" spans="1:8" x14ac:dyDescent="0.25">
      <c r="A280" s="105" t="s">
        <v>281</v>
      </c>
      <c r="B280" s="13" t="str">
        <f>Vin&amp;"V"</f>
        <v>24V</v>
      </c>
      <c r="C280" s="13"/>
      <c r="D280" s="13"/>
      <c r="E280" s="13"/>
      <c r="F280" s="13"/>
      <c r="G280" s="13"/>
      <c r="H280" s="106"/>
    </row>
    <row r="281" spans="1:8" x14ac:dyDescent="0.25">
      <c r="A281" s="445" t="s">
        <v>709</v>
      </c>
      <c r="B281" s="13" t="str">
        <f>Vinmin&amp;"V to "&amp;Vinmax&amp;"V"</f>
        <v>16V to 36V</v>
      </c>
      <c r="C281" s="13"/>
      <c r="D281" s="13"/>
      <c r="E281" s="13"/>
      <c r="F281" s="13"/>
      <c r="G281" s="13"/>
      <c r="H281" s="106"/>
    </row>
    <row r="282" spans="1:8" x14ac:dyDescent="0.25">
      <c r="A282" s="445"/>
      <c r="B282" s="13"/>
      <c r="C282" s="13"/>
      <c r="D282" s="13"/>
      <c r="E282" s="13"/>
      <c r="F282" s="13"/>
      <c r="G282" s="13"/>
      <c r="H282" s="106"/>
    </row>
    <row r="283" spans="1:8" x14ac:dyDescent="0.25">
      <c r="A283" s="105"/>
      <c r="B283" s="13"/>
      <c r="C283" s="13"/>
      <c r="D283" s="13"/>
      <c r="E283" s="13"/>
      <c r="F283" s="13"/>
      <c r="G283" s="13"/>
      <c r="H283" s="106"/>
    </row>
    <row r="284" spans="1:8" x14ac:dyDescent="0.25">
      <c r="A284" s="105" t="s">
        <v>394</v>
      </c>
      <c r="B284" s="13">
        <v>12</v>
      </c>
      <c r="C284" s="13"/>
      <c r="D284" s="13"/>
      <c r="E284" s="13"/>
      <c r="F284" s="13"/>
      <c r="G284" s="13"/>
      <c r="H284" s="106"/>
    </row>
    <row r="285" spans="1:8" x14ac:dyDescent="0.25">
      <c r="A285" s="105" t="s">
        <v>395</v>
      </c>
      <c r="B285" s="13">
        <v>18</v>
      </c>
      <c r="C285" s="13"/>
      <c r="D285" s="13"/>
      <c r="E285" s="13"/>
      <c r="F285" s="13"/>
      <c r="G285" s="13"/>
      <c r="H285" s="106"/>
    </row>
    <row r="286" spans="1:8" x14ac:dyDescent="0.25">
      <c r="A286" s="105" t="s">
        <v>396</v>
      </c>
      <c r="B286" s="13">
        <v>14</v>
      </c>
      <c r="C286" s="13"/>
      <c r="D286" s="13"/>
      <c r="E286" s="13"/>
      <c r="F286" s="13"/>
      <c r="G286" s="13"/>
      <c r="H286" s="106"/>
    </row>
    <row r="287" spans="1:8" x14ac:dyDescent="0.25">
      <c r="A287" s="105" t="s">
        <v>397</v>
      </c>
      <c r="B287" s="13">
        <v>6</v>
      </c>
      <c r="C287" s="13"/>
      <c r="D287" s="13"/>
      <c r="E287" s="13"/>
      <c r="F287" s="13"/>
      <c r="G287" s="13"/>
      <c r="H287" s="106"/>
    </row>
    <row r="288" spans="1:8" x14ac:dyDescent="0.25">
      <c r="A288" s="105" t="s">
        <v>398</v>
      </c>
      <c r="B288" s="13">
        <v>7</v>
      </c>
      <c r="C288" s="13"/>
      <c r="D288" s="13"/>
      <c r="E288" s="13"/>
      <c r="F288" s="13"/>
      <c r="G288" s="13"/>
      <c r="H288" s="106"/>
    </row>
    <row r="289" spans="1:8" x14ac:dyDescent="0.25">
      <c r="A289" s="105" t="s">
        <v>399</v>
      </c>
      <c r="B289" s="13">
        <v>11</v>
      </c>
      <c r="C289" s="13"/>
      <c r="D289" s="13"/>
      <c r="E289" s="13"/>
      <c r="F289" s="13"/>
      <c r="G289" s="13"/>
      <c r="H289" s="106"/>
    </row>
    <row r="290" spans="1:8" x14ac:dyDescent="0.25">
      <c r="A290" s="105" t="s">
        <v>400</v>
      </c>
      <c r="B290" s="13">
        <v>1</v>
      </c>
      <c r="C290" s="13"/>
      <c r="D290" s="13"/>
      <c r="E290" s="13"/>
      <c r="F290" s="13"/>
      <c r="G290" s="13"/>
      <c r="H290" s="106"/>
    </row>
    <row r="291" spans="1:8" x14ac:dyDescent="0.25">
      <c r="A291" s="105" t="s">
        <v>401</v>
      </c>
      <c r="B291" s="13">
        <v>5</v>
      </c>
      <c r="C291" s="13"/>
      <c r="D291" s="13"/>
      <c r="E291" s="13"/>
      <c r="F291" s="13"/>
      <c r="G291" s="13"/>
      <c r="H291" s="106"/>
    </row>
    <row r="292" spans="1:8" x14ac:dyDescent="0.25">
      <c r="A292" s="105" t="s">
        <v>402</v>
      </c>
      <c r="B292" s="13">
        <v>13</v>
      </c>
      <c r="C292" s="13"/>
      <c r="D292" s="13"/>
      <c r="E292" s="13"/>
      <c r="F292" s="13"/>
      <c r="G292" s="13"/>
      <c r="H292" s="106"/>
    </row>
    <row r="293" spans="1:8" x14ac:dyDescent="0.25">
      <c r="A293" s="105" t="s">
        <v>403</v>
      </c>
      <c r="B293" s="13">
        <v>4</v>
      </c>
      <c r="C293" s="13"/>
      <c r="D293" s="13"/>
      <c r="E293" s="13"/>
      <c r="F293" s="13"/>
      <c r="G293" s="13"/>
      <c r="H293" s="106"/>
    </row>
    <row r="294" spans="1:8" x14ac:dyDescent="0.25">
      <c r="A294" s="105" t="s">
        <v>404</v>
      </c>
      <c r="B294" s="13">
        <v>3</v>
      </c>
      <c r="C294" s="13"/>
      <c r="D294" s="13"/>
      <c r="E294" s="13"/>
      <c r="F294" s="13"/>
      <c r="G294" s="13"/>
      <c r="H294" s="106"/>
    </row>
    <row r="295" spans="1:8" x14ac:dyDescent="0.25">
      <c r="A295" s="105" t="s">
        <v>405</v>
      </c>
      <c r="B295" s="13">
        <v>24</v>
      </c>
      <c r="C295" s="13"/>
      <c r="D295" s="13"/>
      <c r="E295" s="13"/>
      <c r="F295" s="13"/>
      <c r="G295" s="13"/>
      <c r="H295" s="106"/>
    </row>
    <row r="296" spans="1:8" x14ac:dyDescent="0.25">
      <c r="A296" s="105" t="s">
        <v>406</v>
      </c>
      <c r="B296" s="13">
        <v>23</v>
      </c>
      <c r="C296" s="13"/>
      <c r="D296" s="13"/>
      <c r="E296" s="13"/>
      <c r="F296" s="13"/>
      <c r="G296" s="13"/>
      <c r="H296" s="106"/>
    </row>
    <row r="297" spans="1:8" x14ac:dyDescent="0.25">
      <c r="A297" s="105" t="s">
        <v>407</v>
      </c>
      <c r="B297" s="13">
        <v>15</v>
      </c>
      <c r="C297" s="13"/>
      <c r="D297" s="13"/>
      <c r="E297" s="13"/>
      <c r="F297" s="13"/>
      <c r="G297" s="13"/>
      <c r="H297" s="106"/>
    </row>
    <row r="298" spans="1:8" x14ac:dyDescent="0.25">
      <c r="A298" s="105" t="s">
        <v>408</v>
      </c>
      <c r="B298" s="13">
        <v>16</v>
      </c>
      <c r="C298" s="13"/>
      <c r="D298" s="13"/>
      <c r="E298" s="13"/>
      <c r="F298" s="13"/>
      <c r="G298" s="13"/>
      <c r="H298" s="106"/>
    </row>
    <row r="299" spans="1:8" x14ac:dyDescent="0.25">
      <c r="A299" s="105" t="s">
        <v>409</v>
      </c>
      <c r="B299" s="13">
        <v>17</v>
      </c>
      <c r="C299" s="13"/>
      <c r="D299" s="13"/>
      <c r="E299" s="13"/>
      <c r="F299" s="13"/>
      <c r="G299" s="13"/>
      <c r="H299" s="106"/>
    </row>
    <row r="300" spans="1:8" x14ac:dyDescent="0.25">
      <c r="A300" t="s">
        <v>427</v>
      </c>
      <c r="B300">
        <v>2</v>
      </c>
      <c r="H300" s="106"/>
    </row>
    <row r="301" spans="1:8" x14ac:dyDescent="0.25">
      <c r="A301" s="202" t="s">
        <v>424</v>
      </c>
      <c r="B301">
        <v>8</v>
      </c>
      <c r="H301" s="106"/>
    </row>
    <row r="302" spans="1:8" x14ac:dyDescent="0.25">
      <c r="A302" s="202" t="s">
        <v>425</v>
      </c>
      <c r="B302">
        <v>9</v>
      </c>
      <c r="H302" s="106"/>
    </row>
    <row r="303" spans="1:8" ht="13" thickBot="1" x14ac:dyDescent="0.3">
      <c r="A303" s="208" t="s">
        <v>426</v>
      </c>
      <c r="B303" s="110">
        <v>10</v>
      </c>
      <c r="C303" s="110"/>
      <c r="D303" s="110"/>
      <c r="E303" s="110"/>
      <c r="F303" s="110"/>
      <c r="G303" s="110"/>
      <c r="H303" s="111"/>
    </row>
    <row r="307" spans="1:2" x14ac:dyDescent="0.25">
      <c r="A307" s="198"/>
    </row>
    <row r="308" spans="1:2" ht="13" x14ac:dyDescent="0.3">
      <c r="A308" s="524" t="s">
        <v>696</v>
      </c>
      <c r="B308" s="525" t="str">
        <f>ROUND('Power Calculations'!AU209*1,1)&amp;"%"</f>
        <v>96%</v>
      </c>
    </row>
    <row r="309" spans="1:2" ht="13" x14ac:dyDescent="0.3">
      <c r="A309" s="524" t="s">
        <v>697</v>
      </c>
      <c r="B309" s="64" t="str">
        <f>ROUND('Power Calculations'!AU109*1,1)&amp;"%"</f>
        <v>96.1%</v>
      </c>
    </row>
    <row r="346" spans="1:1" x14ac:dyDescent="0.25">
      <c r="A346" t="s">
        <v>316</v>
      </c>
    </row>
    <row r="347" spans="1:1" x14ac:dyDescent="0.25">
      <c r="A347" t="s">
        <v>317</v>
      </c>
    </row>
    <row r="348" spans="1:1" x14ac:dyDescent="0.25">
      <c r="A348" t="s">
        <v>318</v>
      </c>
    </row>
    <row r="349" spans="1:1" x14ac:dyDescent="0.25">
      <c r="A349" t="s">
        <v>319</v>
      </c>
    </row>
  </sheetData>
  <sheetProtection selectLockedCells="1"/>
  <mergeCells count="2">
    <mergeCell ref="D5:G5"/>
    <mergeCell ref="A1:H1"/>
  </mergeCells>
  <phoneticPr fontId="5" type="noConversion"/>
  <pageMargins left="0.75" right="0.75" top="1" bottom="1" header="0.5" footer="0.5"/>
  <pageSetup orientation="portrait" r:id="rId1"/>
  <headerFooter alignWithMargins="0"/>
  <ignoredErrors>
    <ignoredError sqref="L69:L73" numberStoredAsText="1"/>
  </ignoredErrors>
  <drawing r:id="rId2"/>
  <legacyDrawing r:id="rId3"/>
  <oleObjects>
    <mc:AlternateContent xmlns:mc="http://schemas.openxmlformats.org/markup-compatibility/2006">
      <mc:Choice Requires="x14">
        <oleObject progId="Visio.Drawing.11" shapeId="3073" r:id="rId4">
          <objectPr defaultSize="0" autoPict="0" r:id="rId5">
            <anchor moveWithCells="1">
              <from>
                <xdr:col>9</xdr:col>
                <xdr:colOff>222250</xdr:colOff>
                <xdr:row>10</xdr:row>
                <xdr:rowOff>114300</xdr:rowOff>
              </from>
              <to>
                <xdr:col>16</xdr:col>
                <xdr:colOff>31750</xdr:colOff>
                <xdr:row>31</xdr:row>
                <xdr:rowOff>127000</xdr:rowOff>
              </to>
            </anchor>
          </objectPr>
        </oleObject>
      </mc:Choice>
      <mc:Fallback>
        <oleObject progId="Visio.Drawing.11" shapeId="3073" r:id="rId4"/>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2:T159"/>
  <sheetViews>
    <sheetView workbookViewId="0">
      <selection activeCell="S4" sqref="S4"/>
    </sheetView>
  </sheetViews>
  <sheetFormatPr defaultRowHeight="12.5" x14ac:dyDescent="0.25"/>
  <cols>
    <col min="1" max="1" width="17.26953125" customWidth="1"/>
    <col min="2" max="2" width="12" bestFit="1" customWidth="1"/>
    <col min="3" max="5" width="12.453125" bestFit="1" customWidth="1"/>
    <col min="8" max="8" width="12.453125" bestFit="1" customWidth="1"/>
    <col min="14" max="14" width="11.81640625" customWidth="1"/>
    <col min="17" max="17" width="12.1796875" customWidth="1"/>
    <col min="18" max="18" width="12.453125" bestFit="1" customWidth="1"/>
    <col min="19" max="19" width="15.453125" customWidth="1"/>
  </cols>
  <sheetData>
    <row r="2" spans="1:20" x14ac:dyDescent="0.25">
      <c r="A2" t="s">
        <v>307</v>
      </c>
      <c r="B2" t="s">
        <v>295</v>
      </c>
      <c r="C2" t="s">
        <v>54</v>
      </c>
      <c r="D2" t="s">
        <v>55</v>
      </c>
      <c r="E2" t="s">
        <v>57</v>
      </c>
      <c r="F2" t="s">
        <v>36</v>
      </c>
      <c r="G2" t="s">
        <v>127</v>
      </c>
      <c r="H2" t="s">
        <v>701</v>
      </c>
      <c r="I2" t="s">
        <v>321</v>
      </c>
      <c r="J2" t="s">
        <v>305</v>
      </c>
      <c r="K2" t="s">
        <v>325</v>
      </c>
      <c r="L2" t="s">
        <v>304</v>
      </c>
      <c r="M2" t="s">
        <v>315</v>
      </c>
      <c r="N2" t="s">
        <v>359</v>
      </c>
    </row>
    <row r="3" spans="1:20" ht="13" x14ac:dyDescent="0.3">
      <c r="A3" t="s">
        <v>310</v>
      </c>
      <c r="B3">
        <f>Css</f>
        <v>4.9999999999999998E-8</v>
      </c>
      <c r="C3">
        <f>Cc1ea</f>
        <v>3.2480600668113541E-9</v>
      </c>
      <c r="D3">
        <f>Cc2ea</f>
        <v>1.016093214639507E-10</v>
      </c>
      <c r="E3">
        <f>Cc3ea</f>
        <v>9.6923528831181925E-10</v>
      </c>
      <c r="F3">
        <f>Cout</f>
        <v>5.0000000000000002E-5</v>
      </c>
      <c r="G3">
        <f>Cin</f>
        <v>1.8E-5</v>
      </c>
      <c r="H3">
        <f>Cilim</f>
        <v>8.1062909274811851E-12</v>
      </c>
      <c r="I3">
        <f>Cdd</f>
        <v>0</v>
      </c>
      <c r="J3">
        <f>Csb</f>
        <v>0</v>
      </c>
      <c r="K3">
        <f>Csby</f>
        <v>100</v>
      </c>
      <c r="L3">
        <f>Cby</f>
        <v>0</v>
      </c>
      <c r="M3">
        <f>Cb</f>
        <v>0</v>
      </c>
      <c r="N3" t="e">
        <f>'Variable Management'!#REF!</f>
        <v>#REF!</v>
      </c>
      <c r="Q3" t="s">
        <v>312</v>
      </c>
      <c r="R3" t="s">
        <v>314</v>
      </c>
      <c r="S3" s="2" t="s">
        <v>309</v>
      </c>
    </row>
    <row r="4" spans="1:20" ht="13" x14ac:dyDescent="0.3">
      <c r="A4" s="7" t="s">
        <v>309</v>
      </c>
      <c r="B4" s="7">
        <f>SUM(B6:B158)/1000000000000</f>
        <v>4.6999999999999997E-8</v>
      </c>
      <c r="C4" s="7">
        <f t="shared" ref="C4:H4" si="0">SUM(C6:C158)/1000000000000</f>
        <v>3.3000000000000002E-9</v>
      </c>
      <c r="D4" s="7">
        <f t="shared" si="0"/>
        <v>1E-10</v>
      </c>
      <c r="E4" s="7">
        <f t="shared" si="0"/>
        <v>1.0000000000000001E-9</v>
      </c>
      <c r="F4" s="7">
        <f t="shared" si="0"/>
        <v>4.6999999999999997E-5</v>
      </c>
      <c r="G4" s="7">
        <f t="shared" si="0"/>
        <v>1.8E-5</v>
      </c>
      <c r="H4" s="7">
        <f t="shared" si="0"/>
        <v>8.1999999999999998E-12</v>
      </c>
      <c r="I4" s="7">
        <f t="shared" ref="I4:N4" si="1">IF(I3="OPEN","OPEN",SUM(I6:I158)/1000000000000)</f>
        <v>0</v>
      </c>
      <c r="J4" s="7">
        <f t="shared" si="1"/>
        <v>0</v>
      </c>
      <c r="K4" s="7">
        <f t="shared" si="1"/>
        <v>0</v>
      </c>
      <c r="L4" s="7">
        <f t="shared" si="1"/>
        <v>0</v>
      </c>
      <c r="M4" s="7">
        <f t="shared" si="1"/>
        <v>0</v>
      </c>
      <c r="N4" s="7" t="e">
        <f t="shared" si="1"/>
        <v>#REF!</v>
      </c>
      <c r="Q4" t="s">
        <v>313</v>
      </c>
      <c r="R4">
        <f>Rfadj</f>
        <v>24999.999999999996</v>
      </c>
      <c r="S4" s="2">
        <f t="shared" ref="S4:S6" si="2">IF(R4&gt;(INT(0.5+100*POWER(10,IF(96*(LOG(R4)-INT(LOG(R4)))-ROUND(96*(LOG(R4)-INT(LOG(R4))),0)&lt;0,ROUND(96*(LOG(R4)-INT(LOG(R4))),0)-1,ROUND(96*(LOG(R4)-INT(LOG(R4))),0))/96))*POWER(10,INT(LOG(R4))-2)+INT(0.5+100*POWER(10,(IF(96*(LOG(R4)-INT(LOG(R4)))-ROUND(96*(LOG(R4)-INT(LOG(R4))),0)&lt;0,ROUND(96*(LOG(R4)-INT(LOG(R4))),0)-1,ROUND(96*(LOG(R4)-INT(LOG(R4))),0))+1)/96))*POWER(10,INT(LOG(R4))-2))/2,INT(0.5+100*POWER(10,(IF(96*(LOG(R4)-INT(LOG(R4)))-ROUND(96*(LOG(R4)-INT(LOG(R4))),0)&lt;0,ROUND(96*(LOG(R4)-INT(LOG(R4))),0)-1,ROUND(96*(LOG(R4)-INT(LOG(R4))),0))+1)/96))*POWER(10,INT(LOG(R4))-2),INT(0.5+100*POWER(10,IF(96*(LOG(R4)-INT(LOG(R4)))-ROUND(96*(LOG(R4)-INT(LOG(R4))),0)&lt;0,ROUND(96*(LOG(R4)-INT(LOG(R4))),0)-1,ROUND(96*(LOG(R4)-INT(LOG(R4))),0))/96))*POWER(10,INT(LOG(R4))-2))</f>
        <v>24900</v>
      </c>
      <c r="T4" s="65" t="s">
        <v>539</v>
      </c>
    </row>
    <row r="5" spans="1:20" ht="13" x14ac:dyDescent="0.3">
      <c r="A5" t="s">
        <v>308</v>
      </c>
      <c r="Q5" s="203" t="s">
        <v>595</v>
      </c>
      <c r="R5">
        <f>Rilim_Rdson_ideal</f>
        <v>593.68961798682301</v>
      </c>
      <c r="S5" s="2">
        <f t="shared" si="2"/>
        <v>590</v>
      </c>
      <c r="T5" s="65" t="s">
        <v>539</v>
      </c>
    </row>
    <row r="6" spans="1:20" ht="13" x14ac:dyDescent="0.3">
      <c r="A6">
        <v>0.47</v>
      </c>
      <c r="B6">
        <f>IF(IF((B$3*10^12-$A7)*(B$3*10^12-$A6)*-1&lt;0,0,1)*IF(ABS(B$3*10^12-$A7)&gt;(B$3*10^12-$A6),$A6,$A7)=B7,0,IF((B$3*10^12-$A7)*(B$3*10^12-$A6)*-1&lt;0,0,1)*IF(ABS(B$3*10^12-$A7)&gt;(B$3*10^12-$A6),$A6,$A7))</f>
        <v>0</v>
      </c>
      <c r="C6">
        <f>IF(IF((C$3*10^12-$A7)*(C$3*10^12-$A6)*-1&lt;0,0,1)*IF(ABS(C$3*10^12-$A7)&gt;(C$3*10^12-$A6),$A6,$A7)=C7,0,IF((C$3*10^12-$A7)*(C$3*10^12-$A6)*-1&lt;0,0,1)*IF(ABS(C$3*10^12-$A7)&gt;(C$3*10^12-$A6),$A6,$A7))</f>
        <v>0</v>
      </c>
      <c r="D6">
        <f t="shared" ref="D6:D69" si="3">IF(IF((D$3*10^12-$A7)*(D$3*10^12-$A6)*-1&lt;0,0,1)*IF(ABS(D$3*10^12-$A7)&gt;(D$3*10^12-$A6),$A6,$A7)=D7,0,IF((D$3*10^12-$A7)*(D$3*10^12-$A6)*-1&lt;0,0,1)*IF(ABS(D$3*10^12-$A7)&gt;(D$3*10^12-$A6),$A6,$A7))</f>
        <v>0</v>
      </c>
      <c r="E6">
        <f t="shared" ref="E6:E69" si="4">IF(IF((E$3*10^12-$A7)*(E$3*10^12-$A6)*-1&lt;0,0,1)*IF(ABS(E$3*10^12-$A7)&gt;(E$3*10^12-$A6),$A6,$A7)=E7,0,IF((E$3*10^12-$A7)*(E$3*10^12-$A6)*-1&lt;0,0,1)*IF(ABS(E$3*10^12-$A7)&gt;(E$3*10^12-$A6),$A6,$A7))</f>
        <v>0</v>
      </c>
      <c r="F6">
        <f t="shared" ref="F6:F69" si="5">IF(IF((F$3*10^12-$A7)*(F$3*10^12-$A6)*-1&lt;0,0,1)*IF(ABS(F$3*10^12-$A7)&gt;(F$3*10^12-$A6),$A6,$A7)=F7,0,IF((F$3*10^12-$A7)*(F$3*10^12-$A6)*-1&lt;0,0,1)*IF(ABS(F$3*10^12-$A7)&gt;(F$3*10^12-$A6),$A6,$A7))</f>
        <v>0</v>
      </c>
      <c r="G6">
        <f t="shared" ref="G6:G69" si="6">IF(IF((G$3*10^12-$A7)*(G$3*10^12-$A6)*-1&lt;0,0,1)*IF(ABS(G$3*10^12-$A7)&gt;(G$3*10^12-$A6),$A6,$A7)=G7,0,IF((G$3*10^12-$A7)*(G$3*10^12-$A6)*-1&lt;0,0,1)*IF(ABS(G$3*10^12-$A7)&gt;(G$3*10^12-$A6),$A6,$A7))</f>
        <v>0</v>
      </c>
      <c r="H6">
        <f t="shared" ref="H6:K69" si="7">IF(IF((H$3*10^12-$A7)*(H$3*10^12-$A6)*-1&lt;0,0,1)*IF(ABS(H$3*10^12-$A7)&gt;(H$3*10^12-$A6),$A6,$A7)=H7,0,IF((H$3*10^12-$A7)*(H$3*10^12-$A6)*-1&lt;0,0,1)*IF(ABS(H$3*10^12-$A7)&gt;(H$3*10^12-$A6),$A6,$A7))</f>
        <v>0</v>
      </c>
      <c r="I6">
        <f t="shared" si="7"/>
        <v>0</v>
      </c>
      <c r="J6">
        <f t="shared" si="7"/>
        <v>0</v>
      </c>
      <c r="K6">
        <f t="shared" si="7"/>
        <v>0</v>
      </c>
      <c r="L6">
        <f t="shared" ref="L6:L69" si="8">IF(IF((L$3*10^12-$A7)*(L$3*10^12-$A6)*-1&lt;0,0,1)*IF(ABS(L$3*10^12-$A7)&gt;(L$3*10^12-$A6),$A6,$A7)=L7,0,IF((L$3*10^12-$A7)*(L$3*10^12-$A6)*-1&lt;0,0,1)*IF(ABS(L$3*10^12-$A7)&gt;(L$3*10^12-$A6),$A6,$A7))</f>
        <v>0</v>
      </c>
      <c r="M6">
        <f t="shared" ref="M6:M37" si="9">IF(IF((M$3*10^12-$A7)*(M$3*10^12-$A6)*-1&lt;0,0,1)*IF(ABS(M$3*10^12-$A7)&gt;(M$3*10^12-$A6),$A6,$A7)=M7,0,IF((M$3*10^12-$A7)*(M$3*10^12-$A6)*-1&lt;0,0,1)*IF(ABS(M$3*10^12-$A7)&gt;(M$3*10^12-$A6),$A6,$A7))</f>
        <v>0</v>
      </c>
      <c r="N6" t="e">
        <f t="shared" ref="N6:N37" si="10">IF(IF((N$3*10^12-$A7)*(N$3*10^12-$A6)*-1&lt;0,0,1)*IF(ABS(N$3*10^12-$A7)&gt;(N$3*10^12-$A6),$A6,$A7)=N7,0,IF((N$3*10^12-$A7)*(N$3*10^12-$A6)*-1&lt;0,0,1)*IF(ABS(N$3*10^12-$A7)&gt;(N$3*10^12-$A6),$A6,$A7))</f>
        <v>#REF!</v>
      </c>
      <c r="Q6" s="203" t="s">
        <v>595</v>
      </c>
      <c r="R6">
        <f>Rilim_Rdson_ideal</f>
        <v>593.68961798682301</v>
      </c>
      <c r="S6" s="2">
        <f t="shared" si="2"/>
        <v>590</v>
      </c>
      <c r="T6" s="65" t="s">
        <v>539</v>
      </c>
    </row>
    <row r="7" spans="1:20" x14ac:dyDescent="0.25">
      <c r="A7">
        <v>0.56000000000000005</v>
      </c>
      <c r="B7">
        <f t="shared" ref="B7:B70" si="11">IF(IF((B$3*10^12-$A8)*(B$3*10^12-$A7)*-1&lt;0,0,1)*IF(ABS(B$3*10^12-$A8)&gt;(B$3*10^12-$A7),$A7,$A8)=B8,0,IF((B$3*10^12-$A8)*(B$3*10^12-$A7)*-1&lt;0,0,1)*IF(ABS(B$3*10^12-$A8)&gt;(B$3*10^12-$A7),$A7,$A8))</f>
        <v>0</v>
      </c>
      <c r="C7">
        <f t="shared" ref="C7:C38" si="12">IF(IF((C$3*10^12-$A8)*(C$3*10^12-$A7)*-1&lt;0,0,1)*IF(ABS(C$3*10^12-$A8)&gt;(C$3*10^12-$A7),$A7,$A8)=C8,0,IF((C$3*10^12-$A8)*(C$3*10^12-$A7)*-1&lt;0,0,1)*IF(ABS(C$3*10^12-$A8)&gt;(C$3*10^12-$A7),$A7,$A8))</f>
        <v>0</v>
      </c>
      <c r="D7">
        <f t="shared" si="3"/>
        <v>0</v>
      </c>
      <c r="E7">
        <f t="shared" si="4"/>
        <v>0</v>
      </c>
      <c r="F7">
        <f t="shared" si="5"/>
        <v>0</v>
      </c>
      <c r="G7">
        <f t="shared" si="6"/>
        <v>0</v>
      </c>
      <c r="H7">
        <f t="shared" si="7"/>
        <v>0</v>
      </c>
      <c r="I7">
        <f t="shared" si="7"/>
        <v>0</v>
      </c>
      <c r="J7">
        <f t="shared" si="7"/>
        <v>0</v>
      </c>
      <c r="K7">
        <f t="shared" si="7"/>
        <v>0</v>
      </c>
      <c r="L7">
        <f t="shared" si="8"/>
        <v>0</v>
      </c>
      <c r="M7">
        <f t="shared" si="9"/>
        <v>0</v>
      </c>
      <c r="N7" t="e">
        <f t="shared" si="10"/>
        <v>#REF!</v>
      </c>
    </row>
    <row r="8" spans="1:20" ht="13" x14ac:dyDescent="0.3">
      <c r="A8">
        <v>0.68</v>
      </c>
      <c r="B8">
        <f t="shared" si="11"/>
        <v>0</v>
      </c>
      <c r="C8">
        <f t="shared" si="12"/>
        <v>0</v>
      </c>
      <c r="D8">
        <f t="shared" si="3"/>
        <v>0</v>
      </c>
      <c r="E8">
        <f t="shared" si="4"/>
        <v>0</v>
      </c>
      <c r="F8">
        <f t="shared" si="5"/>
        <v>0</v>
      </c>
      <c r="G8">
        <f t="shared" si="6"/>
        <v>0</v>
      </c>
      <c r="H8">
        <f t="shared" si="7"/>
        <v>0</v>
      </c>
      <c r="I8">
        <f t="shared" si="7"/>
        <v>0</v>
      </c>
      <c r="J8">
        <f t="shared" si="7"/>
        <v>0</v>
      </c>
      <c r="K8">
        <f t="shared" si="7"/>
        <v>0</v>
      </c>
      <c r="L8">
        <f t="shared" si="8"/>
        <v>0</v>
      </c>
      <c r="M8">
        <f t="shared" si="9"/>
        <v>0</v>
      </c>
      <c r="N8" t="e">
        <f t="shared" si="10"/>
        <v>#REF!</v>
      </c>
      <c r="Q8" t="s">
        <v>345</v>
      </c>
      <c r="R8">
        <f>Rcea1</f>
        <v>8076.7097772482384</v>
      </c>
      <c r="S8" s="2">
        <f>IF(R8&gt;(INT(0.5+100*POWER(10,IF(96*(LOG(R8)-INT(LOG(R8)))-ROUND(96*(LOG(R8)-INT(LOG(R8))),0)&lt;0,ROUND(96*(LOG(R8)-INT(LOG(R8))),0)-1,ROUND(96*(LOG(R8)-INT(LOG(R8))),0))/96))*POWER(10,INT(LOG(R8))-2)+INT(0.5+100*POWER(10,(IF(96*(LOG(R8)-INT(LOG(R8)))-ROUND(96*(LOG(R8)-INT(LOG(R8))),0)&lt;0,ROUND(96*(LOG(R8)-INT(LOG(R8))),0)-1,ROUND(96*(LOG(R8)-INT(LOG(R8))),0))+1)/96))*POWER(10,INT(LOG(R8))-2))/2,INT(0.5+100*POWER(10,(IF(96*(LOG(R8)-INT(LOG(R8)))-ROUND(96*(LOG(R8)-INT(LOG(R8))),0)&lt;0,ROUND(96*(LOG(R8)-INT(LOG(R8))),0)-1,ROUND(96*(LOG(R8)-INT(LOG(R8))),0))+1)/96))*POWER(10,INT(LOG(R8))-2),INT(0.5+100*POWER(10,IF(96*(LOG(R8)-INT(LOG(R8)))-ROUND(96*(LOG(R8)-INT(LOG(R8))),0)&lt;0,ROUND(96*(LOG(R8)-INT(LOG(R8))),0)-1,ROUND(96*(LOG(R8)-INT(LOG(R8))),0))/96))*POWER(10,INT(LOG(R8))-2))</f>
        <v>8060</v>
      </c>
      <c r="T8" s="65" t="s">
        <v>539</v>
      </c>
    </row>
    <row r="9" spans="1:20" ht="13" x14ac:dyDescent="0.3">
      <c r="A9">
        <v>0.82</v>
      </c>
      <c r="B9">
        <f t="shared" si="11"/>
        <v>0</v>
      </c>
      <c r="C9">
        <f t="shared" si="12"/>
        <v>0</v>
      </c>
      <c r="D9">
        <f t="shared" si="3"/>
        <v>0</v>
      </c>
      <c r="E9">
        <f t="shared" si="4"/>
        <v>0</v>
      </c>
      <c r="F9">
        <f t="shared" si="5"/>
        <v>0</v>
      </c>
      <c r="G9">
        <f t="shared" si="6"/>
        <v>0</v>
      </c>
      <c r="H9">
        <f t="shared" si="7"/>
        <v>0</v>
      </c>
      <c r="I9">
        <f t="shared" si="7"/>
        <v>0</v>
      </c>
      <c r="J9">
        <f t="shared" si="7"/>
        <v>0</v>
      </c>
      <c r="K9">
        <f t="shared" si="7"/>
        <v>0</v>
      </c>
      <c r="L9">
        <f t="shared" si="8"/>
        <v>0</v>
      </c>
      <c r="M9">
        <f t="shared" si="9"/>
        <v>0</v>
      </c>
      <c r="N9" t="e">
        <f t="shared" si="10"/>
        <v>#REF!</v>
      </c>
      <c r="Q9" t="s">
        <v>346</v>
      </c>
      <c r="R9">
        <f>Rcea2</f>
        <v>51.587061060362629</v>
      </c>
      <c r="S9" s="2">
        <f>IF(R9&gt;(INT(0.5+100*POWER(10,IF(96*(LOG(R9)-INT(LOG(R9)))-ROUND(96*(LOG(R9)-INT(LOG(R9))),0)&lt;0,ROUND(96*(LOG(R9)-INT(LOG(R9))),0)-1,ROUND(96*(LOG(R9)-INT(LOG(R9))),0))/96))*POWER(10,INT(LOG(R9))-2)+INT(0.5+100*POWER(10,(IF(96*(LOG(R9)-INT(LOG(R9)))-ROUND(96*(LOG(R9)-INT(LOG(R9))),0)&lt;0,ROUND(96*(LOG(R9)-INT(LOG(R9))),0)-1,ROUND(96*(LOG(R9)-INT(LOG(R9))),0))+1)/96))*POWER(10,INT(LOG(R9))-2))/2,INT(0.5+100*POWER(10,(IF(96*(LOG(R9)-INT(LOG(R9)))-ROUND(96*(LOG(R9)-INT(LOG(R9))),0)&lt;0,ROUND(96*(LOG(R9)-INT(LOG(R9))),0)-1,ROUND(96*(LOG(R9)-INT(LOG(R9))),0))+1)/96))*POWER(10,INT(LOG(R9))-2),INT(0.5+100*POWER(10,IF(96*(LOG(R9)-INT(LOG(R9)))-ROUND(96*(LOG(R9)-INT(LOG(R9))),0)&lt;0,ROUND(96*(LOG(R9)-INT(LOG(R9))),0)-1,ROUND(96*(LOG(R9)-INT(LOG(R9))),0))/96))*POWER(10,INT(LOG(R9))-2))</f>
        <v>51.1</v>
      </c>
      <c r="T9" s="65" t="s">
        <v>539</v>
      </c>
    </row>
    <row r="10" spans="1:20" ht="13" x14ac:dyDescent="0.3">
      <c r="A10">
        <v>1</v>
      </c>
      <c r="B10">
        <f t="shared" si="11"/>
        <v>0</v>
      </c>
      <c r="C10">
        <f t="shared" si="12"/>
        <v>0</v>
      </c>
      <c r="D10">
        <f t="shared" si="3"/>
        <v>0</v>
      </c>
      <c r="E10">
        <f t="shared" si="4"/>
        <v>0</v>
      </c>
      <c r="F10">
        <f t="shared" si="5"/>
        <v>0</v>
      </c>
      <c r="G10">
        <f t="shared" si="6"/>
        <v>0</v>
      </c>
      <c r="H10">
        <f t="shared" si="7"/>
        <v>0</v>
      </c>
      <c r="I10">
        <f t="shared" si="7"/>
        <v>0</v>
      </c>
      <c r="J10">
        <f t="shared" si="7"/>
        <v>0</v>
      </c>
      <c r="K10">
        <f t="shared" si="7"/>
        <v>0</v>
      </c>
      <c r="L10">
        <f t="shared" si="8"/>
        <v>0</v>
      </c>
      <c r="M10">
        <f t="shared" si="9"/>
        <v>0</v>
      </c>
      <c r="N10" t="e">
        <f t="shared" si="10"/>
        <v>#REF!</v>
      </c>
      <c r="Q10" t="s">
        <v>52</v>
      </c>
      <c r="R10">
        <f>_Rfb1</f>
        <v>21000</v>
      </c>
      <c r="S10" s="2">
        <f>IF(R10&gt;(INT(0.5+100*POWER(10,IF(96*(LOG(R10)-INT(LOG(R10)))-ROUND(96*(LOG(R10)-INT(LOG(R10))),0)&lt;0,ROUND(96*(LOG(R10)-INT(LOG(R10))),0)-1,ROUND(96*(LOG(R10)-INT(LOG(R10))),0))/96))*POWER(10,INT(LOG(R10))-2)+INT(0.5+100*POWER(10,(IF(96*(LOG(R10)-INT(LOG(R10)))-ROUND(96*(LOG(R10)-INT(LOG(R10))),0)&lt;0,ROUND(96*(LOG(R10)-INT(LOG(R10))),0)-1,ROUND(96*(LOG(R10)-INT(LOG(R10))),0))+1)/96))*POWER(10,INT(LOG(R10))-2))/2,INT(0.5+100*POWER(10,(IF(96*(LOG(R10)-INT(LOG(R10)))-ROUND(96*(LOG(R10)-INT(LOG(R10))),0)&lt;0,ROUND(96*(LOG(R10)-INT(LOG(R10))),0)-1,ROUND(96*(LOG(R10)-INT(LOG(R10))),0))+1)/96))*POWER(10,INT(LOG(R10))-2),INT(0.5+100*POWER(10,IF(96*(LOG(R10)-INT(LOG(R10)))-ROUND(96*(LOG(R10)-INT(LOG(R10))),0)&lt;0,ROUND(96*(LOG(R10)-INT(LOG(R10))),0)-1,ROUND(96*(LOG(R10)-INT(LOG(R10))),0))/96))*POWER(10,INT(LOG(R10))-2))</f>
        <v>21000</v>
      </c>
      <c r="T10" s="65" t="s">
        <v>539</v>
      </c>
    </row>
    <row r="11" spans="1:20" ht="13" x14ac:dyDescent="0.3">
      <c r="A11">
        <v>1.2</v>
      </c>
      <c r="B11">
        <f t="shared" si="11"/>
        <v>0</v>
      </c>
      <c r="C11">
        <f t="shared" si="12"/>
        <v>0</v>
      </c>
      <c r="D11">
        <f t="shared" si="3"/>
        <v>0</v>
      </c>
      <c r="E11">
        <f t="shared" si="4"/>
        <v>0</v>
      </c>
      <c r="F11">
        <f t="shared" si="5"/>
        <v>0</v>
      </c>
      <c r="G11">
        <f t="shared" si="6"/>
        <v>0</v>
      </c>
      <c r="H11">
        <f t="shared" si="7"/>
        <v>0</v>
      </c>
      <c r="I11">
        <f t="shared" si="7"/>
        <v>0</v>
      </c>
      <c r="J11">
        <f t="shared" si="7"/>
        <v>0</v>
      </c>
      <c r="K11">
        <f t="shared" si="7"/>
        <v>0</v>
      </c>
      <c r="L11">
        <f t="shared" si="8"/>
        <v>0</v>
      </c>
      <c r="M11">
        <f t="shared" si="9"/>
        <v>0</v>
      </c>
      <c r="N11" t="e">
        <f t="shared" si="10"/>
        <v>#REF!</v>
      </c>
      <c r="Q11" t="s">
        <v>77</v>
      </c>
      <c r="R11">
        <f>_Rfb2</f>
        <v>1500.0000000000002</v>
      </c>
      <c r="S11" s="2">
        <f>IF(R11="OPEN","OPEN",IF(R11&gt;(INT(0.5+100*POWER(10,IF(96*(LOG(R11)-INT(LOG(R11)))-ROUND(96*(LOG(R11)-INT(LOG(R11))),0)&lt;0,ROUND(96*(LOG(R11)-INT(LOG(R11))),0)-1,ROUND(96*(LOG(R11)-INT(LOG(R11))),0))/96))*POWER(10,INT(LOG(R11))-2)+INT(0.5+100*POWER(10,(IF(96*(LOG(R11)-INT(LOG(R11)))-ROUND(96*(LOG(R11)-INT(LOG(R11))),0)&lt;0,ROUND(96*(LOG(R11)-INT(LOG(R11))),0)-1,ROUND(96*(LOG(R11)-INT(LOG(R11))),0))+1)/96))*POWER(10,INT(LOG(R11))-2))/2,INT(0.5+100*POWER(10,(IF(96*(LOG(R11)-INT(LOG(R11)))-ROUND(96*(LOG(R11)-INT(LOG(R11))),0)&lt;0,ROUND(96*(LOG(R11)-INT(LOG(R11))),0)-1,ROUND(96*(LOG(R11)-INT(LOG(R11))),0))+1)/96))*POWER(10,INT(LOG(R11))-2),INT(0.5+100*POWER(10,IF(96*(LOG(R11)-INT(LOG(R11)))-ROUND(96*(LOG(R11)-INT(LOG(R11))),0)&lt;0,ROUND(96*(LOG(R11)-INT(LOG(R11))),0)-1,ROUND(96*(LOG(R11)-INT(LOG(R11))),0))/96))*POWER(10,INT(LOG(R11))-2)))</f>
        <v>1500</v>
      </c>
      <c r="T11" s="65" t="s">
        <v>539</v>
      </c>
    </row>
    <row r="12" spans="1:20" ht="13" x14ac:dyDescent="0.3">
      <c r="A12">
        <v>1.5</v>
      </c>
      <c r="B12">
        <f t="shared" si="11"/>
        <v>0</v>
      </c>
      <c r="C12">
        <f t="shared" si="12"/>
        <v>0</v>
      </c>
      <c r="D12">
        <f t="shared" si="3"/>
        <v>0</v>
      </c>
      <c r="E12">
        <f t="shared" si="4"/>
        <v>0</v>
      </c>
      <c r="F12">
        <f t="shared" si="5"/>
        <v>0</v>
      </c>
      <c r="G12">
        <f t="shared" si="6"/>
        <v>0</v>
      </c>
      <c r="H12">
        <f t="shared" si="7"/>
        <v>0</v>
      </c>
      <c r="I12">
        <f t="shared" si="7"/>
        <v>0</v>
      </c>
      <c r="J12">
        <f t="shared" si="7"/>
        <v>0</v>
      </c>
      <c r="K12">
        <f t="shared" si="7"/>
        <v>0</v>
      </c>
      <c r="L12">
        <f t="shared" si="8"/>
        <v>0</v>
      </c>
      <c r="M12">
        <f t="shared" si="9"/>
        <v>0</v>
      </c>
      <c r="N12" t="e">
        <f t="shared" si="10"/>
        <v>#REF!</v>
      </c>
      <c r="Q12" t="s">
        <v>316</v>
      </c>
      <c r="R12">
        <f>_Rs1</f>
        <v>8.1999999999999993</v>
      </c>
      <c r="S12" s="2"/>
    </row>
    <row r="13" spans="1:20" ht="13" x14ac:dyDescent="0.3">
      <c r="A13">
        <v>1.8</v>
      </c>
      <c r="B13">
        <f t="shared" si="11"/>
        <v>0</v>
      </c>
      <c r="C13">
        <f t="shared" si="12"/>
        <v>0</v>
      </c>
      <c r="D13">
        <f t="shared" si="3"/>
        <v>0</v>
      </c>
      <c r="E13">
        <f t="shared" si="4"/>
        <v>0</v>
      </c>
      <c r="F13">
        <f t="shared" si="5"/>
        <v>0</v>
      </c>
      <c r="G13">
        <f t="shared" si="6"/>
        <v>0</v>
      </c>
      <c r="H13">
        <f t="shared" si="7"/>
        <v>0</v>
      </c>
      <c r="I13">
        <f t="shared" si="7"/>
        <v>0</v>
      </c>
      <c r="J13">
        <f t="shared" si="7"/>
        <v>0</v>
      </c>
      <c r="K13">
        <f t="shared" si="7"/>
        <v>0</v>
      </c>
      <c r="L13">
        <f t="shared" si="8"/>
        <v>0</v>
      </c>
      <c r="M13">
        <f t="shared" si="9"/>
        <v>0</v>
      </c>
      <c r="N13" t="e">
        <f t="shared" si="10"/>
        <v>#REF!</v>
      </c>
      <c r="Q13" t="s">
        <v>317</v>
      </c>
      <c r="R13">
        <f>_Rs2</f>
        <v>8.1062909274811851E-12</v>
      </c>
      <c r="S13" s="2"/>
    </row>
    <row r="14" spans="1:20" ht="13" x14ac:dyDescent="0.3">
      <c r="A14">
        <v>2.2000000000000002</v>
      </c>
      <c r="B14">
        <f t="shared" si="11"/>
        <v>0</v>
      </c>
      <c r="C14">
        <f t="shared" si="12"/>
        <v>0</v>
      </c>
      <c r="D14">
        <f t="shared" si="3"/>
        <v>0</v>
      </c>
      <c r="E14">
        <f t="shared" si="4"/>
        <v>0</v>
      </c>
      <c r="F14">
        <f t="shared" si="5"/>
        <v>0</v>
      </c>
      <c r="G14">
        <f t="shared" si="6"/>
        <v>0</v>
      </c>
      <c r="H14">
        <f t="shared" si="7"/>
        <v>0</v>
      </c>
      <c r="I14">
        <f t="shared" si="7"/>
        <v>0</v>
      </c>
      <c r="J14">
        <f t="shared" si="7"/>
        <v>0</v>
      </c>
      <c r="K14">
        <f t="shared" si="7"/>
        <v>0</v>
      </c>
      <c r="L14">
        <f t="shared" si="8"/>
        <v>0</v>
      </c>
      <c r="M14">
        <f t="shared" si="9"/>
        <v>0</v>
      </c>
      <c r="N14" t="e">
        <f t="shared" si="10"/>
        <v>#REF!</v>
      </c>
      <c r="Q14" t="s">
        <v>318</v>
      </c>
      <c r="R14">
        <f>_Rs3</f>
        <v>7.0000000000000007E-2</v>
      </c>
      <c r="S14" s="2"/>
    </row>
    <row r="15" spans="1:20" ht="13" x14ac:dyDescent="0.3">
      <c r="A15">
        <v>2.7</v>
      </c>
      <c r="B15">
        <f t="shared" si="11"/>
        <v>0</v>
      </c>
      <c r="C15">
        <f t="shared" si="12"/>
        <v>0</v>
      </c>
      <c r="D15">
        <f t="shared" si="3"/>
        <v>0</v>
      </c>
      <c r="E15">
        <f t="shared" si="4"/>
        <v>0</v>
      </c>
      <c r="F15">
        <f t="shared" si="5"/>
        <v>0</v>
      </c>
      <c r="G15">
        <f t="shared" si="6"/>
        <v>0</v>
      </c>
      <c r="H15">
        <f t="shared" si="7"/>
        <v>0</v>
      </c>
      <c r="I15">
        <f t="shared" si="7"/>
        <v>0</v>
      </c>
      <c r="J15">
        <f t="shared" si="7"/>
        <v>0</v>
      </c>
      <c r="K15">
        <f t="shared" si="7"/>
        <v>0</v>
      </c>
      <c r="L15">
        <f t="shared" si="8"/>
        <v>0</v>
      </c>
      <c r="M15">
        <f t="shared" si="9"/>
        <v>0</v>
      </c>
      <c r="N15" t="e">
        <f t="shared" si="10"/>
        <v>#REF!</v>
      </c>
      <c r="S15" s="2"/>
    </row>
    <row r="16" spans="1:20" ht="13" x14ac:dyDescent="0.3">
      <c r="A16">
        <v>3.3</v>
      </c>
      <c r="B16">
        <f t="shared" si="11"/>
        <v>0</v>
      </c>
      <c r="C16">
        <f t="shared" si="12"/>
        <v>0</v>
      </c>
      <c r="D16">
        <f t="shared" si="3"/>
        <v>0</v>
      </c>
      <c r="E16">
        <f t="shared" si="4"/>
        <v>0</v>
      </c>
      <c r="F16">
        <f t="shared" si="5"/>
        <v>0</v>
      </c>
      <c r="G16">
        <f t="shared" si="6"/>
        <v>0</v>
      </c>
      <c r="H16">
        <f t="shared" si="7"/>
        <v>0</v>
      </c>
      <c r="I16">
        <f t="shared" si="7"/>
        <v>0</v>
      </c>
      <c r="J16">
        <f t="shared" si="7"/>
        <v>0</v>
      </c>
      <c r="K16">
        <f t="shared" si="7"/>
        <v>0</v>
      </c>
      <c r="L16">
        <f t="shared" si="8"/>
        <v>0</v>
      </c>
      <c r="M16">
        <f t="shared" si="9"/>
        <v>0</v>
      </c>
      <c r="N16" t="e">
        <f t="shared" si="10"/>
        <v>#REF!</v>
      </c>
      <c r="Q16" s="203" t="s">
        <v>527</v>
      </c>
      <c r="R16">
        <f>Ruvlo1</f>
        <v>100.00000000000017</v>
      </c>
      <c r="S16" s="2">
        <f t="shared" ref="S16:S17" si="13">IF(R16="OPEN","OPEN",IF(R16&gt;(INT(0.5+100*POWER(10,IF(96*(LOG(R16)-INT(LOG(R16)))-ROUND(96*(LOG(R16)-INT(LOG(R16))),0)&lt;0,ROUND(96*(LOG(R16)-INT(LOG(R16))),0)-1,ROUND(96*(LOG(R16)-INT(LOG(R16))),0))/96))*POWER(10,INT(LOG(R16))-2)+INT(0.5+100*POWER(10,(IF(96*(LOG(R16)-INT(LOG(R16)))-ROUND(96*(LOG(R16)-INT(LOG(R16))),0)&lt;0,ROUND(96*(LOG(R16)-INT(LOG(R16))),0)-1,ROUND(96*(LOG(R16)-INT(LOG(R16))),0))+1)/96))*POWER(10,INT(LOG(R16))-2))/2,INT(0.5+100*POWER(10,(IF(96*(LOG(R16)-INT(LOG(R16)))-ROUND(96*(LOG(R16)-INT(LOG(R16))),0)&lt;0,ROUND(96*(LOG(R16)-INT(LOG(R16))),0)-1,ROUND(96*(LOG(R16)-INT(LOG(R16))),0))+1)/96))*POWER(10,INT(LOG(R16))-2),INT(0.5+100*POWER(10,IF(96*(LOG(R16)-INT(LOG(R16)))-ROUND(96*(LOG(R16)-INT(LOG(R16))),0)&lt;0,ROUND(96*(LOG(R16)-INT(LOG(R16))),0)-1,ROUND(96*(LOG(R16)-INT(LOG(R16))),0))/96))*POWER(10,INT(LOG(R16))-2)))</f>
        <v>100</v>
      </c>
      <c r="T16" s="65" t="s">
        <v>493</v>
      </c>
    </row>
    <row r="17" spans="1:20" ht="13" x14ac:dyDescent="0.3">
      <c r="A17">
        <v>3.9</v>
      </c>
      <c r="B17">
        <f t="shared" si="11"/>
        <v>0</v>
      </c>
      <c r="C17">
        <f t="shared" si="12"/>
        <v>0</v>
      </c>
      <c r="D17">
        <f t="shared" si="3"/>
        <v>0</v>
      </c>
      <c r="E17">
        <f t="shared" si="4"/>
        <v>0</v>
      </c>
      <c r="F17">
        <f t="shared" si="5"/>
        <v>0</v>
      </c>
      <c r="G17">
        <f t="shared" si="6"/>
        <v>0</v>
      </c>
      <c r="H17">
        <f t="shared" si="7"/>
        <v>0</v>
      </c>
      <c r="I17">
        <f t="shared" si="7"/>
        <v>0</v>
      </c>
      <c r="J17">
        <f t="shared" si="7"/>
        <v>0</v>
      </c>
      <c r="K17">
        <f t="shared" si="7"/>
        <v>0</v>
      </c>
      <c r="L17">
        <f t="shared" si="8"/>
        <v>0</v>
      </c>
      <c r="M17">
        <f t="shared" si="9"/>
        <v>0</v>
      </c>
      <c r="N17" t="e">
        <f t="shared" si="10"/>
        <v>#REF!</v>
      </c>
      <c r="Q17" s="203" t="s">
        <v>528</v>
      </c>
      <c r="R17">
        <f>Ruvlo2</f>
        <v>9.375</v>
      </c>
      <c r="S17" s="2">
        <f t="shared" si="13"/>
        <v>9.31</v>
      </c>
      <c r="T17" s="65" t="s">
        <v>493</v>
      </c>
    </row>
    <row r="18" spans="1:20" ht="13" x14ac:dyDescent="0.3">
      <c r="A18">
        <v>4.7</v>
      </c>
      <c r="B18">
        <f t="shared" si="11"/>
        <v>0</v>
      </c>
      <c r="C18">
        <f t="shared" si="12"/>
        <v>0</v>
      </c>
      <c r="D18">
        <f t="shared" si="3"/>
        <v>0</v>
      </c>
      <c r="E18">
        <f t="shared" si="4"/>
        <v>0</v>
      </c>
      <c r="F18">
        <f t="shared" si="5"/>
        <v>0</v>
      </c>
      <c r="G18">
        <f t="shared" si="6"/>
        <v>0</v>
      </c>
      <c r="H18">
        <f t="shared" si="7"/>
        <v>0</v>
      </c>
      <c r="I18">
        <f t="shared" si="7"/>
        <v>0</v>
      </c>
      <c r="J18">
        <f t="shared" si="7"/>
        <v>0</v>
      </c>
      <c r="K18">
        <f t="shared" si="7"/>
        <v>0</v>
      </c>
      <c r="L18">
        <f t="shared" si="8"/>
        <v>0</v>
      </c>
      <c r="M18">
        <f t="shared" si="9"/>
        <v>0</v>
      </c>
      <c r="N18" t="e">
        <f t="shared" si="10"/>
        <v>#REF!</v>
      </c>
      <c r="S18" s="2"/>
    </row>
    <row r="19" spans="1:20" ht="13" x14ac:dyDescent="0.3">
      <c r="A19">
        <v>5.6</v>
      </c>
      <c r="B19">
        <f t="shared" si="11"/>
        <v>0</v>
      </c>
      <c r="C19">
        <f t="shared" si="12"/>
        <v>0</v>
      </c>
      <c r="D19">
        <f t="shared" si="3"/>
        <v>0</v>
      </c>
      <c r="E19">
        <f t="shared" si="4"/>
        <v>0</v>
      </c>
      <c r="F19">
        <f t="shared" si="5"/>
        <v>0</v>
      </c>
      <c r="G19">
        <f t="shared" si="6"/>
        <v>0</v>
      </c>
      <c r="H19">
        <f t="shared" si="7"/>
        <v>0</v>
      </c>
      <c r="I19">
        <f t="shared" si="7"/>
        <v>0</v>
      </c>
      <c r="J19">
        <f t="shared" si="7"/>
        <v>0</v>
      </c>
      <c r="K19">
        <f t="shared" si="7"/>
        <v>0</v>
      </c>
      <c r="L19">
        <f t="shared" si="8"/>
        <v>0</v>
      </c>
      <c r="M19">
        <f t="shared" si="9"/>
        <v>0</v>
      </c>
      <c r="N19" t="e">
        <f t="shared" si="10"/>
        <v>#REF!</v>
      </c>
      <c r="S19" s="2"/>
    </row>
    <row r="20" spans="1:20" ht="13" x14ac:dyDescent="0.3">
      <c r="A20">
        <v>6.8</v>
      </c>
      <c r="B20">
        <f t="shared" si="11"/>
        <v>0</v>
      </c>
      <c r="C20">
        <f t="shared" si="12"/>
        <v>0</v>
      </c>
      <c r="D20">
        <f t="shared" si="3"/>
        <v>0</v>
      </c>
      <c r="E20">
        <f t="shared" si="4"/>
        <v>0</v>
      </c>
      <c r="F20">
        <f t="shared" si="5"/>
        <v>0</v>
      </c>
      <c r="G20">
        <f t="shared" si="6"/>
        <v>0</v>
      </c>
      <c r="H20">
        <f t="shared" si="7"/>
        <v>8.1999999999999993</v>
      </c>
      <c r="I20">
        <f t="shared" si="7"/>
        <v>0</v>
      </c>
      <c r="J20">
        <f t="shared" si="7"/>
        <v>0</v>
      </c>
      <c r="K20">
        <f t="shared" si="7"/>
        <v>0</v>
      </c>
      <c r="L20">
        <f t="shared" si="8"/>
        <v>0</v>
      </c>
      <c r="M20">
        <f t="shared" si="9"/>
        <v>0</v>
      </c>
      <c r="N20" t="e">
        <f t="shared" si="10"/>
        <v>#REF!</v>
      </c>
      <c r="S20" s="2"/>
    </row>
    <row r="21" spans="1:20" ht="13" x14ac:dyDescent="0.3">
      <c r="A21">
        <v>8.1999999999999993</v>
      </c>
      <c r="B21">
        <f t="shared" si="11"/>
        <v>0</v>
      </c>
      <c r="C21">
        <f t="shared" si="12"/>
        <v>0</v>
      </c>
      <c r="D21">
        <f t="shared" si="3"/>
        <v>0</v>
      </c>
      <c r="E21">
        <f t="shared" si="4"/>
        <v>0</v>
      </c>
      <c r="F21">
        <f t="shared" si="5"/>
        <v>0</v>
      </c>
      <c r="G21">
        <f t="shared" si="6"/>
        <v>0</v>
      </c>
      <c r="H21">
        <f t="shared" si="7"/>
        <v>0</v>
      </c>
      <c r="I21">
        <f t="shared" si="7"/>
        <v>0</v>
      </c>
      <c r="J21">
        <f t="shared" si="7"/>
        <v>0</v>
      </c>
      <c r="K21">
        <f t="shared" si="7"/>
        <v>0</v>
      </c>
      <c r="L21">
        <f t="shared" si="8"/>
        <v>0</v>
      </c>
      <c r="M21">
        <f t="shared" si="9"/>
        <v>0</v>
      </c>
      <c r="N21" t="e">
        <f t="shared" si="10"/>
        <v>#REF!</v>
      </c>
      <c r="Q21" s="203"/>
      <c r="S21" s="2"/>
      <c r="T21" s="65"/>
    </row>
    <row r="22" spans="1:20" ht="13" x14ac:dyDescent="0.3">
      <c r="A22">
        <v>10</v>
      </c>
      <c r="B22">
        <f t="shared" si="11"/>
        <v>0</v>
      </c>
      <c r="C22">
        <f t="shared" si="12"/>
        <v>0</v>
      </c>
      <c r="D22">
        <f t="shared" si="3"/>
        <v>0</v>
      </c>
      <c r="E22">
        <f t="shared" si="4"/>
        <v>0</v>
      </c>
      <c r="F22">
        <f t="shared" si="5"/>
        <v>0</v>
      </c>
      <c r="G22">
        <f t="shared" si="6"/>
        <v>0</v>
      </c>
      <c r="H22">
        <f t="shared" si="7"/>
        <v>0</v>
      </c>
      <c r="I22">
        <f t="shared" si="7"/>
        <v>0</v>
      </c>
      <c r="J22">
        <f t="shared" si="7"/>
        <v>0</v>
      </c>
      <c r="K22">
        <f t="shared" si="7"/>
        <v>0</v>
      </c>
      <c r="L22">
        <f t="shared" si="8"/>
        <v>0</v>
      </c>
      <c r="M22">
        <f t="shared" si="9"/>
        <v>0</v>
      </c>
      <c r="N22" t="e">
        <f t="shared" si="10"/>
        <v>#REF!</v>
      </c>
      <c r="Q22" s="203" t="s">
        <v>596</v>
      </c>
      <c r="R22" s="464">
        <f>Rilim_shunt_ideal</f>
        <v>237.4758471947292</v>
      </c>
      <c r="S22" s="2">
        <f>IF(R22=0,0,IF(R22&gt;(INT(0.5+100*POWER(10,IF(96*(LOG(R22)-INT(LOG(R22)))-ROUND(96*(LOG(R22)-INT(LOG(R22))),0)&lt;0,ROUND(96*(LOG(R22)-INT(LOG(R22))),0)-1,ROUND(96*(LOG(R22)-INT(LOG(R22))),0))/96))*POWER(10,INT(LOG(R22))-2)+INT(0.5+100*POWER(10,(IF(96*(LOG(R22)-INT(LOG(R22)))-ROUND(96*(LOG(R22)-INT(LOG(R22))),0)&lt;0,ROUND(96*(LOG(R22)-INT(LOG(R22))),0)-1,ROUND(96*(LOG(R22)-INT(LOG(R22))),0))+1)/96))*POWER(10,INT(LOG(R22))-2))/2,INT(0.5+100*POWER(10,(IF(96*(LOG(R22)-INT(LOG(R22)))-ROUND(96*(LOG(R22)-INT(LOG(R22))),0)&lt;0,ROUND(96*(LOG(R22)-INT(LOG(R22))),0)-1,ROUND(96*(LOG(R22)-INT(LOG(R22))),0))+1)/96))*POWER(10,INT(LOG(R22))-2),INT(0.5+100*POWER(10,IF(96*(LOG(R22)-INT(LOG(R22)))-ROUND(96*(LOG(R22)-INT(LOG(R22))),0)&lt;0,ROUND(96*(LOG(R22)-INT(LOG(R22))),0)-1,ROUND(96*(LOG(R22)-INT(LOG(R22))),0))/96))*POWER(10,INT(LOG(R22))-2)))</f>
        <v>237</v>
      </c>
      <c r="T22" s="65" t="s">
        <v>539</v>
      </c>
    </row>
    <row r="23" spans="1:20" ht="13" x14ac:dyDescent="0.3">
      <c r="A23">
        <v>12</v>
      </c>
      <c r="B23">
        <f t="shared" si="11"/>
        <v>0</v>
      </c>
      <c r="C23">
        <f t="shared" si="12"/>
        <v>0</v>
      </c>
      <c r="D23">
        <f t="shared" si="3"/>
        <v>0</v>
      </c>
      <c r="E23">
        <f t="shared" si="4"/>
        <v>0</v>
      </c>
      <c r="F23">
        <f t="shared" si="5"/>
        <v>0</v>
      </c>
      <c r="G23">
        <f t="shared" si="6"/>
        <v>0</v>
      </c>
      <c r="H23">
        <f t="shared" si="7"/>
        <v>0</v>
      </c>
      <c r="I23">
        <f t="shared" si="7"/>
        <v>0</v>
      </c>
      <c r="J23">
        <f t="shared" si="7"/>
        <v>0</v>
      </c>
      <c r="K23">
        <f t="shared" si="7"/>
        <v>0</v>
      </c>
      <c r="L23">
        <f t="shared" si="8"/>
        <v>0</v>
      </c>
      <c r="M23">
        <f t="shared" si="9"/>
        <v>0</v>
      </c>
      <c r="N23" t="e">
        <f t="shared" si="10"/>
        <v>#REF!</v>
      </c>
      <c r="Q23" t="s">
        <v>701</v>
      </c>
      <c r="R23" s="45">
        <f>Cilim</f>
        <v>8.1062909274811851E-12</v>
      </c>
      <c r="S23" s="2">
        <f>H4*1000000000000</f>
        <v>8.1999999999999993</v>
      </c>
      <c r="T23" t="s">
        <v>53</v>
      </c>
    </row>
    <row r="24" spans="1:20" ht="13" x14ac:dyDescent="0.3">
      <c r="A24">
        <v>15</v>
      </c>
      <c r="B24">
        <f t="shared" si="11"/>
        <v>0</v>
      </c>
      <c r="C24">
        <f t="shared" si="12"/>
        <v>0</v>
      </c>
      <c r="D24">
        <f t="shared" si="3"/>
        <v>0</v>
      </c>
      <c r="E24">
        <f t="shared" si="4"/>
        <v>0</v>
      </c>
      <c r="F24">
        <f t="shared" si="5"/>
        <v>0</v>
      </c>
      <c r="G24">
        <f t="shared" si="6"/>
        <v>0</v>
      </c>
      <c r="H24">
        <f t="shared" si="7"/>
        <v>0</v>
      </c>
      <c r="I24">
        <f t="shared" si="7"/>
        <v>0</v>
      </c>
      <c r="J24">
        <f t="shared" si="7"/>
        <v>0</v>
      </c>
      <c r="K24">
        <f t="shared" si="7"/>
        <v>0</v>
      </c>
      <c r="L24">
        <f t="shared" si="8"/>
        <v>0</v>
      </c>
      <c r="M24">
        <f t="shared" si="9"/>
        <v>0</v>
      </c>
      <c r="N24" t="e">
        <f t="shared" si="10"/>
        <v>#REF!</v>
      </c>
      <c r="Q24" s="203"/>
      <c r="S24" s="2"/>
      <c r="T24" s="65"/>
    </row>
    <row r="25" spans="1:20" x14ac:dyDescent="0.25">
      <c r="A25">
        <v>18</v>
      </c>
      <c r="B25">
        <f t="shared" si="11"/>
        <v>0</v>
      </c>
      <c r="C25">
        <f t="shared" si="12"/>
        <v>0</v>
      </c>
      <c r="D25">
        <f t="shared" si="3"/>
        <v>0</v>
      </c>
      <c r="E25">
        <f t="shared" si="4"/>
        <v>0</v>
      </c>
      <c r="F25">
        <f t="shared" si="5"/>
        <v>0</v>
      </c>
      <c r="G25">
        <f t="shared" si="6"/>
        <v>0</v>
      </c>
      <c r="H25">
        <f t="shared" si="7"/>
        <v>0</v>
      </c>
      <c r="I25">
        <f t="shared" si="7"/>
        <v>0</v>
      </c>
      <c r="J25">
        <f t="shared" si="7"/>
        <v>0</v>
      </c>
      <c r="K25">
        <f t="shared" si="7"/>
        <v>0</v>
      </c>
      <c r="L25">
        <f t="shared" si="8"/>
        <v>0</v>
      </c>
      <c r="M25">
        <f t="shared" si="9"/>
        <v>0</v>
      </c>
      <c r="N25" t="e">
        <f t="shared" si="10"/>
        <v>#REF!</v>
      </c>
    </row>
    <row r="26" spans="1:20" x14ac:dyDescent="0.25">
      <c r="A26">
        <v>22</v>
      </c>
      <c r="B26">
        <f t="shared" si="11"/>
        <v>0</v>
      </c>
      <c r="C26">
        <f t="shared" si="12"/>
        <v>0</v>
      </c>
      <c r="D26">
        <f t="shared" si="3"/>
        <v>0</v>
      </c>
      <c r="E26">
        <f t="shared" si="4"/>
        <v>0</v>
      </c>
      <c r="F26">
        <f t="shared" si="5"/>
        <v>0</v>
      </c>
      <c r="G26">
        <f t="shared" si="6"/>
        <v>0</v>
      </c>
      <c r="H26">
        <f t="shared" si="7"/>
        <v>0</v>
      </c>
      <c r="I26">
        <f t="shared" si="7"/>
        <v>0</v>
      </c>
      <c r="J26">
        <f t="shared" si="7"/>
        <v>0</v>
      </c>
      <c r="K26">
        <f t="shared" si="7"/>
        <v>0</v>
      </c>
      <c r="L26">
        <f t="shared" si="8"/>
        <v>0</v>
      </c>
      <c r="M26">
        <f t="shared" si="9"/>
        <v>0</v>
      </c>
      <c r="N26" t="e">
        <f t="shared" si="10"/>
        <v>#REF!</v>
      </c>
    </row>
    <row r="27" spans="1:20" ht="13" x14ac:dyDescent="0.3">
      <c r="A27">
        <v>27</v>
      </c>
      <c r="B27">
        <f t="shared" si="11"/>
        <v>0</v>
      </c>
      <c r="C27">
        <f t="shared" si="12"/>
        <v>0</v>
      </c>
      <c r="D27">
        <f t="shared" si="3"/>
        <v>0</v>
      </c>
      <c r="E27">
        <f t="shared" si="4"/>
        <v>0</v>
      </c>
      <c r="F27">
        <f t="shared" si="5"/>
        <v>0</v>
      </c>
      <c r="G27">
        <f t="shared" si="6"/>
        <v>0</v>
      </c>
      <c r="H27">
        <f t="shared" si="7"/>
        <v>0</v>
      </c>
      <c r="I27">
        <f t="shared" si="7"/>
        <v>0</v>
      </c>
      <c r="J27">
        <f t="shared" si="7"/>
        <v>0</v>
      </c>
      <c r="K27">
        <f t="shared" si="7"/>
        <v>0</v>
      </c>
      <c r="L27">
        <f t="shared" si="8"/>
        <v>0</v>
      </c>
      <c r="M27">
        <f t="shared" si="9"/>
        <v>0</v>
      </c>
      <c r="N27" t="e">
        <f t="shared" si="10"/>
        <v>#REF!</v>
      </c>
      <c r="Q27" s="3" t="s">
        <v>326</v>
      </c>
      <c r="R27" t="str">
        <f>S8/1000&amp;" kΩ"</f>
        <v>8.06 kΩ</v>
      </c>
      <c r="S27">
        <f>S8/1000</f>
        <v>8.06</v>
      </c>
      <c r="T27" s="65" t="s">
        <v>493</v>
      </c>
    </row>
    <row r="28" spans="1:20" x14ac:dyDescent="0.25">
      <c r="A28">
        <v>33</v>
      </c>
      <c r="B28">
        <f t="shared" si="11"/>
        <v>0</v>
      </c>
      <c r="C28">
        <f t="shared" si="12"/>
        <v>0</v>
      </c>
      <c r="D28">
        <f t="shared" si="3"/>
        <v>0</v>
      </c>
      <c r="E28">
        <f t="shared" si="4"/>
        <v>0</v>
      </c>
      <c r="F28">
        <f t="shared" si="5"/>
        <v>0</v>
      </c>
      <c r="G28">
        <f t="shared" si="6"/>
        <v>0</v>
      </c>
      <c r="H28">
        <f t="shared" si="7"/>
        <v>0</v>
      </c>
      <c r="I28">
        <f t="shared" si="7"/>
        <v>0</v>
      </c>
      <c r="J28">
        <f t="shared" si="7"/>
        <v>0</v>
      </c>
      <c r="K28">
        <f t="shared" si="7"/>
        <v>0</v>
      </c>
      <c r="L28">
        <f t="shared" si="8"/>
        <v>0</v>
      </c>
      <c r="M28">
        <f t="shared" si="9"/>
        <v>0</v>
      </c>
      <c r="N28" t="e">
        <f t="shared" si="10"/>
        <v>#REF!</v>
      </c>
      <c r="Q28" s="3" t="s">
        <v>322</v>
      </c>
      <c r="R28" t="str">
        <f>C4*1000000000000&amp;" pF"</f>
        <v>3300 pF</v>
      </c>
      <c r="S28">
        <f>C4*1000000000000</f>
        <v>3300</v>
      </c>
      <c r="T28" s="203" t="s">
        <v>53</v>
      </c>
    </row>
    <row r="29" spans="1:20" x14ac:dyDescent="0.25">
      <c r="A29">
        <v>39</v>
      </c>
      <c r="B29">
        <f t="shared" si="11"/>
        <v>0</v>
      </c>
      <c r="C29">
        <f t="shared" si="12"/>
        <v>0</v>
      </c>
      <c r="D29">
        <f t="shared" si="3"/>
        <v>0</v>
      </c>
      <c r="E29">
        <f t="shared" si="4"/>
        <v>0</v>
      </c>
      <c r="F29">
        <f t="shared" si="5"/>
        <v>0</v>
      </c>
      <c r="G29">
        <f t="shared" si="6"/>
        <v>0</v>
      </c>
      <c r="H29">
        <f t="shared" si="7"/>
        <v>0</v>
      </c>
      <c r="I29">
        <f t="shared" si="7"/>
        <v>0</v>
      </c>
      <c r="J29">
        <f t="shared" si="7"/>
        <v>0</v>
      </c>
      <c r="K29">
        <f t="shared" si="7"/>
        <v>0</v>
      </c>
      <c r="L29">
        <f t="shared" si="8"/>
        <v>0</v>
      </c>
      <c r="M29">
        <f t="shared" si="9"/>
        <v>0</v>
      </c>
      <c r="N29" t="e">
        <f t="shared" si="10"/>
        <v>#REF!</v>
      </c>
      <c r="Q29" s="3" t="s">
        <v>323</v>
      </c>
      <c r="R29" t="str">
        <f>D4*1000000000000&amp;" pF"</f>
        <v>100 pF</v>
      </c>
      <c r="S29">
        <f>D4*1000000000000</f>
        <v>100</v>
      </c>
      <c r="T29" s="203" t="s">
        <v>53</v>
      </c>
    </row>
    <row r="30" spans="1:20" ht="13" x14ac:dyDescent="0.3">
      <c r="A30">
        <v>47</v>
      </c>
      <c r="B30">
        <f t="shared" si="11"/>
        <v>0</v>
      </c>
      <c r="C30">
        <f t="shared" si="12"/>
        <v>0</v>
      </c>
      <c r="D30">
        <f t="shared" si="3"/>
        <v>0</v>
      </c>
      <c r="E30">
        <f t="shared" si="4"/>
        <v>0</v>
      </c>
      <c r="F30">
        <f t="shared" si="5"/>
        <v>0</v>
      </c>
      <c r="G30">
        <f t="shared" si="6"/>
        <v>0</v>
      </c>
      <c r="H30">
        <f t="shared" si="7"/>
        <v>0</v>
      </c>
      <c r="I30">
        <f t="shared" si="7"/>
        <v>0</v>
      </c>
      <c r="J30">
        <f t="shared" si="7"/>
        <v>0</v>
      </c>
      <c r="K30">
        <f t="shared" si="7"/>
        <v>0</v>
      </c>
      <c r="L30">
        <f t="shared" si="8"/>
        <v>0</v>
      </c>
      <c r="M30">
        <f t="shared" si="9"/>
        <v>0</v>
      </c>
      <c r="N30" t="e">
        <f t="shared" si="10"/>
        <v>#REF!</v>
      </c>
      <c r="Q30" s="3" t="s">
        <v>327</v>
      </c>
      <c r="R30" t="str">
        <f>S9&amp;" Ω"</f>
        <v>51.1 Ω</v>
      </c>
      <c r="S30">
        <f>S9</f>
        <v>51.1</v>
      </c>
      <c r="T30" s="65" t="s">
        <v>539</v>
      </c>
    </row>
    <row r="31" spans="1:20" x14ac:dyDescent="0.25">
      <c r="A31">
        <v>56</v>
      </c>
      <c r="B31">
        <f t="shared" si="11"/>
        <v>0</v>
      </c>
      <c r="C31">
        <f t="shared" si="12"/>
        <v>0</v>
      </c>
      <c r="D31">
        <f t="shared" si="3"/>
        <v>0</v>
      </c>
      <c r="E31">
        <f t="shared" si="4"/>
        <v>0</v>
      </c>
      <c r="F31">
        <f t="shared" si="5"/>
        <v>0</v>
      </c>
      <c r="G31">
        <f t="shared" si="6"/>
        <v>0</v>
      </c>
      <c r="H31">
        <f t="shared" si="7"/>
        <v>0</v>
      </c>
      <c r="I31">
        <f t="shared" si="7"/>
        <v>0</v>
      </c>
      <c r="J31">
        <f t="shared" si="7"/>
        <v>0</v>
      </c>
      <c r="K31">
        <f t="shared" si="7"/>
        <v>0</v>
      </c>
      <c r="L31">
        <f t="shared" si="8"/>
        <v>0</v>
      </c>
      <c r="M31">
        <f t="shared" si="9"/>
        <v>0</v>
      </c>
      <c r="N31" t="e">
        <f t="shared" si="10"/>
        <v>#REF!</v>
      </c>
      <c r="Q31" s="3" t="s">
        <v>324</v>
      </c>
      <c r="R31" t="str">
        <f>E4*1000000000000&amp;" pF"</f>
        <v>1000 pF</v>
      </c>
      <c r="S31">
        <f>E4*1000000000000</f>
        <v>1000.0000000000001</v>
      </c>
      <c r="T31" s="203" t="s">
        <v>53</v>
      </c>
    </row>
    <row r="32" spans="1:20" x14ac:dyDescent="0.25">
      <c r="A32">
        <v>68</v>
      </c>
      <c r="B32">
        <f t="shared" si="11"/>
        <v>0</v>
      </c>
      <c r="C32">
        <f t="shared" si="12"/>
        <v>0</v>
      </c>
      <c r="D32">
        <f t="shared" si="3"/>
        <v>0</v>
      </c>
      <c r="E32">
        <f t="shared" si="4"/>
        <v>0</v>
      </c>
      <c r="F32">
        <f t="shared" si="5"/>
        <v>0</v>
      </c>
      <c r="G32">
        <f t="shared" si="6"/>
        <v>0</v>
      </c>
      <c r="H32">
        <f t="shared" si="7"/>
        <v>0</v>
      </c>
      <c r="I32">
        <f t="shared" si="7"/>
        <v>0</v>
      </c>
      <c r="J32">
        <f t="shared" si="7"/>
        <v>0</v>
      </c>
      <c r="K32">
        <f t="shared" si="7"/>
        <v>0</v>
      </c>
      <c r="L32">
        <f t="shared" si="8"/>
        <v>0</v>
      </c>
      <c r="M32">
        <f t="shared" si="9"/>
        <v>0</v>
      </c>
      <c r="N32" t="e">
        <f t="shared" si="10"/>
        <v>#REF!</v>
      </c>
    </row>
    <row r="33" spans="1:17" x14ac:dyDescent="0.25">
      <c r="A33">
        <v>82</v>
      </c>
      <c r="B33">
        <f t="shared" si="11"/>
        <v>0</v>
      </c>
      <c r="C33">
        <f t="shared" si="12"/>
        <v>0</v>
      </c>
      <c r="D33">
        <f t="shared" si="3"/>
        <v>0</v>
      </c>
      <c r="E33">
        <f t="shared" si="4"/>
        <v>0</v>
      </c>
      <c r="F33">
        <f t="shared" si="5"/>
        <v>0</v>
      </c>
      <c r="G33">
        <f t="shared" si="6"/>
        <v>0</v>
      </c>
      <c r="H33">
        <f t="shared" si="7"/>
        <v>0</v>
      </c>
      <c r="I33">
        <f t="shared" si="7"/>
        <v>0</v>
      </c>
      <c r="J33">
        <f t="shared" si="7"/>
        <v>0</v>
      </c>
      <c r="K33">
        <f t="shared" si="7"/>
        <v>0</v>
      </c>
      <c r="L33">
        <f t="shared" si="8"/>
        <v>0</v>
      </c>
      <c r="M33">
        <f t="shared" si="9"/>
        <v>0</v>
      </c>
      <c r="N33" t="e">
        <f t="shared" si="10"/>
        <v>#REF!</v>
      </c>
    </row>
    <row r="34" spans="1:17" x14ac:dyDescent="0.25">
      <c r="A34">
        <f>A22*10</f>
        <v>100</v>
      </c>
      <c r="B34">
        <f t="shared" si="11"/>
        <v>0</v>
      </c>
      <c r="C34">
        <f t="shared" si="12"/>
        <v>0</v>
      </c>
      <c r="D34">
        <f t="shared" si="3"/>
        <v>100</v>
      </c>
      <c r="E34">
        <f t="shared" si="4"/>
        <v>0</v>
      </c>
      <c r="F34">
        <f t="shared" si="5"/>
        <v>0</v>
      </c>
      <c r="G34">
        <f t="shared" si="6"/>
        <v>0</v>
      </c>
      <c r="H34">
        <f t="shared" si="7"/>
        <v>0</v>
      </c>
      <c r="I34">
        <f t="shared" si="7"/>
        <v>0</v>
      </c>
      <c r="J34">
        <f t="shared" si="7"/>
        <v>0</v>
      </c>
      <c r="K34">
        <f t="shared" si="7"/>
        <v>0</v>
      </c>
      <c r="L34">
        <f t="shared" si="8"/>
        <v>0</v>
      </c>
      <c r="M34">
        <f t="shared" si="9"/>
        <v>0</v>
      </c>
      <c r="N34" t="e">
        <f t="shared" si="10"/>
        <v>#REF!</v>
      </c>
      <c r="Q34" s="203"/>
    </row>
    <row r="35" spans="1:17" x14ac:dyDescent="0.25">
      <c r="A35">
        <f t="shared" ref="A35:A98" si="14">A23*10</f>
        <v>120</v>
      </c>
      <c r="B35">
        <f t="shared" si="11"/>
        <v>0</v>
      </c>
      <c r="C35">
        <f t="shared" si="12"/>
        <v>0</v>
      </c>
      <c r="D35">
        <f t="shared" si="3"/>
        <v>0</v>
      </c>
      <c r="E35">
        <f t="shared" si="4"/>
        <v>0</v>
      </c>
      <c r="F35">
        <f t="shared" si="5"/>
        <v>0</v>
      </c>
      <c r="G35">
        <f t="shared" si="6"/>
        <v>0</v>
      </c>
      <c r="H35">
        <f t="shared" si="7"/>
        <v>0</v>
      </c>
      <c r="I35">
        <f t="shared" si="7"/>
        <v>0</v>
      </c>
      <c r="J35">
        <f t="shared" si="7"/>
        <v>0</v>
      </c>
      <c r="K35">
        <f t="shared" si="7"/>
        <v>0</v>
      </c>
      <c r="L35">
        <f t="shared" si="8"/>
        <v>0</v>
      </c>
      <c r="M35">
        <f t="shared" si="9"/>
        <v>0</v>
      </c>
      <c r="N35" t="e">
        <f t="shared" si="10"/>
        <v>#REF!</v>
      </c>
      <c r="Q35" s="203"/>
    </row>
    <row r="36" spans="1:17" x14ac:dyDescent="0.25">
      <c r="A36">
        <f t="shared" si="14"/>
        <v>150</v>
      </c>
      <c r="B36">
        <f t="shared" si="11"/>
        <v>0</v>
      </c>
      <c r="C36">
        <f t="shared" si="12"/>
        <v>0</v>
      </c>
      <c r="D36">
        <f t="shared" si="3"/>
        <v>0</v>
      </c>
      <c r="E36">
        <f t="shared" si="4"/>
        <v>0</v>
      </c>
      <c r="F36">
        <f t="shared" si="5"/>
        <v>0</v>
      </c>
      <c r="G36">
        <f t="shared" si="6"/>
        <v>0</v>
      </c>
      <c r="H36">
        <f t="shared" si="7"/>
        <v>0</v>
      </c>
      <c r="I36">
        <f t="shared" si="7"/>
        <v>0</v>
      </c>
      <c r="J36">
        <f t="shared" si="7"/>
        <v>0</v>
      </c>
      <c r="K36">
        <f t="shared" si="7"/>
        <v>0</v>
      </c>
      <c r="L36">
        <f t="shared" si="8"/>
        <v>0</v>
      </c>
      <c r="M36">
        <f t="shared" si="9"/>
        <v>0</v>
      </c>
      <c r="N36" t="e">
        <f t="shared" si="10"/>
        <v>#REF!</v>
      </c>
    </row>
    <row r="37" spans="1:17" x14ac:dyDescent="0.25">
      <c r="A37">
        <f t="shared" si="14"/>
        <v>180</v>
      </c>
      <c r="B37">
        <f t="shared" si="11"/>
        <v>0</v>
      </c>
      <c r="C37">
        <f t="shared" si="12"/>
        <v>0</v>
      </c>
      <c r="D37">
        <f t="shared" si="3"/>
        <v>0</v>
      </c>
      <c r="E37">
        <f t="shared" si="4"/>
        <v>0</v>
      </c>
      <c r="F37">
        <f t="shared" si="5"/>
        <v>0</v>
      </c>
      <c r="G37">
        <f t="shared" si="6"/>
        <v>0</v>
      </c>
      <c r="H37">
        <f t="shared" si="7"/>
        <v>0</v>
      </c>
      <c r="I37">
        <f t="shared" si="7"/>
        <v>0</v>
      </c>
      <c r="J37">
        <f t="shared" si="7"/>
        <v>0</v>
      </c>
      <c r="K37">
        <f t="shared" si="7"/>
        <v>0</v>
      </c>
      <c r="L37">
        <f t="shared" si="8"/>
        <v>0</v>
      </c>
      <c r="M37">
        <f t="shared" si="9"/>
        <v>0</v>
      </c>
      <c r="N37" t="e">
        <f t="shared" si="10"/>
        <v>#REF!</v>
      </c>
    </row>
    <row r="38" spans="1:17" x14ac:dyDescent="0.25">
      <c r="A38">
        <f t="shared" si="14"/>
        <v>220</v>
      </c>
      <c r="B38">
        <f t="shared" si="11"/>
        <v>0</v>
      </c>
      <c r="C38">
        <f t="shared" si="12"/>
        <v>0</v>
      </c>
      <c r="D38">
        <f t="shared" si="3"/>
        <v>0</v>
      </c>
      <c r="E38">
        <f t="shared" si="4"/>
        <v>0</v>
      </c>
      <c r="F38">
        <f t="shared" si="5"/>
        <v>0</v>
      </c>
      <c r="G38">
        <f t="shared" si="6"/>
        <v>0</v>
      </c>
      <c r="H38">
        <f t="shared" si="7"/>
        <v>0</v>
      </c>
      <c r="I38">
        <f t="shared" si="7"/>
        <v>0</v>
      </c>
      <c r="J38">
        <f t="shared" si="7"/>
        <v>0</v>
      </c>
      <c r="K38">
        <f t="shared" si="7"/>
        <v>0</v>
      </c>
      <c r="L38">
        <f t="shared" si="8"/>
        <v>0</v>
      </c>
      <c r="M38">
        <f t="shared" ref="M38:M69" si="15">IF(IF((M$3*10^12-$A39)*(M$3*10^12-$A38)*-1&lt;0,0,1)*IF(ABS(M$3*10^12-$A39)&gt;(M$3*10^12-$A38),$A38,$A39)=M39,0,IF((M$3*10^12-$A39)*(M$3*10^12-$A38)*-1&lt;0,0,1)*IF(ABS(M$3*10^12-$A39)&gt;(M$3*10^12-$A38),$A38,$A39))</f>
        <v>0</v>
      </c>
      <c r="N38" t="e">
        <f t="shared" ref="N38:N69" si="16">IF(IF((N$3*10^12-$A39)*(N$3*10^12-$A38)*-1&lt;0,0,1)*IF(ABS(N$3*10^12-$A39)&gt;(N$3*10^12-$A38),$A38,$A39)=N39,0,IF((N$3*10^12-$A39)*(N$3*10^12-$A38)*-1&lt;0,0,1)*IF(ABS(N$3*10^12-$A39)&gt;(N$3*10^12-$A38),$A38,$A39))</f>
        <v>#REF!</v>
      </c>
    </row>
    <row r="39" spans="1:17" x14ac:dyDescent="0.25">
      <c r="A39">
        <f t="shared" si="14"/>
        <v>270</v>
      </c>
      <c r="B39">
        <f t="shared" si="11"/>
        <v>0</v>
      </c>
      <c r="C39">
        <f t="shared" ref="C39:C70" si="17">IF(IF((C$3*10^12-$A40)*(C$3*10^12-$A39)*-1&lt;0,0,1)*IF(ABS(C$3*10^12-$A40)&gt;(C$3*10^12-$A39),$A39,$A40)=C40,0,IF((C$3*10^12-$A40)*(C$3*10^12-$A39)*-1&lt;0,0,1)*IF(ABS(C$3*10^12-$A40)&gt;(C$3*10^12-$A39),$A39,$A40))</f>
        <v>0</v>
      </c>
      <c r="D39">
        <f t="shared" si="3"/>
        <v>0</v>
      </c>
      <c r="E39">
        <f t="shared" si="4"/>
        <v>0</v>
      </c>
      <c r="F39">
        <f t="shared" si="5"/>
        <v>0</v>
      </c>
      <c r="G39">
        <f t="shared" si="6"/>
        <v>0</v>
      </c>
      <c r="H39">
        <f t="shared" si="7"/>
        <v>0</v>
      </c>
      <c r="I39">
        <f t="shared" si="7"/>
        <v>0</v>
      </c>
      <c r="J39">
        <f t="shared" si="7"/>
        <v>0</v>
      </c>
      <c r="K39">
        <f t="shared" si="7"/>
        <v>0</v>
      </c>
      <c r="L39">
        <f t="shared" si="8"/>
        <v>0</v>
      </c>
      <c r="M39">
        <f t="shared" si="15"/>
        <v>0</v>
      </c>
      <c r="N39" t="e">
        <f t="shared" si="16"/>
        <v>#REF!</v>
      </c>
    </row>
    <row r="40" spans="1:17" x14ac:dyDescent="0.25">
      <c r="A40">
        <f t="shared" si="14"/>
        <v>330</v>
      </c>
      <c r="B40">
        <f t="shared" si="11"/>
        <v>0</v>
      </c>
      <c r="C40">
        <f t="shared" si="17"/>
        <v>0</v>
      </c>
      <c r="D40">
        <f t="shared" si="3"/>
        <v>0</v>
      </c>
      <c r="E40">
        <f t="shared" si="4"/>
        <v>0</v>
      </c>
      <c r="F40">
        <f t="shared" si="5"/>
        <v>0</v>
      </c>
      <c r="G40">
        <f t="shared" si="6"/>
        <v>0</v>
      </c>
      <c r="H40">
        <f t="shared" si="7"/>
        <v>0</v>
      </c>
      <c r="I40">
        <f t="shared" si="7"/>
        <v>0</v>
      </c>
      <c r="J40">
        <f t="shared" si="7"/>
        <v>0</v>
      </c>
      <c r="K40">
        <f t="shared" si="7"/>
        <v>0</v>
      </c>
      <c r="L40">
        <f t="shared" si="8"/>
        <v>0</v>
      </c>
      <c r="M40">
        <f t="shared" si="15"/>
        <v>0</v>
      </c>
      <c r="N40" t="e">
        <f t="shared" si="16"/>
        <v>#REF!</v>
      </c>
    </row>
    <row r="41" spans="1:17" x14ac:dyDescent="0.25">
      <c r="A41">
        <f t="shared" si="14"/>
        <v>390</v>
      </c>
      <c r="B41">
        <f t="shared" si="11"/>
        <v>0</v>
      </c>
      <c r="C41">
        <f t="shared" si="17"/>
        <v>0</v>
      </c>
      <c r="D41">
        <f t="shared" si="3"/>
        <v>0</v>
      </c>
      <c r="E41">
        <f t="shared" si="4"/>
        <v>0</v>
      </c>
      <c r="F41">
        <f t="shared" si="5"/>
        <v>0</v>
      </c>
      <c r="G41">
        <f t="shared" si="6"/>
        <v>0</v>
      </c>
      <c r="H41">
        <f t="shared" si="7"/>
        <v>0</v>
      </c>
      <c r="I41">
        <f t="shared" si="7"/>
        <v>0</v>
      </c>
      <c r="J41">
        <f t="shared" si="7"/>
        <v>0</v>
      </c>
      <c r="K41">
        <f t="shared" si="7"/>
        <v>0</v>
      </c>
      <c r="L41">
        <f t="shared" si="8"/>
        <v>0</v>
      </c>
      <c r="M41">
        <f t="shared" si="15"/>
        <v>0</v>
      </c>
      <c r="N41" t="e">
        <f t="shared" si="16"/>
        <v>#REF!</v>
      </c>
    </row>
    <row r="42" spans="1:17" x14ac:dyDescent="0.25">
      <c r="A42">
        <f t="shared" si="14"/>
        <v>470</v>
      </c>
      <c r="B42">
        <f t="shared" si="11"/>
        <v>0</v>
      </c>
      <c r="C42">
        <f t="shared" si="17"/>
        <v>0</v>
      </c>
      <c r="D42">
        <f t="shared" si="3"/>
        <v>0</v>
      </c>
      <c r="E42">
        <f t="shared" si="4"/>
        <v>0</v>
      </c>
      <c r="F42">
        <f t="shared" si="5"/>
        <v>0</v>
      </c>
      <c r="G42">
        <f t="shared" si="6"/>
        <v>0</v>
      </c>
      <c r="H42">
        <f t="shared" si="7"/>
        <v>0</v>
      </c>
      <c r="I42">
        <f t="shared" si="7"/>
        <v>0</v>
      </c>
      <c r="J42">
        <f t="shared" si="7"/>
        <v>0</v>
      </c>
      <c r="K42">
        <f t="shared" si="7"/>
        <v>0</v>
      </c>
      <c r="L42">
        <f t="shared" si="8"/>
        <v>0</v>
      </c>
      <c r="M42">
        <f t="shared" si="15"/>
        <v>0</v>
      </c>
      <c r="N42" t="e">
        <f t="shared" si="16"/>
        <v>#REF!</v>
      </c>
    </row>
    <row r="43" spans="1:17" x14ac:dyDescent="0.25">
      <c r="A43">
        <f t="shared" si="14"/>
        <v>560</v>
      </c>
      <c r="B43">
        <f t="shared" si="11"/>
        <v>0</v>
      </c>
      <c r="C43">
        <f t="shared" si="17"/>
        <v>0</v>
      </c>
      <c r="D43">
        <f t="shared" si="3"/>
        <v>0</v>
      </c>
      <c r="E43">
        <f t="shared" si="4"/>
        <v>0</v>
      </c>
      <c r="F43">
        <f t="shared" si="5"/>
        <v>0</v>
      </c>
      <c r="G43">
        <f t="shared" si="6"/>
        <v>0</v>
      </c>
      <c r="H43">
        <f t="shared" si="7"/>
        <v>0</v>
      </c>
      <c r="I43">
        <f t="shared" si="7"/>
        <v>0</v>
      </c>
      <c r="J43">
        <f t="shared" si="7"/>
        <v>0</v>
      </c>
      <c r="K43">
        <f t="shared" si="7"/>
        <v>0</v>
      </c>
      <c r="L43">
        <f t="shared" si="8"/>
        <v>0</v>
      </c>
      <c r="M43">
        <f t="shared" si="15"/>
        <v>0</v>
      </c>
      <c r="N43" t="e">
        <f t="shared" si="16"/>
        <v>#REF!</v>
      </c>
    </row>
    <row r="44" spans="1:17" x14ac:dyDescent="0.25">
      <c r="A44">
        <f t="shared" si="14"/>
        <v>680</v>
      </c>
      <c r="B44">
        <f t="shared" si="11"/>
        <v>0</v>
      </c>
      <c r="C44">
        <f t="shared" si="17"/>
        <v>0</v>
      </c>
      <c r="D44">
        <f t="shared" si="3"/>
        <v>0</v>
      </c>
      <c r="E44">
        <f t="shared" si="4"/>
        <v>0</v>
      </c>
      <c r="F44">
        <f t="shared" si="5"/>
        <v>0</v>
      </c>
      <c r="G44">
        <f t="shared" si="6"/>
        <v>0</v>
      </c>
      <c r="H44">
        <f t="shared" si="7"/>
        <v>0</v>
      </c>
      <c r="I44">
        <f t="shared" si="7"/>
        <v>0</v>
      </c>
      <c r="J44">
        <f t="shared" si="7"/>
        <v>0</v>
      </c>
      <c r="K44">
        <f t="shared" si="7"/>
        <v>0</v>
      </c>
      <c r="L44">
        <f t="shared" si="8"/>
        <v>0</v>
      </c>
      <c r="M44">
        <f t="shared" si="15"/>
        <v>0</v>
      </c>
      <c r="N44" t="e">
        <f t="shared" si="16"/>
        <v>#REF!</v>
      </c>
    </row>
    <row r="45" spans="1:17" x14ac:dyDescent="0.25">
      <c r="A45">
        <f>A33*10</f>
        <v>820</v>
      </c>
      <c r="B45">
        <f t="shared" si="11"/>
        <v>0</v>
      </c>
      <c r="C45">
        <f t="shared" si="17"/>
        <v>0</v>
      </c>
      <c r="D45">
        <f t="shared" si="3"/>
        <v>0</v>
      </c>
      <c r="E45">
        <f t="shared" si="4"/>
        <v>1000</v>
      </c>
      <c r="F45">
        <f t="shared" si="5"/>
        <v>0</v>
      </c>
      <c r="G45">
        <f t="shared" si="6"/>
        <v>0</v>
      </c>
      <c r="H45">
        <f t="shared" si="7"/>
        <v>0</v>
      </c>
      <c r="I45">
        <f t="shared" si="7"/>
        <v>0</v>
      </c>
      <c r="J45">
        <f t="shared" si="7"/>
        <v>0</v>
      </c>
      <c r="K45">
        <f t="shared" si="7"/>
        <v>0</v>
      </c>
      <c r="L45">
        <f t="shared" si="8"/>
        <v>0</v>
      </c>
      <c r="M45">
        <f t="shared" si="15"/>
        <v>0</v>
      </c>
      <c r="N45" t="e">
        <f t="shared" si="16"/>
        <v>#REF!</v>
      </c>
    </row>
    <row r="46" spans="1:17" x14ac:dyDescent="0.25">
      <c r="A46">
        <f t="shared" si="14"/>
        <v>1000</v>
      </c>
      <c r="B46">
        <f t="shared" si="11"/>
        <v>0</v>
      </c>
      <c r="C46">
        <f t="shared" si="17"/>
        <v>0</v>
      </c>
      <c r="D46">
        <f t="shared" si="3"/>
        <v>0</v>
      </c>
      <c r="E46">
        <f t="shared" si="4"/>
        <v>0</v>
      </c>
      <c r="F46">
        <f t="shared" si="5"/>
        <v>0</v>
      </c>
      <c r="G46">
        <f t="shared" si="6"/>
        <v>0</v>
      </c>
      <c r="H46">
        <f t="shared" si="7"/>
        <v>0</v>
      </c>
      <c r="I46">
        <f t="shared" si="7"/>
        <v>0</v>
      </c>
      <c r="J46">
        <f t="shared" si="7"/>
        <v>0</v>
      </c>
      <c r="K46">
        <f t="shared" si="7"/>
        <v>0</v>
      </c>
      <c r="L46">
        <f t="shared" si="8"/>
        <v>0</v>
      </c>
      <c r="M46">
        <f t="shared" si="15"/>
        <v>0</v>
      </c>
      <c r="N46" t="e">
        <f t="shared" si="16"/>
        <v>#REF!</v>
      </c>
    </row>
    <row r="47" spans="1:17" x14ac:dyDescent="0.25">
      <c r="A47">
        <f t="shared" si="14"/>
        <v>1200</v>
      </c>
      <c r="B47">
        <f t="shared" si="11"/>
        <v>0</v>
      </c>
      <c r="C47">
        <f t="shared" si="17"/>
        <v>0</v>
      </c>
      <c r="D47">
        <f t="shared" si="3"/>
        <v>0</v>
      </c>
      <c r="E47">
        <f t="shared" si="4"/>
        <v>0</v>
      </c>
      <c r="F47">
        <f t="shared" si="5"/>
        <v>0</v>
      </c>
      <c r="G47">
        <f t="shared" si="6"/>
        <v>0</v>
      </c>
      <c r="H47">
        <f t="shared" si="7"/>
        <v>0</v>
      </c>
      <c r="I47">
        <f t="shared" si="7"/>
        <v>0</v>
      </c>
      <c r="J47">
        <f t="shared" si="7"/>
        <v>0</v>
      </c>
      <c r="K47">
        <f t="shared" si="7"/>
        <v>0</v>
      </c>
      <c r="L47">
        <f t="shared" si="8"/>
        <v>0</v>
      </c>
      <c r="M47">
        <f t="shared" si="15"/>
        <v>0</v>
      </c>
      <c r="N47" t="e">
        <f t="shared" si="16"/>
        <v>#REF!</v>
      </c>
    </row>
    <row r="48" spans="1:17" x14ac:dyDescent="0.25">
      <c r="A48">
        <f t="shared" si="14"/>
        <v>1500</v>
      </c>
      <c r="B48">
        <f t="shared" si="11"/>
        <v>0</v>
      </c>
      <c r="C48">
        <f t="shared" si="17"/>
        <v>0</v>
      </c>
      <c r="D48">
        <f t="shared" si="3"/>
        <v>0</v>
      </c>
      <c r="E48">
        <f t="shared" si="4"/>
        <v>0</v>
      </c>
      <c r="F48">
        <f t="shared" si="5"/>
        <v>0</v>
      </c>
      <c r="G48">
        <f t="shared" si="6"/>
        <v>0</v>
      </c>
      <c r="H48">
        <f t="shared" si="7"/>
        <v>0</v>
      </c>
      <c r="I48">
        <f t="shared" si="7"/>
        <v>0</v>
      </c>
      <c r="J48">
        <f t="shared" si="7"/>
        <v>0</v>
      </c>
      <c r="K48">
        <f t="shared" si="7"/>
        <v>0</v>
      </c>
      <c r="L48">
        <f t="shared" si="8"/>
        <v>0</v>
      </c>
      <c r="M48">
        <f t="shared" si="15"/>
        <v>0</v>
      </c>
      <c r="N48" t="e">
        <f t="shared" si="16"/>
        <v>#REF!</v>
      </c>
    </row>
    <row r="49" spans="1:14" x14ac:dyDescent="0.25">
      <c r="A49">
        <f t="shared" si="14"/>
        <v>1800</v>
      </c>
      <c r="B49">
        <f t="shared" si="11"/>
        <v>0</v>
      </c>
      <c r="C49">
        <f t="shared" si="17"/>
        <v>0</v>
      </c>
      <c r="D49">
        <f t="shared" si="3"/>
        <v>0</v>
      </c>
      <c r="E49">
        <f t="shared" si="4"/>
        <v>0</v>
      </c>
      <c r="F49">
        <f t="shared" si="5"/>
        <v>0</v>
      </c>
      <c r="G49">
        <f t="shared" si="6"/>
        <v>0</v>
      </c>
      <c r="H49">
        <f t="shared" si="7"/>
        <v>0</v>
      </c>
      <c r="I49">
        <f t="shared" si="7"/>
        <v>0</v>
      </c>
      <c r="J49">
        <f t="shared" si="7"/>
        <v>0</v>
      </c>
      <c r="K49">
        <f t="shared" si="7"/>
        <v>0</v>
      </c>
      <c r="L49">
        <f t="shared" si="8"/>
        <v>0</v>
      </c>
      <c r="M49">
        <f t="shared" si="15"/>
        <v>0</v>
      </c>
      <c r="N49" t="e">
        <f t="shared" si="16"/>
        <v>#REF!</v>
      </c>
    </row>
    <row r="50" spans="1:14" x14ac:dyDescent="0.25">
      <c r="A50">
        <f t="shared" si="14"/>
        <v>2200</v>
      </c>
      <c r="B50">
        <f t="shared" si="11"/>
        <v>0</v>
      </c>
      <c r="C50">
        <f t="shared" si="17"/>
        <v>0</v>
      </c>
      <c r="D50">
        <f t="shared" si="3"/>
        <v>0</v>
      </c>
      <c r="E50">
        <f t="shared" si="4"/>
        <v>0</v>
      </c>
      <c r="F50">
        <f t="shared" si="5"/>
        <v>0</v>
      </c>
      <c r="G50">
        <f t="shared" si="6"/>
        <v>0</v>
      </c>
      <c r="H50">
        <f t="shared" si="7"/>
        <v>0</v>
      </c>
      <c r="I50">
        <f t="shared" si="7"/>
        <v>0</v>
      </c>
      <c r="J50">
        <f t="shared" si="7"/>
        <v>0</v>
      </c>
      <c r="K50">
        <f t="shared" si="7"/>
        <v>0</v>
      </c>
      <c r="L50">
        <f t="shared" si="8"/>
        <v>0</v>
      </c>
      <c r="M50">
        <f t="shared" si="15"/>
        <v>0</v>
      </c>
      <c r="N50" t="e">
        <f t="shared" si="16"/>
        <v>#REF!</v>
      </c>
    </row>
    <row r="51" spans="1:14" x14ac:dyDescent="0.25">
      <c r="A51">
        <f t="shared" si="14"/>
        <v>2700</v>
      </c>
      <c r="B51">
        <f t="shared" si="11"/>
        <v>0</v>
      </c>
      <c r="C51">
        <f t="shared" si="17"/>
        <v>3300</v>
      </c>
      <c r="D51">
        <f t="shared" si="3"/>
        <v>0</v>
      </c>
      <c r="E51">
        <f t="shared" si="4"/>
        <v>0</v>
      </c>
      <c r="F51">
        <f t="shared" si="5"/>
        <v>0</v>
      </c>
      <c r="G51">
        <f t="shared" si="6"/>
        <v>0</v>
      </c>
      <c r="H51">
        <f t="shared" si="7"/>
        <v>0</v>
      </c>
      <c r="I51">
        <f t="shared" si="7"/>
        <v>0</v>
      </c>
      <c r="J51">
        <f t="shared" si="7"/>
        <v>0</v>
      </c>
      <c r="K51">
        <f t="shared" si="7"/>
        <v>0</v>
      </c>
      <c r="L51">
        <f t="shared" si="8"/>
        <v>0</v>
      </c>
      <c r="M51">
        <f t="shared" si="15"/>
        <v>0</v>
      </c>
      <c r="N51" t="e">
        <f t="shared" si="16"/>
        <v>#REF!</v>
      </c>
    </row>
    <row r="52" spans="1:14" x14ac:dyDescent="0.25">
      <c r="A52">
        <f t="shared" si="14"/>
        <v>3300</v>
      </c>
      <c r="B52">
        <f t="shared" si="11"/>
        <v>0</v>
      </c>
      <c r="C52">
        <f t="shared" si="17"/>
        <v>0</v>
      </c>
      <c r="D52">
        <f t="shared" si="3"/>
        <v>0</v>
      </c>
      <c r="E52">
        <f t="shared" si="4"/>
        <v>0</v>
      </c>
      <c r="F52">
        <f t="shared" si="5"/>
        <v>0</v>
      </c>
      <c r="G52">
        <f t="shared" si="6"/>
        <v>0</v>
      </c>
      <c r="H52">
        <f t="shared" si="7"/>
        <v>0</v>
      </c>
      <c r="I52">
        <f t="shared" si="7"/>
        <v>0</v>
      </c>
      <c r="J52">
        <f t="shared" si="7"/>
        <v>0</v>
      </c>
      <c r="K52">
        <f t="shared" si="7"/>
        <v>0</v>
      </c>
      <c r="L52">
        <f t="shared" si="8"/>
        <v>0</v>
      </c>
      <c r="M52">
        <f t="shared" si="15"/>
        <v>0</v>
      </c>
      <c r="N52" t="e">
        <f t="shared" si="16"/>
        <v>#REF!</v>
      </c>
    </row>
    <row r="53" spans="1:14" x14ac:dyDescent="0.25">
      <c r="A53">
        <f t="shared" si="14"/>
        <v>3900</v>
      </c>
      <c r="B53">
        <f t="shared" si="11"/>
        <v>0</v>
      </c>
      <c r="C53">
        <f t="shared" si="17"/>
        <v>0</v>
      </c>
      <c r="D53">
        <f t="shared" si="3"/>
        <v>0</v>
      </c>
      <c r="E53">
        <f t="shared" si="4"/>
        <v>0</v>
      </c>
      <c r="F53">
        <f t="shared" si="5"/>
        <v>0</v>
      </c>
      <c r="G53">
        <f t="shared" si="6"/>
        <v>0</v>
      </c>
      <c r="H53">
        <f t="shared" si="7"/>
        <v>0</v>
      </c>
      <c r="I53">
        <f t="shared" si="7"/>
        <v>0</v>
      </c>
      <c r="J53">
        <f t="shared" si="7"/>
        <v>0</v>
      </c>
      <c r="K53">
        <f t="shared" si="7"/>
        <v>0</v>
      </c>
      <c r="L53">
        <f t="shared" si="8"/>
        <v>0</v>
      </c>
      <c r="M53">
        <f t="shared" si="15"/>
        <v>0</v>
      </c>
      <c r="N53" t="e">
        <f t="shared" si="16"/>
        <v>#REF!</v>
      </c>
    </row>
    <row r="54" spans="1:14" x14ac:dyDescent="0.25">
      <c r="A54">
        <f t="shared" si="14"/>
        <v>4700</v>
      </c>
      <c r="B54">
        <f t="shared" si="11"/>
        <v>0</v>
      </c>
      <c r="C54">
        <f t="shared" si="17"/>
        <v>0</v>
      </c>
      <c r="D54">
        <f t="shared" si="3"/>
        <v>0</v>
      </c>
      <c r="E54">
        <f t="shared" si="4"/>
        <v>0</v>
      </c>
      <c r="F54">
        <f t="shared" si="5"/>
        <v>0</v>
      </c>
      <c r="G54">
        <f t="shared" si="6"/>
        <v>0</v>
      </c>
      <c r="H54">
        <f t="shared" si="7"/>
        <v>0</v>
      </c>
      <c r="I54">
        <f t="shared" si="7"/>
        <v>0</v>
      </c>
      <c r="J54">
        <f t="shared" si="7"/>
        <v>0</v>
      </c>
      <c r="K54">
        <f t="shared" si="7"/>
        <v>0</v>
      </c>
      <c r="L54">
        <f t="shared" si="8"/>
        <v>0</v>
      </c>
      <c r="M54">
        <f t="shared" si="15"/>
        <v>0</v>
      </c>
      <c r="N54" t="e">
        <f t="shared" si="16"/>
        <v>#REF!</v>
      </c>
    </row>
    <row r="55" spans="1:14" x14ac:dyDescent="0.25">
      <c r="A55">
        <f t="shared" si="14"/>
        <v>5600</v>
      </c>
      <c r="B55">
        <f t="shared" si="11"/>
        <v>0</v>
      </c>
      <c r="C55">
        <f t="shared" si="17"/>
        <v>0</v>
      </c>
      <c r="D55">
        <f t="shared" si="3"/>
        <v>0</v>
      </c>
      <c r="E55">
        <f t="shared" si="4"/>
        <v>0</v>
      </c>
      <c r="F55">
        <f t="shared" si="5"/>
        <v>0</v>
      </c>
      <c r="G55">
        <f t="shared" si="6"/>
        <v>0</v>
      </c>
      <c r="H55">
        <f t="shared" si="7"/>
        <v>0</v>
      </c>
      <c r="I55">
        <f t="shared" si="7"/>
        <v>0</v>
      </c>
      <c r="J55">
        <f t="shared" si="7"/>
        <v>0</v>
      </c>
      <c r="K55">
        <f t="shared" si="7"/>
        <v>0</v>
      </c>
      <c r="L55">
        <f t="shared" si="8"/>
        <v>0</v>
      </c>
      <c r="M55">
        <f t="shared" si="15"/>
        <v>0</v>
      </c>
      <c r="N55" t="e">
        <f t="shared" si="16"/>
        <v>#REF!</v>
      </c>
    </row>
    <row r="56" spans="1:14" x14ac:dyDescent="0.25">
      <c r="A56">
        <f t="shared" si="14"/>
        <v>6800</v>
      </c>
      <c r="B56">
        <f t="shared" si="11"/>
        <v>0</v>
      </c>
      <c r="C56">
        <f t="shared" si="17"/>
        <v>0</v>
      </c>
      <c r="D56">
        <f t="shared" si="3"/>
        <v>0</v>
      </c>
      <c r="E56">
        <f t="shared" si="4"/>
        <v>0</v>
      </c>
      <c r="F56">
        <f t="shared" si="5"/>
        <v>0</v>
      </c>
      <c r="G56">
        <f t="shared" si="6"/>
        <v>0</v>
      </c>
      <c r="H56">
        <f t="shared" si="7"/>
        <v>0</v>
      </c>
      <c r="I56">
        <f t="shared" si="7"/>
        <v>0</v>
      </c>
      <c r="J56">
        <f t="shared" si="7"/>
        <v>0</v>
      </c>
      <c r="K56">
        <f t="shared" si="7"/>
        <v>0</v>
      </c>
      <c r="L56">
        <f t="shared" si="8"/>
        <v>0</v>
      </c>
      <c r="M56">
        <f t="shared" si="15"/>
        <v>0</v>
      </c>
      <c r="N56" t="e">
        <f t="shared" si="16"/>
        <v>#REF!</v>
      </c>
    </row>
    <row r="57" spans="1:14" x14ac:dyDescent="0.25">
      <c r="A57">
        <f t="shared" si="14"/>
        <v>8200</v>
      </c>
      <c r="B57">
        <f t="shared" si="11"/>
        <v>0</v>
      </c>
      <c r="C57">
        <f t="shared" si="17"/>
        <v>0</v>
      </c>
      <c r="D57">
        <f t="shared" si="3"/>
        <v>0</v>
      </c>
      <c r="E57">
        <f t="shared" si="4"/>
        <v>0</v>
      </c>
      <c r="F57">
        <f t="shared" si="5"/>
        <v>0</v>
      </c>
      <c r="G57">
        <f t="shared" si="6"/>
        <v>0</v>
      </c>
      <c r="H57">
        <f t="shared" si="7"/>
        <v>0</v>
      </c>
      <c r="I57">
        <f t="shared" si="7"/>
        <v>0</v>
      </c>
      <c r="J57">
        <f t="shared" si="7"/>
        <v>0</v>
      </c>
      <c r="K57">
        <f t="shared" si="7"/>
        <v>0</v>
      </c>
      <c r="L57">
        <f t="shared" si="8"/>
        <v>0</v>
      </c>
      <c r="M57">
        <f t="shared" si="15"/>
        <v>0</v>
      </c>
      <c r="N57" t="e">
        <f t="shared" si="16"/>
        <v>#REF!</v>
      </c>
    </row>
    <row r="58" spans="1:14" x14ac:dyDescent="0.25">
      <c r="A58">
        <f t="shared" si="14"/>
        <v>10000</v>
      </c>
      <c r="B58">
        <f t="shared" si="11"/>
        <v>0</v>
      </c>
      <c r="C58">
        <f t="shared" si="17"/>
        <v>0</v>
      </c>
      <c r="D58">
        <f t="shared" si="3"/>
        <v>0</v>
      </c>
      <c r="E58">
        <f t="shared" si="4"/>
        <v>0</v>
      </c>
      <c r="F58">
        <f t="shared" si="5"/>
        <v>0</v>
      </c>
      <c r="G58">
        <f t="shared" si="6"/>
        <v>0</v>
      </c>
      <c r="H58">
        <f t="shared" si="7"/>
        <v>0</v>
      </c>
      <c r="I58">
        <f t="shared" si="7"/>
        <v>0</v>
      </c>
      <c r="J58">
        <f t="shared" si="7"/>
        <v>0</v>
      </c>
      <c r="K58">
        <f t="shared" si="7"/>
        <v>0</v>
      </c>
      <c r="L58">
        <f t="shared" si="8"/>
        <v>0</v>
      </c>
      <c r="M58">
        <f t="shared" si="15"/>
        <v>0</v>
      </c>
      <c r="N58" t="e">
        <f t="shared" si="16"/>
        <v>#REF!</v>
      </c>
    </row>
    <row r="59" spans="1:14" x14ac:dyDescent="0.25">
      <c r="A59">
        <f t="shared" si="14"/>
        <v>12000</v>
      </c>
      <c r="B59">
        <f t="shared" si="11"/>
        <v>0</v>
      </c>
      <c r="C59">
        <f t="shared" si="17"/>
        <v>0</v>
      </c>
      <c r="D59">
        <f t="shared" si="3"/>
        <v>0</v>
      </c>
      <c r="E59">
        <f t="shared" si="4"/>
        <v>0</v>
      </c>
      <c r="F59">
        <f t="shared" si="5"/>
        <v>0</v>
      </c>
      <c r="G59">
        <f t="shared" si="6"/>
        <v>0</v>
      </c>
      <c r="H59">
        <f t="shared" si="7"/>
        <v>0</v>
      </c>
      <c r="I59">
        <f t="shared" si="7"/>
        <v>0</v>
      </c>
      <c r="J59">
        <f t="shared" si="7"/>
        <v>0</v>
      </c>
      <c r="K59">
        <f t="shared" si="7"/>
        <v>0</v>
      </c>
      <c r="L59">
        <f t="shared" si="8"/>
        <v>0</v>
      </c>
      <c r="M59">
        <f t="shared" si="15"/>
        <v>0</v>
      </c>
      <c r="N59" t="e">
        <f t="shared" si="16"/>
        <v>#REF!</v>
      </c>
    </row>
    <row r="60" spans="1:14" x14ac:dyDescent="0.25">
      <c r="A60">
        <f t="shared" si="14"/>
        <v>15000</v>
      </c>
      <c r="B60">
        <f t="shared" si="11"/>
        <v>0</v>
      </c>
      <c r="C60">
        <f t="shared" si="17"/>
        <v>0</v>
      </c>
      <c r="D60">
        <f t="shared" si="3"/>
        <v>0</v>
      </c>
      <c r="E60">
        <f t="shared" si="4"/>
        <v>0</v>
      </c>
      <c r="F60">
        <f t="shared" si="5"/>
        <v>0</v>
      </c>
      <c r="G60">
        <f t="shared" si="6"/>
        <v>0</v>
      </c>
      <c r="H60">
        <f t="shared" si="7"/>
        <v>0</v>
      </c>
      <c r="I60">
        <f t="shared" si="7"/>
        <v>0</v>
      </c>
      <c r="J60">
        <f t="shared" si="7"/>
        <v>0</v>
      </c>
      <c r="K60">
        <f t="shared" si="7"/>
        <v>0</v>
      </c>
      <c r="L60">
        <f t="shared" si="8"/>
        <v>0</v>
      </c>
      <c r="M60">
        <f t="shared" si="15"/>
        <v>0</v>
      </c>
      <c r="N60" t="e">
        <f t="shared" si="16"/>
        <v>#REF!</v>
      </c>
    </row>
    <row r="61" spans="1:14" x14ac:dyDescent="0.25">
      <c r="A61">
        <f t="shared" si="14"/>
        <v>18000</v>
      </c>
      <c r="B61">
        <f t="shared" si="11"/>
        <v>0</v>
      </c>
      <c r="C61">
        <f t="shared" si="17"/>
        <v>0</v>
      </c>
      <c r="D61">
        <f t="shared" si="3"/>
        <v>0</v>
      </c>
      <c r="E61">
        <f t="shared" si="4"/>
        <v>0</v>
      </c>
      <c r="F61">
        <f t="shared" si="5"/>
        <v>0</v>
      </c>
      <c r="G61">
        <f t="shared" si="6"/>
        <v>0</v>
      </c>
      <c r="H61">
        <f t="shared" si="7"/>
        <v>0</v>
      </c>
      <c r="I61">
        <f t="shared" si="7"/>
        <v>0</v>
      </c>
      <c r="J61">
        <f t="shared" si="7"/>
        <v>0</v>
      </c>
      <c r="K61">
        <f t="shared" si="7"/>
        <v>0</v>
      </c>
      <c r="L61">
        <f t="shared" si="8"/>
        <v>0</v>
      </c>
      <c r="M61">
        <f t="shared" si="15"/>
        <v>0</v>
      </c>
      <c r="N61" t="e">
        <f t="shared" si="16"/>
        <v>#REF!</v>
      </c>
    </row>
    <row r="62" spans="1:14" x14ac:dyDescent="0.25">
      <c r="A62">
        <f t="shared" si="14"/>
        <v>22000</v>
      </c>
      <c r="B62">
        <f t="shared" si="11"/>
        <v>0</v>
      </c>
      <c r="C62">
        <f t="shared" si="17"/>
        <v>0</v>
      </c>
      <c r="D62">
        <f t="shared" si="3"/>
        <v>0</v>
      </c>
      <c r="E62">
        <f t="shared" si="4"/>
        <v>0</v>
      </c>
      <c r="F62">
        <f t="shared" si="5"/>
        <v>0</v>
      </c>
      <c r="G62">
        <f t="shared" si="6"/>
        <v>0</v>
      </c>
      <c r="H62">
        <f t="shared" si="7"/>
        <v>0</v>
      </c>
      <c r="I62">
        <f t="shared" si="7"/>
        <v>0</v>
      </c>
      <c r="J62">
        <f t="shared" si="7"/>
        <v>0</v>
      </c>
      <c r="K62">
        <f t="shared" si="7"/>
        <v>0</v>
      </c>
      <c r="L62">
        <f t="shared" si="8"/>
        <v>0</v>
      </c>
      <c r="M62">
        <f t="shared" si="15"/>
        <v>0</v>
      </c>
      <c r="N62" t="e">
        <f t="shared" si="16"/>
        <v>#REF!</v>
      </c>
    </row>
    <row r="63" spans="1:14" x14ac:dyDescent="0.25">
      <c r="A63">
        <f t="shared" si="14"/>
        <v>27000</v>
      </c>
      <c r="B63">
        <f t="shared" si="11"/>
        <v>0</v>
      </c>
      <c r="C63">
        <f t="shared" si="17"/>
        <v>0</v>
      </c>
      <c r="D63">
        <f t="shared" si="3"/>
        <v>0</v>
      </c>
      <c r="E63">
        <f t="shared" si="4"/>
        <v>0</v>
      </c>
      <c r="F63">
        <f t="shared" si="5"/>
        <v>0</v>
      </c>
      <c r="G63">
        <f t="shared" si="6"/>
        <v>0</v>
      </c>
      <c r="H63">
        <f t="shared" si="7"/>
        <v>0</v>
      </c>
      <c r="I63">
        <f t="shared" si="7"/>
        <v>0</v>
      </c>
      <c r="J63">
        <f t="shared" si="7"/>
        <v>0</v>
      </c>
      <c r="K63">
        <f t="shared" si="7"/>
        <v>0</v>
      </c>
      <c r="L63">
        <f t="shared" si="8"/>
        <v>0</v>
      </c>
      <c r="M63">
        <f t="shared" si="15"/>
        <v>0</v>
      </c>
      <c r="N63" t="e">
        <f t="shared" si="16"/>
        <v>#REF!</v>
      </c>
    </row>
    <row r="64" spans="1:14" x14ac:dyDescent="0.25">
      <c r="A64">
        <f t="shared" si="14"/>
        <v>33000</v>
      </c>
      <c r="B64">
        <f t="shared" si="11"/>
        <v>0</v>
      </c>
      <c r="C64">
        <f t="shared" si="17"/>
        <v>0</v>
      </c>
      <c r="D64">
        <f t="shared" si="3"/>
        <v>0</v>
      </c>
      <c r="E64">
        <f t="shared" si="4"/>
        <v>0</v>
      </c>
      <c r="F64">
        <f t="shared" si="5"/>
        <v>0</v>
      </c>
      <c r="G64">
        <f t="shared" si="6"/>
        <v>0</v>
      </c>
      <c r="H64">
        <f t="shared" si="7"/>
        <v>0</v>
      </c>
      <c r="I64">
        <f t="shared" si="7"/>
        <v>0</v>
      </c>
      <c r="J64">
        <f t="shared" si="7"/>
        <v>0</v>
      </c>
      <c r="K64">
        <f t="shared" si="7"/>
        <v>0</v>
      </c>
      <c r="L64">
        <f t="shared" si="8"/>
        <v>0</v>
      </c>
      <c r="M64">
        <f t="shared" si="15"/>
        <v>0</v>
      </c>
      <c r="N64" t="e">
        <f t="shared" si="16"/>
        <v>#REF!</v>
      </c>
    </row>
    <row r="65" spans="1:14" x14ac:dyDescent="0.25">
      <c r="A65">
        <f t="shared" si="14"/>
        <v>39000</v>
      </c>
      <c r="B65">
        <f t="shared" si="11"/>
        <v>0</v>
      </c>
      <c r="C65">
        <f t="shared" si="17"/>
        <v>0</v>
      </c>
      <c r="D65">
        <f t="shared" si="3"/>
        <v>0</v>
      </c>
      <c r="E65">
        <f t="shared" si="4"/>
        <v>0</v>
      </c>
      <c r="F65">
        <f t="shared" si="5"/>
        <v>0</v>
      </c>
      <c r="G65">
        <f t="shared" si="6"/>
        <v>0</v>
      </c>
      <c r="H65">
        <f t="shared" si="7"/>
        <v>0</v>
      </c>
      <c r="I65">
        <f t="shared" si="7"/>
        <v>0</v>
      </c>
      <c r="J65">
        <f t="shared" si="7"/>
        <v>0</v>
      </c>
      <c r="K65">
        <f t="shared" si="7"/>
        <v>0</v>
      </c>
      <c r="L65">
        <f t="shared" si="8"/>
        <v>0</v>
      </c>
      <c r="M65">
        <f t="shared" si="15"/>
        <v>0</v>
      </c>
      <c r="N65" t="e">
        <f t="shared" si="16"/>
        <v>#REF!</v>
      </c>
    </row>
    <row r="66" spans="1:14" x14ac:dyDescent="0.25">
      <c r="A66">
        <f t="shared" si="14"/>
        <v>47000</v>
      </c>
      <c r="B66">
        <f t="shared" si="11"/>
        <v>47000</v>
      </c>
      <c r="C66">
        <f t="shared" si="17"/>
        <v>0</v>
      </c>
      <c r="D66">
        <f t="shared" si="3"/>
        <v>0</v>
      </c>
      <c r="E66">
        <f t="shared" si="4"/>
        <v>0</v>
      </c>
      <c r="F66">
        <f t="shared" si="5"/>
        <v>0</v>
      </c>
      <c r="G66">
        <f t="shared" si="6"/>
        <v>0</v>
      </c>
      <c r="H66">
        <f t="shared" si="7"/>
        <v>0</v>
      </c>
      <c r="I66">
        <f t="shared" si="7"/>
        <v>0</v>
      </c>
      <c r="J66">
        <f t="shared" si="7"/>
        <v>0</v>
      </c>
      <c r="K66">
        <f t="shared" si="7"/>
        <v>0</v>
      </c>
      <c r="L66">
        <f t="shared" si="8"/>
        <v>0</v>
      </c>
      <c r="M66">
        <f t="shared" si="15"/>
        <v>0</v>
      </c>
      <c r="N66" t="e">
        <f t="shared" si="16"/>
        <v>#REF!</v>
      </c>
    </row>
    <row r="67" spans="1:14" x14ac:dyDescent="0.25">
      <c r="A67">
        <f t="shared" si="14"/>
        <v>56000</v>
      </c>
      <c r="B67">
        <f t="shared" si="11"/>
        <v>0</v>
      </c>
      <c r="C67">
        <f t="shared" si="17"/>
        <v>0</v>
      </c>
      <c r="D67">
        <f t="shared" si="3"/>
        <v>0</v>
      </c>
      <c r="E67">
        <f t="shared" si="4"/>
        <v>0</v>
      </c>
      <c r="F67">
        <f t="shared" si="5"/>
        <v>0</v>
      </c>
      <c r="G67">
        <f t="shared" si="6"/>
        <v>0</v>
      </c>
      <c r="H67">
        <f t="shared" si="7"/>
        <v>0</v>
      </c>
      <c r="I67">
        <f t="shared" si="7"/>
        <v>0</v>
      </c>
      <c r="J67">
        <f t="shared" si="7"/>
        <v>0</v>
      </c>
      <c r="K67">
        <f t="shared" si="7"/>
        <v>0</v>
      </c>
      <c r="L67">
        <f t="shared" si="8"/>
        <v>0</v>
      </c>
      <c r="M67">
        <f t="shared" si="15"/>
        <v>0</v>
      </c>
      <c r="N67" t="e">
        <f t="shared" si="16"/>
        <v>#REF!</v>
      </c>
    </row>
    <row r="68" spans="1:14" x14ac:dyDescent="0.25">
      <c r="A68">
        <f t="shared" si="14"/>
        <v>68000</v>
      </c>
      <c r="B68">
        <f t="shared" si="11"/>
        <v>0</v>
      </c>
      <c r="C68">
        <f t="shared" si="17"/>
        <v>0</v>
      </c>
      <c r="D68">
        <f t="shared" si="3"/>
        <v>0</v>
      </c>
      <c r="E68">
        <f t="shared" si="4"/>
        <v>0</v>
      </c>
      <c r="F68">
        <f t="shared" si="5"/>
        <v>0</v>
      </c>
      <c r="G68">
        <f t="shared" si="6"/>
        <v>0</v>
      </c>
      <c r="H68">
        <f t="shared" si="7"/>
        <v>0</v>
      </c>
      <c r="I68">
        <f t="shared" si="7"/>
        <v>0</v>
      </c>
      <c r="J68">
        <f t="shared" si="7"/>
        <v>0</v>
      </c>
      <c r="K68">
        <f t="shared" si="7"/>
        <v>0</v>
      </c>
      <c r="L68">
        <f t="shared" si="8"/>
        <v>0</v>
      </c>
      <c r="M68">
        <f t="shared" si="15"/>
        <v>0</v>
      </c>
      <c r="N68" t="e">
        <f t="shared" si="16"/>
        <v>#REF!</v>
      </c>
    </row>
    <row r="69" spans="1:14" x14ac:dyDescent="0.25">
      <c r="A69">
        <f t="shared" si="14"/>
        <v>82000</v>
      </c>
      <c r="B69">
        <f t="shared" si="11"/>
        <v>0</v>
      </c>
      <c r="C69">
        <f t="shared" si="17"/>
        <v>0</v>
      </c>
      <c r="D69">
        <f t="shared" si="3"/>
        <v>0</v>
      </c>
      <c r="E69">
        <f t="shared" si="4"/>
        <v>0</v>
      </c>
      <c r="F69">
        <f t="shared" si="5"/>
        <v>0</v>
      </c>
      <c r="G69">
        <f t="shared" si="6"/>
        <v>0</v>
      </c>
      <c r="H69">
        <f t="shared" si="7"/>
        <v>0</v>
      </c>
      <c r="I69">
        <f t="shared" si="7"/>
        <v>0</v>
      </c>
      <c r="J69">
        <f t="shared" si="7"/>
        <v>0</v>
      </c>
      <c r="K69">
        <f t="shared" ref="K69:L132" si="18">IF(IF((K$3*10^12-$A70)*(K$3*10^12-$A69)*-1&lt;0,0,1)*IF(ABS(K$3*10^12-$A70)&gt;(K$3*10^12-$A69),$A69,$A70)=K70,0,IF((K$3*10^12-$A70)*(K$3*10^12-$A69)*-1&lt;0,0,1)*IF(ABS(K$3*10^12-$A70)&gt;(K$3*10^12-$A69),$A69,$A70))</f>
        <v>0</v>
      </c>
      <c r="L69">
        <f t="shared" si="8"/>
        <v>0</v>
      </c>
      <c r="M69">
        <f t="shared" si="15"/>
        <v>0</v>
      </c>
      <c r="N69" t="e">
        <f t="shared" si="16"/>
        <v>#REF!</v>
      </c>
    </row>
    <row r="70" spans="1:14" x14ac:dyDescent="0.25">
      <c r="A70">
        <f t="shared" si="14"/>
        <v>100000</v>
      </c>
      <c r="B70">
        <f t="shared" si="11"/>
        <v>0</v>
      </c>
      <c r="C70">
        <f t="shared" si="17"/>
        <v>0</v>
      </c>
      <c r="D70">
        <f t="shared" ref="D70:J70" si="19">IF(IF((D$3*10^12-$A71)*(D$3*10^12-$A70)*-1&lt;0,0,1)*IF(ABS(D$3*10^12-$A71)&gt;(D$3*10^12-$A70),$A70,$A71)=D71,0,IF((D$3*10^12-$A71)*(D$3*10^12-$A70)*-1&lt;0,0,1)*IF(ABS(D$3*10^12-$A71)&gt;(D$3*10^12-$A70),$A70,$A71))</f>
        <v>0</v>
      </c>
      <c r="E70">
        <f t="shared" si="19"/>
        <v>0</v>
      </c>
      <c r="F70">
        <f t="shared" si="19"/>
        <v>0</v>
      </c>
      <c r="G70">
        <f t="shared" si="19"/>
        <v>0</v>
      </c>
      <c r="H70">
        <f t="shared" si="19"/>
        <v>0</v>
      </c>
      <c r="I70">
        <f t="shared" si="19"/>
        <v>0</v>
      </c>
      <c r="J70">
        <f t="shared" si="19"/>
        <v>0</v>
      </c>
      <c r="K70">
        <f t="shared" si="18"/>
        <v>0</v>
      </c>
      <c r="L70">
        <f t="shared" si="18"/>
        <v>0</v>
      </c>
      <c r="M70">
        <f t="shared" ref="M70:M101" si="20">IF(IF((M$3*10^12-$A71)*(M$3*10^12-$A70)*-1&lt;0,0,1)*IF(ABS(M$3*10^12-$A71)&gt;(M$3*10^12-$A70),$A70,$A71)=M71,0,IF((M$3*10^12-$A71)*(M$3*10^12-$A70)*-1&lt;0,0,1)*IF(ABS(M$3*10^12-$A71)&gt;(M$3*10^12-$A70),$A70,$A71))</f>
        <v>0</v>
      </c>
      <c r="N70" t="e">
        <f t="shared" ref="N70:N101" si="21">IF(IF((N$3*10^12-$A71)*(N$3*10^12-$A70)*-1&lt;0,0,1)*IF(ABS(N$3*10^12-$A71)&gt;(N$3*10^12-$A70),$A70,$A71)=N71,0,IF((N$3*10^12-$A71)*(N$3*10^12-$A70)*-1&lt;0,0,1)*IF(ABS(N$3*10^12-$A71)&gt;(N$3*10^12-$A70),$A70,$A71))</f>
        <v>#REF!</v>
      </c>
    </row>
    <row r="71" spans="1:14" x14ac:dyDescent="0.25">
      <c r="A71">
        <f t="shared" si="14"/>
        <v>120000</v>
      </c>
      <c r="B71">
        <f t="shared" ref="B71:B134" si="22">IF(IF((B$3*10^12-$A72)*(B$3*10^12-$A71)*-1&lt;0,0,1)*IF(ABS(B$3*10^12-$A72)&gt;(B$3*10^12-$A71),$A71,$A72)=B72,0,IF((B$3*10^12-$A72)*(B$3*10^12-$A71)*-1&lt;0,0,1)*IF(ABS(B$3*10^12-$A72)&gt;(B$3*10^12-$A71),$A71,$A72))</f>
        <v>0</v>
      </c>
      <c r="C71">
        <f t="shared" ref="C71:F134" si="23">IF(IF((C$3*10^12-$A72)*(C$3*10^12-$A71)*-1&lt;0,0,1)*IF(ABS(C$3*10^12-$A72)&gt;(C$3*10^12-$A71),$A71,$A72)=C72,0,IF((C$3*10^12-$A72)*(C$3*10^12-$A71)*-1&lt;0,0,1)*IF(ABS(C$3*10^12-$A72)&gt;(C$3*10^12-$A71),$A71,$A72))</f>
        <v>0</v>
      </c>
      <c r="D71">
        <f t="shared" si="23"/>
        <v>0</v>
      </c>
      <c r="E71">
        <f t="shared" si="23"/>
        <v>0</v>
      </c>
      <c r="F71">
        <f t="shared" si="23"/>
        <v>0</v>
      </c>
      <c r="G71">
        <f t="shared" ref="G71:G102" si="24">IF(IF((G$3*10^12-$A72)*(G$3*10^12-$A71)*-1&lt;0,0,1)*IF(ABS(G$3*10^12-$A72)&gt;(G$3*10^12-$A71),$A71,$A72)=G72,0,IF((G$3*10^12-$A72)*(G$3*10^12-$A71)*-1&lt;0,0,1)*IF(ABS(G$3*10^12-$A72)&gt;(G$3*10^12-$A71),$A71,$A72))</f>
        <v>0</v>
      </c>
      <c r="H71">
        <f t="shared" ref="H71:H102" si="25">IF(IF((H$3*10^12-$A72)*(H$3*10^12-$A71)*-1&lt;0,0,1)*IF(ABS(H$3*10^12-$A72)&gt;(H$3*10^12-$A71),$A71,$A72)=H72,0,IF((H$3*10^12-$A72)*(H$3*10^12-$A71)*-1&lt;0,0,1)*IF(ABS(H$3*10^12-$A72)&gt;(H$3*10^12-$A71),$A71,$A72))</f>
        <v>0</v>
      </c>
      <c r="I71">
        <f t="shared" ref="I71:I102" si="26">IF(IF((I$3*10^12-$A72)*(I$3*10^12-$A71)*-1&lt;0,0,1)*IF(ABS(I$3*10^12-$A72)&gt;(I$3*10^12-$A71),$A71,$A72)=I72,0,IF((I$3*10^12-$A72)*(I$3*10^12-$A71)*-1&lt;0,0,1)*IF(ABS(I$3*10^12-$A72)&gt;(I$3*10^12-$A71),$A71,$A72))</f>
        <v>0</v>
      </c>
      <c r="J71">
        <f t="shared" ref="J71:J102" si="27">IF(IF((J$3*10^12-$A72)*(J$3*10^12-$A71)*-1&lt;0,0,1)*IF(ABS(J$3*10^12-$A72)&gt;(J$3*10^12-$A71),$A71,$A72)=J72,0,IF((J$3*10^12-$A72)*(J$3*10^12-$A71)*-1&lt;0,0,1)*IF(ABS(J$3*10^12-$A72)&gt;(J$3*10^12-$A71),$A71,$A72))</f>
        <v>0</v>
      </c>
      <c r="K71">
        <f t="shared" si="18"/>
        <v>0</v>
      </c>
      <c r="L71">
        <f t="shared" si="18"/>
        <v>0</v>
      </c>
      <c r="M71">
        <f t="shared" si="20"/>
        <v>0</v>
      </c>
      <c r="N71" t="e">
        <f t="shared" si="21"/>
        <v>#REF!</v>
      </c>
    </row>
    <row r="72" spans="1:14" x14ac:dyDescent="0.25">
      <c r="A72">
        <f t="shared" si="14"/>
        <v>150000</v>
      </c>
      <c r="B72">
        <f t="shared" si="22"/>
        <v>0</v>
      </c>
      <c r="C72">
        <f t="shared" si="23"/>
        <v>0</v>
      </c>
      <c r="D72">
        <f t="shared" si="23"/>
        <v>0</v>
      </c>
      <c r="E72">
        <f t="shared" si="23"/>
        <v>0</v>
      </c>
      <c r="F72">
        <f t="shared" si="23"/>
        <v>0</v>
      </c>
      <c r="G72">
        <f t="shared" si="24"/>
        <v>0</v>
      </c>
      <c r="H72">
        <f t="shared" si="25"/>
        <v>0</v>
      </c>
      <c r="I72">
        <f t="shared" si="26"/>
        <v>0</v>
      </c>
      <c r="J72">
        <f t="shared" si="27"/>
        <v>0</v>
      </c>
      <c r="K72">
        <f t="shared" si="18"/>
        <v>0</v>
      </c>
      <c r="L72">
        <f t="shared" si="18"/>
        <v>0</v>
      </c>
      <c r="M72">
        <f t="shared" si="20"/>
        <v>0</v>
      </c>
      <c r="N72" t="e">
        <f t="shared" si="21"/>
        <v>#REF!</v>
      </c>
    </row>
    <row r="73" spans="1:14" x14ac:dyDescent="0.25">
      <c r="A73">
        <f t="shared" si="14"/>
        <v>180000</v>
      </c>
      <c r="B73">
        <f t="shared" si="22"/>
        <v>0</v>
      </c>
      <c r="C73">
        <f t="shared" si="23"/>
        <v>0</v>
      </c>
      <c r="D73">
        <f t="shared" si="23"/>
        <v>0</v>
      </c>
      <c r="E73">
        <f t="shared" si="23"/>
        <v>0</v>
      </c>
      <c r="F73">
        <f t="shared" si="23"/>
        <v>0</v>
      </c>
      <c r="G73">
        <f t="shared" si="24"/>
        <v>0</v>
      </c>
      <c r="H73">
        <f t="shared" si="25"/>
        <v>0</v>
      </c>
      <c r="I73">
        <f t="shared" si="26"/>
        <v>0</v>
      </c>
      <c r="J73">
        <f t="shared" si="27"/>
        <v>0</v>
      </c>
      <c r="K73">
        <f t="shared" si="18"/>
        <v>0</v>
      </c>
      <c r="L73">
        <f t="shared" si="18"/>
        <v>0</v>
      </c>
      <c r="M73">
        <f t="shared" si="20"/>
        <v>0</v>
      </c>
      <c r="N73" t="e">
        <f t="shared" si="21"/>
        <v>#REF!</v>
      </c>
    </row>
    <row r="74" spans="1:14" x14ac:dyDescent="0.25">
      <c r="A74">
        <f t="shared" si="14"/>
        <v>220000</v>
      </c>
      <c r="B74">
        <f t="shared" si="22"/>
        <v>0</v>
      </c>
      <c r="C74">
        <f t="shared" si="23"/>
        <v>0</v>
      </c>
      <c r="D74">
        <f t="shared" si="23"/>
        <v>0</v>
      </c>
      <c r="E74">
        <f t="shared" si="23"/>
        <v>0</v>
      </c>
      <c r="F74">
        <f t="shared" si="23"/>
        <v>0</v>
      </c>
      <c r="G74">
        <f t="shared" si="24"/>
        <v>0</v>
      </c>
      <c r="H74">
        <f t="shared" si="25"/>
        <v>0</v>
      </c>
      <c r="I74">
        <f t="shared" si="26"/>
        <v>0</v>
      </c>
      <c r="J74">
        <f t="shared" si="27"/>
        <v>0</v>
      </c>
      <c r="K74">
        <f t="shared" si="18"/>
        <v>0</v>
      </c>
      <c r="L74">
        <f t="shared" si="18"/>
        <v>0</v>
      </c>
      <c r="M74">
        <f t="shared" si="20"/>
        <v>0</v>
      </c>
      <c r="N74" t="e">
        <f t="shared" si="21"/>
        <v>#REF!</v>
      </c>
    </row>
    <row r="75" spans="1:14" x14ac:dyDescent="0.25">
      <c r="A75">
        <f t="shared" si="14"/>
        <v>270000</v>
      </c>
      <c r="B75">
        <f t="shared" si="22"/>
        <v>0</v>
      </c>
      <c r="C75">
        <f t="shared" si="23"/>
        <v>0</v>
      </c>
      <c r="D75">
        <f t="shared" si="23"/>
        <v>0</v>
      </c>
      <c r="E75">
        <f t="shared" si="23"/>
        <v>0</v>
      </c>
      <c r="F75">
        <f t="shared" si="23"/>
        <v>0</v>
      </c>
      <c r="G75">
        <f t="shared" si="24"/>
        <v>0</v>
      </c>
      <c r="H75">
        <f t="shared" si="25"/>
        <v>0</v>
      </c>
      <c r="I75">
        <f t="shared" si="26"/>
        <v>0</v>
      </c>
      <c r="J75">
        <f t="shared" si="27"/>
        <v>0</v>
      </c>
      <c r="K75">
        <f t="shared" si="18"/>
        <v>0</v>
      </c>
      <c r="L75">
        <f t="shared" si="18"/>
        <v>0</v>
      </c>
      <c r="M75">
        <f t="shared" si="20"/>
        <v>0</v>
      </c>
      <c r="N75" t="e">
        <f t="shared" si="21"/>
        <v>#REF!</v>
      </c>
    </row>
    <row r="76" spans="1:14" x14ac:dyDescent="0.25">
      <c r="A76">
        <f t="shared" si="14"/>
        <v>330000</v>
      </c>
      <c r="B76">
        <f t="shared" si="22"/>
        <v>0</v>
      </c>
      <c r="C76">
        <f t="shared" si="23"/>
        <v>0</v>
      </c>
      <c r="D76">
        <f t="shared" si="23"/>
        <v>0</v>
      </c>
      <c r="E76">
        <f t="shared" si="23"/>
        <v>0</v>
      </c>
      <c r="F76">
        <f t="shared" si="23"/>
        <v>0</v>
      </c>
      <c r="G76">
        <f t="shared" si="24"/>
        <v>0</v>
      </c>
      <c r="H76">
        <f t="shared" si="25"/>
        <v>0</v>
      </c>
      <c r="I76">
        <f t="shared" si="26"/>
        <v>0</v>
      </c>
      <c r="J76">
        <f t="shared" si="27"/>
        <v>0</v>
      </c>
      <c r="K76">
        <f t="shared" si="18"/>
        <v>0</v>
      </c>
      <c r="L76">
        <f t="shared" si="18"/>
        <v>0</v>
      </c>
      <c r="M76">
        <f t="shared" si="20"/>
        <v>0</v>
      </c>
      <c r="N76" t="e">
        <f t="shared" si="21"/>
        <v>#REF!</v>
      </c>
    </row>
    <row r="77" spans="1:14" x14ac:dyDescent="0.25">
      <c r="A77">
        <f t="shared" si="14"/>
        <v>390000</v>
      </c>
      <c r="B77">
        <f t="shared" si="22"/>
        <v>0</v>
      </c>
      <c r="C77">
        <f t="shared" si="23"/>
        <v>0</v>
      </c>
      <c r="D77">
        <f t="shared" si="23"/>
        <v>0</v>
      </c>
      <c r="E77">
        <f t="shared" si="23"/>
        <v>0</v>
      </c>
      <c r="F77">
        <f t="shared" si="23"/>
        <v>0</v>
      </c>
      <c r="G77">
        <f t="shared" si="24"/>
        <v>0</v>
      </c>
      <c r="H77">
        <f t="shared" si="25"/>
        <v>0</v>
      </c>
      <c r="I77">
        <f t="shared" si="26"/>
        <v>0</v>
      </c>
      <c r="J77">
        <f t="shared" si="27"/>
        <v>0</v>
      </c>
      <c r="K77">
        <f t="shared" si="18"/>
        <v>0</v>
      </c>
      <c r="L77">
        <f t="shared" si="18"/>
        <v>0</v>
      </c>
      <c r="M77">
        <f t="shared" si="20"/>
        <v>0</v>
      </c>
      <c r="N77" t="e">
        <f t="shared" si="21"/>
        <v>#REF!</v>
      </c>
    </row>
    <row r="78" spans="1:14" x14ac:dyDescent="0.25">
      <c r="A78">
        <f t="shared" si="14"/>
        <v>470000</v>
      </c>
      <c r="B78">
        <f t="shared" si="22"/>
        <v>0</v>
      </c>
      <c r="C78">
        <f t="shared" si="23"/>
        <v>0</v>
      </c>
      <c r="D78">
        <f t="shared" si="23"/>
        <v>0</v>
      </c>
      <c r="E78">
        <f t="shared" si="23"/>
        <v>0</v>
      </c>
      <c r="F78">
        <f t="shared" si="23"/>
        <v>0</v>
      </c>
      <c r="G78">
        <f t="shared" si="24"/>
        <v>0</v>
      </c>
      <c r="H78">
        <f t="shared" si="25"/>
        <v>0</v>
      </c>
      <c r="I78">
        <f t="shared" si="26"/>
        <v>0</v>
      </c>
      <c r="J78">
        <f t="shared" si="27"/>
        <v>0</v>
      </c>
      <c r="K78">
        <f t="shared" si="18"/>
        <v>0</v>
      </c>
      <c r="L78">
        <f t="shared" si="18"/>
        <v>0</v>
      </c>
      <c r="M78">
        <f t="shared" si="20"/>
        <v>0</v>
      </c>
      <c r="N78" t="e">
        <f t="shared" si="21"/>
        <v>#REF!</v>
      </c>
    </row>
    <row r="79" spans="1:14" x14ac:dyDescent="0.25">
      <c r="A79">
        <f t="shared" si="14"/>
        <v>560000</v>
      </c>
      <c r="B79">
        <f t="shared" si="22"/>
        <v>0</v>
      </c>
      <c r="C79">
        <f t="shared" si="23"/>
        <v>0</v>
      </c>
      <c r="D79">
        <f t="shared" si="23"/>
        <v>0</v>
      </c>
      <c r="E79">
        <f t="shared" si="23"/>
        <v>0</v>
      </c>
      <c r="F79">
        <f t="shared" si="23"/>
        <v>0</v>
      </c>
      <c r="G79">
        <f t="shared" si="24"/>
        <v>0</v>
      </c>
      <c r="H79">
        <f t="shared" si="25"/>
        <v>0</v>
      </c>
      <c r="I79">
        <f t="shared" si="26"/>
        <v>0</v>
      </c>
      <c r="J79">
        <f t="shared" si="27"/>
        <v>0</v>
      </c>
      <c r="K79">
        <f t="shared" si="18"/>
        <v>0</v>
      </c>
      <c r="L79">
        <f t="shared" si="18"/>
        <v>0</v>
      </c>
      <c r="M79">
        <f t="shared" si="20"/>
        <v>0</v>
      </c>
      <c r="N79" t="e">
        <f t="shared" si="21"/>
        <v>#REF!</v>
      </c>
    </row>
    <row r="80" spans="1:14" x14ac:dyDescent="0.25">
      <c r="A80">
        <f t="shared" si="14"/>
        <v>680000</v>
      </c>
      <c r="B80">
        <f t="shared" si="22"/>
        <v>0</v>
      </c>
      <c r="C80">
        <f t="shared" si="23"/>
        <v>0</v>
      </c>
      <c r="D80">
        <f t="shared" si="23"/>
        <v>0</v>
      </c>
      <c r="E80">
        <f t="shared" si="23"/>
        <v>0</v>
      </c>
      <c r="F80">
        <f t="shared" si="23"/>
        <v>0</v>
      </c>
      <c r="G80">
        <f t="shared" si="24"/>
        <v>0</v>
      </c>
      <c r="H80">
        <f t="shared" si="25"/>
        <v>0</v>
      </c>
      <c r="I80">
        <f t="shared" si="26"/>
        <v>0</v>
      </c>
      <c r="J80">
        <f t="shared" si="27"/>
        <v>0</v>
      </c>
      <c r="K80">
        <f t="shared" si="18"/>
        <v>0</v>
      </c>
      <c r="L80">
        <f t="shared" si="18"/>
        <v>0</v>
      </c>
      <c r="M80">
        <f t="shared" si="20"/>
        <v>0</v>
      </c>
      <c r="N80" t="e">
        <f t="shared" si="21"/>
        <v>#REF!</v>
      </c>
    </row>
    <row r="81" spans="1:14" x14ac:dyDescent="0.25">
      <c r="A81">
        <f t="shared" si="14"/>
        <v>820000</v>
      </c>
      <c r="B81">
        <f t="shared" si="22"/>
        <v>0</v>
      </c>
      <c r="C81">
        <f t="shared" si="23"/>
        <v>0</v>
      </c>
      <c r="D81">
        <f t="shared" si="23"/>
        <v>0</v>
      </c>
      <c r="E81">
        <f t="shared" si="23"/>
        <v>0</v>
      </c>
      <c r="F81">
        <f t="shared" si="23"/>
        <v>0</v>
      </c>
      <c r="G81">
        <f t="shared" si="24"/>
        <v>0</v>
      </c>
      <c r="H81">
        <f t="shared" si="25"/>
        <v>0</v>
      </c>
      <c r="I81">
        <f t="shared" si="26"/>
        <v>0</v>
      </c>
      <c r="J81">
        <f t="shared" si="27"/>
        <v>0</v>
      </c>
      <c r="K81">
        <f t="shared" si="18"/>
        <v>0</v>
      </c>
      <c r="L81">
        <f t="shared" si="18"/>
        <v>0</v>
      </c>
      <c r="M81">
        <f t="shared" si="20"/>
        <v>0</v>
      </c>
      <c r="N81" t="e">
        <f t="shared" si="21"/>
        <v>#REF!</v>
      </c>
    </row>
    <row r="82" spans="1:14" x14ac:dyDescent="0.25">
      <c r="A82">
        <f t="shared" si="14"/>
        <v>1000000</v>
      </c>
      <c r="B82">
        <f t="shared" si="22"/>
        <v>0</v>
      </c>
      <c r="C82">
        <f t="shared" si="23"/>
        <v>0</v>
      </c>
      <c r="D82">
        <f t="shared" si="23"/>
        <v>0</v>
      </c>
      <c r="E82">
        <f t="shared" si="23"/>
        <v>0</v>
      </c>
      <c r="F82">
        <f t="shared" si="23"/>
        <v>0</v>
      </c>
      <c r="G82">
        <f t="shared" si="24"/>
        <v>0</v>
      </c>
      <c r="H82">
        <f t="shared" si="25"/>
        <v>0</v>
      </c>
      <c r="I82">
        <f t="shared" si="26"/>
        <v>0</v>
      </c>
      <c r="J82">
        <f t="shared" si="27"/>
        <v>0</v>
      </c>
      <c r="K82">
        <f t="shared" si="18"/>
        <v>0</v>
      </c>
      <c r="L82">
        <f t="shared" si="18"/>
        <v>0</v>
      </c>
      <c r="M82">
        <f t="shared" si="20"/>
        <v>0</v>
      </c>
      <c r="N82" t="e">
        <f t="shared" si="21"/>
        <v>#REF!</v>
      </c>
    </row>
    <row r="83" spans="1:14" x14ac:dyDescent="0.25">
      <c r="A83">
        <f t="shared" si="14"/>
        <v>1200000</v>
      </c>
      <c r="B83">
        <f t="shared" si="22"/>
        <v>0</v>
      </c>
      <c r="C83">
        <f t="shared" si="23"/>
        <v>0</v>
      </c>
      <c r="D83">
        <f t="shared" si="23"/>
        <v>0</v>
      </c>
      <c r="E83">
        <f t="shared" si="23"/>
        <v>0</v>
      </c>
      <c r="F83">
        <f t="shared" si="23"/>
        <v>0</v>
      </c>
      <c r="G83">
        <f t="shared" si="24"/>
        <v>0</v>
      </c>
      <c r="H83">
        <f t="shared" si="25"/>
        <v>0</v>
      </c>
      <c r="I83">
        <f t="shared" si="26"/>
        <v>0</v>
      </c>
      <c r="J83">
        <f t="shared" si="27"/>
        <v>0</v>
      </c>
      <c r="K83">
        <f t="shared" si="18"/>
        <v>0</v>
      </c>
      <c r="L83">
        <f t="shared" si="18"/>
        <v>0</v>
      </c>
      <c r="M83">
        <f t="shared" si="20"/>
        <v>0</v>
      </c>
      <c r="N83" t="e">
        <f t="shared" si="21"/>
        <v>#REF!</v>
      </c>
    </row>
    <row r="84" spans="1:14" x14ac:dyDescent="0.25">
      <c r="A84">
        <f t="shared" si="14"/>
        <v>1500000</v>
      </c>
      <c r="B84">
        <f t="shared" si="22"/>
        <v>0</v>
      </c>
      <c r="C84">
        <f t="shared" si="23"/>
        <v>0</v>
      </c>
      <c r="D84">
        <f t="shared" si="23"/>
        <v>0</v>
      </c>
      <c r="E84">
        <f t="shared" si="23"/>
        <v>0</v>
      </c>
      <c r="F84">
        <f t="shared" si="23"/>
        <v>0</v>
      </c>
      <c r="G84">
        <f t="shared" si="24"/>
        <v>0</v>
      </c>
      <c r="H84">
        <f t="shared" si="25"/>
        <v>0</v>
      </c>
      <c r="I84">
        <f t="shared" si="26"/>
        <v>0</v>
      </c>
      <c r="J84">
        <f t="shared" si="27"/>
        <v>0</v>
      </c>
      <c r="K84">
        <f t="shared" si="18"/>
        <v>0</v>
      </c>
      <c r="L84">
        <f t="shared" si="18"/>
        <v>0</v>
      </c>
      <c r="M84">
        <f t="shared" si="20"/>
        <v>0</v>
      </c>
      <c r="N84" t="e">
        <f t="shared" si="21"/>
        <v>#REF!</v>
      </c>
    </row>
    <row r="85" spans="1:14" x14ac:dyDescent="0.25">
      <c r="A85">
        <f t="shared" si="14"/>
        <v>1800000</v>
      </c>
      <c r="B85">
        <f t="shared" si="22"/>
        <v>0</v>
      </c>
      <c r="C85">
        <f t="shared" si="23"/>
        <v>0</v>
      </c>
      <c r="D85">
        <f t="shared" si="23"/>
        <v>0</v>
      </c>
      <c r="E85">
        <f t="shared" si="23"/>
        <v>0</v>
      </c>
      <c r="F85">
        <f t="shared" si="23"/>
        <v>0</v>
      </c>
      <c r="G85">
        <f t="shared" si="24"/>
        <v>0</v>
      </c>
      <c r="H85">
        <f t="shared" si="25"/>
        <v>0</v>
      </c>
      <c r="I85">
        <f t="shared" si="26"/>
        <v>0</v>
      </c>
      <c r="J85">
        <f t="shared" si="27"/>
        <v>0</v>
      </c>
      <c r="K85">
        <f t="shared" si="18"/>
        <v>0</v>
      </c>
      <c r="L85">
        <f t="shared" si="18"/>
        <v>0</v>
      </c>
      <c r="M85">
        <f t="shared" si="20"/>
        <v>0</v>
      </c>
      <c r="N85" t="e">
        <f t="shared" si="21"/>
        <v>#REF!</v>
      </c>
    </row>
    <row r="86" spans="1:14" x14ac:dyDescent="0.25">
      <c r="A86">
        <f t="shared" si="14"/>
        <v>2200000</v>
      </c>
      <c r="B86">
        <f t="shared" si="22"/>
        <v>0</v>
      </c>
      <c r="C86">
        <f t="shared" si="23"/>
        <v>0</v>
      </c>
      <c r="D86">
        <f t="shared" si="23"/>
        <v>0</v>
      </c>
      <c r="E86">
        <f t="shared" si="23"/>
        <v>0</v>
      </c>
      <c r="F86">
        <f t="shared" si="23"/>
        <v>0</v>
      </c>
      <c r="G86">
        <f t="shared" si="24"/>
        <v>0</v>
      </c>
      <c r="H86">
        <f t="shared" si="25"/>
        <v>0</v>
      </c>
      <c r="I86">
        <f t="shared" si="26"/>
        <v>0</v>
      </c>
      <c r="J86">
        <f t="shared" si="27"/>
        <v>0</v>
      </c>
      <c r="K86">
        <f t="shared" si="18"/>
        <v>0</v>
      </c>
      <c r="L86">
        <f t="shared" si="18"/>
        <v>0</v>
      </c>
      <c r="M86">
        <f t="shared" si="20"/>
        <v>0</v>
      </c>
      <c r="N86" t="e">
        <f t="shared" si="21"/>
        <v>#REF!</v>
      </c>
    </row>
    <row r="87" spans="1:14" x14ac:dyDescent="0.25">
      <c r="A87">
        <f t="shared" si="14"/>
        <v>2700000</v>
      </c>
      <c r="B87">
        <f t="shared" si="22"/>
        <v>0</v>
      </c>
      <c r="C87">
        <f t="shared" si="23"/>
        <v>0</v>
      </c>
      <c r="D87">
        <f t="shared" si="23"/>
        <v>0</v>
      </c>
      <c r="E87">
        <f t="shared" si="23"/>
        <v>0</v>
      </c>
      <c r="F87">
        <f t="shared" si="23"/>
        <v>0</v>
      </c>
      <c r="G87">
        <f t="shared" si="24"/>
        <v>0</v>
      </c>
      <c r="H87">
        <f t="shared" si="25"/>
        <v>0</v>
      </c>
      <c r="I87">
        <f t="shared" si="26"/>
        <v>0</v>
      </c>
      <c r="J87">
        <f t="shared" si="27"/>
        <v>0</v>
      </c>
      <c r="K87">
        <f t="shared" si="18"/>
        <v>0</v>
      </c>
      <c r="L87">
        <f t="shared" si="18"/>
        <v>0</v>
      </c>
      <c r="M87">
        <f t="shared" si="20"/>
        <v>0</v>
      </c>
      <c r="N87" t="e">
        <f t="shared" si="21"/>
        <v>#REF!</v>
      </c>
    </row>
    <row r="88" spans="1:14" x14ac:dyDescent="0.25">
      <c r="A88">
        <f t="shared" si="14"/>
        <v>3300000</v>
      </c>
      <c r="B88">
        <f t="shared" si="22"/>
        <v>0</v>
      </c>
      <c r="C88">
        <f t="shared" si="23"/>
        <v>0</v>
      </c>
      <c r="D88">
        <f t="shared" si="23"/>
        <v>0</v>
      </c>
      <c r="E88">
        <f t="shared" si="23"/>
        <v>0</v>
      </c>
      <c r="F88">
        <f t="shared" si="23"/>
        <v>0</v>
      </c>
      <c r="G88">
        <f t="shared" si="24"/>
        <v>0</v>
      </c>
      <c r="H88">
        <f t="shared" si="25"/>
        <v>0</v>
      </c>
      <c r="I88">
        <f t="shared" si="26"/>
        <v>0</v>
      </c>
      <c r="J88">
        <f t="shared" si="27"/>
        <v>0</v>
      </c>
      <c r="K88">
        <f t="shared" si="18"/>
        <v>0</v>
      </c>
      <c r="L88">
        <f t="shared" si="18"/>
        <v>0</v>
      </c>
      <c r="M88">
        <f t="shared" si="20"/>
        <v>0</v>
      </c>
      <c r="N88" t="e">
        <f t="shared" si="21"/>
        <v>#REF!</v>
      </c>
    </row>
    <row r="89" spans="1:14" x14ac:dyDescent="0.25">
      <c r="A89">
        <f t="shared" si="14"/>
        <v>3900000</v>
      </c>
      <c r="B89">
        <f t="shared" si="22"/>
        <v>0</v>
      </c>
      <c r="C89">
        <f t="shared" si="23"/>
        <v>0</v>
      </c>
      <c r="D89">
        <f t="shared" si="23"/>
        <v>0</v>
      </c>
      <c r="E89">
        <f t="shared" si="23"/>
        <v>0</v>
      </c>
      <c r="F89">
        <f t="shared" si="23"/>
        <v>0</v>
      </c>
      <c r="G89">
        <f t="shared" si="24"/>
        <v>0</v>
      </c>
      <c r="H89">
        <f t="shared" si="25"/>
        <v>0</v>
      </c>
      <c r="I89">
        <f t="shared" si="26"/>
        <v>0</v>
      </c>
      <c r="J89">
        <f t="shared" si="27"/>
        <v>0</v>
      </c>
      <c r="K89">
        <f t="shared" si="18"/>
        <v>0</v>
      </c>
      <c r="L89">
        <f t="shared" si="18"/>
        <v>0</v>
      </c>
      <c r="M89">
        <f t="shared" si="20"/>
        <v>0</v>
      </c>
      <c r="N89" t="e">
        <f t="shared" si="21"/>
        <v>#REF!</v>
      </c>
    </row>
    <row r="90" spans="1:14" x14ac:dyDescent="0.25">
      <c r="A90">
        <f t="shared" si="14"/>
        <v>4700000</v>
      </c>
      <c r="B90">
        <f t="shared" si="22"/>
        <v>0</v>
      </c>
      <c r="C90">
        <f t="shared" si="23"/>
        <v>0</v>
      </c>
      <c r="D90">
        <f t="shared" si="23"/>
        <v>0</v>
      </c>
      <c r="E90">
        <f t="shared" si="23"/>
        <v>0</v>
      </c>
      <c r="F90">
        <f t="shared" si="23"/>
        <v>0</v>
      </c>
      <c r="G90">
        <f t="shared" si="24"/>
        <v>0</v>
      </c>
      <c r="H90">
        <f t="shared" si="25"/>
        <v>0</v>
      </c>
      <c r="I90">
        <f t="shared" si="26"/>
        <v>0</v>
      </c>
      <c r="J90">
        <f t="shared" si="27"/>
        <v>0</v>
      </c>
      <c r="K90">
        <f t="shared" si="18"/>
        <v>0</v>
      </c>
      <c r="L90">
        <f t="shared" si="18"/>
        <v>0</v>
      </c>
      <c r="M90">
        <f t="shared" si="20"/>
        <v>0</v>
      </c>
      <c r="N90" t="e">
        <f t="shared" si="21"/>
        <v>#REF!</v>
      </c>
    </row>
    <row r="91" spans="1:14" x14ac:dyDescent="0.25">
      <c r="A91">
        <f t="shared" si="14"/>
        <v>5600000</v>
      </c>
      <c r="B91">
        <f t="shared" si="22"/>
        <v>0</v>
      </c>
      <c r="C91">
        <f t="shared" si="23"/>
        <v>0</v>
      </c>
      <c r="D91">
        <f t="shared" si="23"/>
        <v>0</v>
      </c>
      <c r="E91">
        <f t="shared" si="23"/>
        <v>0</v>
      </c>
      <c r="F91">
        <f t="shared" si="23"/>
        <v>0</v>
      </c>
      <c r="G91">
        <f t="shared" si="24"/>
        <v>0</v>
      </c>
      <c r="H91">
        <f t="shared" si="25"/>
        <v>0</v>
      </c>
      <c r="I91">
        <f t="shared" si="26"/>
        <v>0</v>
      </c>
      <c r="J91">
        <f t="shared" si="27"/>
        <v>0</v>
      </c>
      <c r="K91">
        <f t="shared" si="18"/>
        <v>0</v>
      </c>
      <c r="L91">
        <f t="shared" si="18"/>
        <v>0</v>
      </c>
      <c r="M91">
        <f t="shared" si="20"/>
        <v>0</v>
      </c>
      <c r="N91" t="e">
        <f t="shared" si="21"/>
        <v>#REF!</v>
      </c>
    </row>
    <row r="92" spans="1:14" x14ac:dyDescent="0.25">
      <c r="A92">
        <f t="shared" si="14"/>
        <v>6800000</v>
      </c>
      <c r="B92">
        <f t="shared" si="22"/>
        <v>0</v>
      </c>
      <c r="C92">
        <f t="shared" si="23"/>
        <v>0</v>
      </c>
      <c r="D92">
        <f t="shared" si="23"/>
        <v>0</v>
      </c>
      <c r="E92">
        <f t="shared" si="23"/>
        <v>0</v>
      </c>
      <c r="F92">
        <f t="shared" si="23"/>
        <v>0</v>
      </c>
      <c r="G92">
        <f t="shared" si="24"/>
        <v>0</v>
      </c>
      <c r="H92">
        <f t="shared" si="25"/>
        <v>0</v>
      </c>
      <c r="I92">
        <f t="shared" si="26"/>
        <v>0</v>
      </c>
      <c r="J92">
        <f t="shared" si="27"/>
        <v>0</v>
      </c>
      <c r="K92">
        <f t="shared" si="18"/>
        <v>0</v>
      </c>
      <c r="L92">
        <f t="shared" si="18"/>
        <v>0</v>
      </c>
      <c r="M92">
        <f t="shared" si="20"/>
        <v>0</v>
      </c>
      <c r="N92" t="e">
        <f t="shared" si="21"/>
        <v>#REF!</v>
      </c>
    </row>
    <row r="93" spans="1:14" x14ac:dyDescent="0.25">
      <c r="A93">
        <f t="shared" si="14"/>
        <v>8200000</v>
      </c>
      <c r="B93">
        <f t="shared" si="22"/>
        <v>0</v>
      </c>
      <c r="C93">
        <f t="shared" si="23"/>
        <v>0</v>
      </c>
      <c r="D93">
        <f t="shared" si="23"/>
        <v>0</v>
      </c>
      <c r="E93">
        <f t="shared" si="23"/>
        <v>0</v>
      </c>
      <c r="F93">
        <f t="shared" si="23"/>
        <v>0</v>
      </c>
      <c r="G93">
        <f t="shared" si="24"/>
        <v>0</v>
      </c>
      <c r="H93">
        <f t="shared" si="25"/>
        <v>0</v>
      </c>
      <c r="I93">
        <f t="shared" si="26"/>
        <v>0</v>
      </c>
      <c r="J93">
        <f t="shared" si="27"/>
        <v>0</v>
      </c>
      <c r="K93">
        <f t="shared" si="18"/>
        <v>0</v>
      </c>
      <c r="L93">
        <f t="shared" si="18"/>
        <v>0</v>
      </c>
      <c r="M93">
        <f t="shared" si="20"/>
        <v>0</v>
      </c>
      <c r="N93" t="e">
        <f t="shared" si="21"/>
        <v>#REF!</v>
      </c>
    </row>
    <row r="94" spans="1:14" x14ac:dyDescent="0.25">
      <c r="A94">
        <f t="shared" si="14"/>
        <v>10000000</v>
      </c>
      <c r="B94">
        <f t="shared" si="22"/>
        <v>0</v>
      </c>
      <c r="C94">
        <f t="shared" si="23"/>
        <v>0</v>
      </c>
      <c r="D94">
        <f t="shared" si="23"/>
        <v>0</v>
      </c>
      <c r="E94">
        <f t="shared" si="23"/>
        <v>0</v>
      </c>
      <c r="F94">
        <f t="shared" si="23"/>
        <v>0</v>
      </c>
      <c r="G94">
        <f t="shared" si="24"/>
        <v>0</v>
      </c>
      <c r="H94">
        <f t="shared" si="25"/>
        <v>0</v>
      </c>
      <c r="I94">
        <f t="shared" si="26"/>
        <v>0</v>
      </c>
      <c r="J94">
        <f t="shared" si="27"/>
        <v>0</v>
      </c>
      <c r="K94">
        <f t="shared" si="18"/>
        <v>0</v>
      </c>
      <c r="L94">
        <f t="shared" si="18"/>
        <v>0</v>
      </c>
      <c r="M94">
        <f t="shared" si="20"/>
        <v>0</v>
      </c>
      <c r="N94" t="e">
        <f t="shared" si="21"/>
        <v>#REF!</v>
      </c>
    </row>
    <row r="95" spans="1:14" x14ac:dyDescent="0.25">
      <c r="A95">
        <f t="shared" si="14"/>
        <v>12000000</v>
      </c>
      <c r="B95">
        <f t="shared" si="22"/>
        <v>0</v>
      </c>
      <c r="C95">
        <f t="shared" si="23"/>
        <v>0</v>
      </c>
      <c r="D95">
        <f t="shared" si="23"/>
        <v>0</v>
      </c>
      <c r="E95">
        <f t="shared" si="23"/>
        <v>0</v>
      </c>
      <c r="F95">
        <f t="shared" si="23"/>
        <v>0</v>
      </c>
      <c r="G95">
        <f t="shared" si="24"/>
        <v>0</v>
      </c>
      <c r="H95">
        <f t="shared" si="25"/>
        <v>0</v>
      </c>
      <c r="I95">
        <f t="shared" si="26"/>
        <v>0</v>
      </c>
      <c r="J95">
        <f t="shared" si="27"/>
        <v>0</v>
      </c>
      <c r="K95">
        <f t="shared" si="18"/>
        <v>0</v>
      </c>
      <c r="L95">
        <f t="shared" si="18"/>
        <v>0</v>
      </c>
      <c r="M95">
        <f t="shared" si="20"/>
        <v>0</v>
      </c>
      <c r="N95" t="e">
        <f t="shared" si="21"/>
        <v>#REF!</v>
      </c>
    </row>
    <row r="96" spans="1:14" x14ac:dyDescent="0.25">
      <c r="A96">
        <f t="shared" si="14"/>
        <v>15000000</v>
      </c>
      <c r="B96">
        <f t="shared" si="22"/>
        <v>0</v>
      </c>
      <c r="C96">
        <f t="shared" si="23"/>
        <v>0</v>
      </c>
      <c r="D96">
        <f t="shared" si="23"/>
        <v>0</v>
      </c>
      <c r="E96">
        <f t="shared" si="23"/>
        <v>0</v>
      </c>
      <c r="F96">
        <f t="shared" si="23"/>
        <v>0</v>
      </c>
      <c r="G96">
        <f t="shared" si="24"/>
        <v>0</v>
      </c>
      <c r="H96">
        <f t="shared" si="25"/>
        <v>0</v>
      </c>
      <c r="I96">
        <f t="shared" si="26"/>
        <v>0</v>
      </c>
      <c r="J96">
        <f t="shared" si="27"/>
        <v>0</v>
      </c>
      <c r="K96">
        <f t="shared" si="18"/>
        <v>0</v>
      </c>
      <c r="L96">
        <f t="shared" si="18"/>
        <v>0</v>
      </c>
      <c r="M96">
        <f t="shared" si="20"/>
        <v>0</v>
      </c>
      <c r="N96" t="e">
        <f t="shared" si="21"/>
        <v>#REF!</v>
      </c>
    </row>
    <row r="97" spans="1:14" x14ac:dyDescent="0.25">
      <c r="A97">
        <f t="shared" si="14"/>
        <v>18000000</v>
      </c>
      <c r="B97">
        <f t="shared" si="22"/>
        <v>0</v>
      </c>
      <c r="C97">
        <f t="shared" si="23"/>
        <v>0</v>
      </c>
      <c r="D97">
        <f t="shared" si="23"/>
        <v>0</v>
      </c>
      <c r="E97">
        <f t="shared" si="23"/>
        <v>0</v>
      </c>
      <c r="F97">
        <f t="shared" si="23"/>
        <v>0</v>
      </c>
      <c r="G97">
        <f t="shared" si="24"/>
        <v>18000000</v>
      </c>
      <c r="H97">
        <f t="shared" si="25"/>
        <v>0</v>
      </c>
      <c r="I97">
        <f t="shared" si="26"/>
        <v>0</v>
      </c>
      <c r="J97">
        <f t="shared" si="27"/>
        <v>0</v>
      </c>
      <c r="K97">
        <f t="shared" si="18"/>
        <v>0</v>
      </c>
      <c r="L97">
        <f t="shared" si="18"/>
        <v>0</v>
      </c>
      <c r="M97">
        <f t="shared" si="20"/>
        <v>0</v>
      </c>
      <c r="N97" t="e">
        <f t="shared" si="21"/>
        <v>#REF!</v>
      </c>
    </row>
    <row r="98" spans="1:14" x14ac:dyDescent="0.25">
      <c r="A98">
        <f t="shared" si="14"/>
        <v>22000000</v>
      </c>
      <c r="B98">
        <f t="shared" si="22"/>
        <v>0</v>
      </c>
      <c r="C98">
        <f t="shared" si="23"/>
        <v>0</v>
      </c>
      <c r="D98">
        <f t="shared" si="23"/>
        <v>0</v>
      </c>
      <c r="E98">
        <f t="shared" si="23"/>
        <v>0</v>
      </c>
      <c r="F98">
        <f t="shared" si="23"/>
        <v>0</v>
      </c>
      <c r="G98">
        <f t="shared" si="24"/>
        <v>0</v>
      </c>
      <c r="H98">
        <f t="shared" si="25"/>
        <v>0</v>
      </c>
      <c r="I98">
        <f t="shared" si="26"/>
        <v>0</v>
      </c>
      <c r="J98">
        <f t="shared" si="27"/>
        <v>0</v>
      </c>
      <c r="K98">
        <f t="shared" si="18"/>
        <v>0</v>
      </c>
      <c r="L98">
        <f t="shared" si="18"/>
        <v>0</v>
      </c>
      <c r="M98">
        <f t="shared" si="20"/>
        <v>0</v>
      </c>
      <c r="N98" t="e">
        <f t="shared" si="21"/>
        <v>#REF!</v>
      </c>
    </row>
    <row r="99" spans="1:14" x14ac:dyDescent="0.25">
      <c r="A99">
        <f t="shared" ref="A99:A159" si="28">A87*10</f>
        <v>27000000</v>
      </c>
      <c r="B99">
        <f t="shared" si="22"/>
        <v>0</v>
      </c>
      <c r="C99">
        <f t="shared" si="23"/>
        <v>0</v>
      </c>
      <c r="D99">
        <f t="shared" si="23"/>
        <v>0</v>
      </c>
      <c r="E99">
        <f t="shared" si="23"/>
        <v>0</v>
      </c>
      <c r="F99">
        <f t="shared" si="23"/>
        <v>0</v>
      </c>
      <c r="G99">
        <f t="shared" si="24"/>
        <v>0</v>
      </c>
      <c r="H99">
        <f t="shared" si="25"/>
        <v>0</v>
      </c>
      <c r="I99">
        <f t="shared" si="26"/>
        <v>0</v>
      </c>
      <c r="J99">
        <f t="shared" si="27"/>
        <v>0</v>
      </c>
      <c r="K99">
        <f t="shared" si="18"/>
        <v>0</v>
      </c>
      <c r="L99">
        <f t="shared" si="18"/>
        <v>0</v>
      </c>
      <c r="M99">
        <f t="shared" si="20"/>
        <v>0</v>
      </c>
      <c r="N99" t="e">
        <f t="shared" si="21"/>
        <v>#REF!</v>
      </c>
    </row>
    <row r="100" spans="1:14" x14ac:dyDescent="0.25">
      <c r="A100">
        <f t="shared" si="28"/>
        <v>33000000</v>
      </c>
      <c r="B100">
        <f t="shared" si="22"/>
        <v>0</v>
      </c>
      <c r="C100">
        <f t="shared" si="23"/>
        <v>0</v>
      </c>
      <c r="D100">
        <f t="shared" si="23"/>
        <v>0</v>
      </c>
      <c r="E100">
        <f t="shared" si="23"/>
        <v>0</v>
      </c>
      <c r="F100">
        <f t="shared" si="23"/>
        <v>0</v>
      </c>
      <c r="G100">
        <f t="shared" si="24"/>
        <v>0</v>
      </c>
      <c r="H100">
        <f t="shared" si="25"/>
        <v>0</v>
      </c>
      <c r="I100">
        <f t="shared" si="26"/>
        <v>0</v>
      </c>
      <c r="J100">
        <f t="shared" si="27"/>
        <v>0</v>
      </c>
      <c r="K100">
        <f t="shared" si="18"/>
        <v>0</v>
      </c>
      <c r="L100">
        <f t="shared" si="18"/>
        <v>0</v>
      </c>
      <c r="M100">
        <f t="shared" si="20"/>
        <v>0</v>
      </c>
      <c r="N100" t="e">
        <f t="shared" si="21"/>
        <v>#REF!</v>
      </c>
    </row>
    <row r="101" spans="1:14" x14ac:dyDescent="0.25">
      <c r="A101">
        <f t="shared" si="28"/>
        <v>39000000</v>
      </c>
      <c r="B101">
        <f t="shared" si="22"/>
        <v>0</v>
      </c>
      <c r="C101">
        <f t="shared" si="23"/>
        <v>0</v>
      </c>
      <c r="D101">
        <f t="shared" si="23"/>
        <v>0</v>
      </c>
      <c r="E101">
        <f t="shared" si="23"/>
        <v>0</v>
      </c>
      <c r="F101">
        <f t="shared" si="23"/>
        <v>0</v>
      </c>
      <c r="G101">
        <f t="shared" si="24"/>
        <v>0</v>
      </c>
      <c r="H101">
        <f t="shared" si="25"/>
        <v>0</v>
      </c>
      <c r="I101">
        <f t="shared" si="26"/>
        <v>0</v>
      </c>
      <c r="J101">
        <f t="shared" si="27"/>
        <v>0</v>
      </c>
      <c r="K101">
        <f t="shared" si="18"/>
        <v>0</v>
      </c>
      <c r="L101">
        <f t="shared" si="18"/>
        <v>0</v>
      </c>
      <c r="M101">
        <f t="shared" si="20"/>
        <v>0</v>
      </c>
      <c r="N101" t="e">
        <f t="shared" si="21"/>
        <v>#REF!</v>
      </c>
    </row>
    <row r="102" spans="1:14" x14ac:dyDescent="0.25">
      <c r="A102">
        <f t="shared" si="28"/>
        <v>47000000</v>
      </c>
      <c r="B102">
        <f t="shared" si="22"/>
        <v>0</v>
      </c>
      <c r="C102">
        <f t="shared" si="23"/>
        <v>0</v>
      </c>
      <c r="D102">
        <f t="shared" si="23"/>
        <v>0</v>
      </c>
      <c r="E102">
        <f t="shared" si="23"/>
        <v>0</v>
      </c>
      <c r="F102">
        <f t="shared" si="23"/>
        <v>47000000</v>
      </c>
      <c r="G102">
        <f t="shared" si="24"/>
        <v>0</v>
      </c>
      <c r="H102">
        <f t="shared" si="25"/>
        <v>0</v>
      </c>
      <c r="I102">
        <f t="shared" si="26"/>
        <v>0</v>
      </c>
      <c r="J102">
        <f t="shared" si="27"/>
        <v>0</v>
      </c>
      <c r="K102">
        <f t="shared" si="18"/>
        <v>0</v>
      </c>
      <c r="L102">
        <f t="shared" si="18"/>
        <v>0</v>
      </c>
      <c r="M102">
        <f t="shared" ref="M102:M133" si="29">IF(IF((M$3*10^12-$A103)*(M$3*10^12-$A102)*-1&lt;0,0,1)*IF(ABS(M$3*10^12-$A103)&gt;(M$3*10^12-$A102),$A102,$A103)=M103,0,IF((M$3*10^12-$A103)*(M$3*10^12-$A102)*-1&lt;0,0,1)*IF(ABS(M$3*10^12-$A103)&gt;(M$3*10^12-$A102),$A102,$A103))</f>
        <v>0</v>
      </c>
      <c r="N102" t="e">
        <f t="shared" ref="N102:N133" si="30">IF(IF((N$3*10^12-$A103)*(N$3*10^12-$A102)*-1&lt;0,0,1)*IF(ABS(N$3*10^12-$A103)&gt;(N$3*10^12-$A102),$A102,$A103)=N103,0,IF((N$3*10^12-$A103)*(N$3*10^12-$A102)*-1&lt;0,0,1)*IF(ABS(N$3*10^12-$A103)&gt;(N$3*10^12-$A102),$A102,$A103))</f>
        <v>#REF!</v>
      </c>
    </row>
    <row r="103" spans="1:14" x14ac:dyDescent="0.25">
      <c r="A103">
        <f t="shared" si="28"/>
        <v>56000000</v>
      </c>
      <c r="B103">
        <f t="shared" si="22"/>
        <v>0</v>
      </c>
      <c r="C103">
        <f t="shared" si="23"/>
        <v>0</v>
      </c>
      <c r="D103">
        <f t="shared" si="23"/>
        <v>0</v>
      </c>
      <c r="E103">
        <f t="shared" si="23"/>
        <v>0</v>
      </c>
      <c r="F103">
        <f t="shared" si="23"/>
        <v>0</v>
      </c>
      <c r="G103">
        <f t="shared" ref="G103:G134" si="31">IF(IF((G$3*10^12-$A104)*(G$3*10^12-$A103)*-1&lt;0,0,1)*IF(ABS(G$3*10^12-$A104)&gt;(G$3*10^12-$A103),$A103,$A104)=G104,0,IF((G$3*10^12-$A104)*(G$3*10^12-$A103)*-1&lt;0,0,1)*IF(ABS(G$3*10^12-$A104)&gt;(G$3*10^12-$A103),$A103,$A104))</f>
        <v>0</v>
      </c>
      <c r="H103">
        <f t="shared" ref="H103:H134" si="32">IF(IF((H$3*10^12-$A104)*(H$3*10^12-$A103)*-1&lt;0,0,1)*IF(ABS(H$3*10^12-$A104)&gt;(H$3*10^12-$A103),$A103,$A104)=H104,0,IF((H$3*10^12-$A104)*(H$3*10^12-$A103)*-1&lt;0,0,1)*IF(ABS(H$3*10^12-$A104)&gt;(H$3*10^12-$A103),$A103,$A104))</f>
        <v>0</v>
      </c>
      <c r="I103">
        <f t="shared" ref="I103:I134" si="33">IF(IF((I$3*10^12-$A104)*(I$3*10^12-$A103)*-1&lt;0,0,1)*IF(ABS(I$3*10^12-$A104)&gt;(I$3*10^12-$A103),$A103,$A104)=I104,0,IF((I$3*10^12-$A104)*(I$3*10^12-$A103)*-1&lt;0,0,1)*IF(ABS(I$3*10^12-$A104)&gt;(I$3*10^12-$A103),$A103,$A104))</f>
        <v>0</v>
      </c>
      <c r="J103">
        <f t="shared" ref="J103:J134" si="34">IF(IF((J$3*10^12-$A104)*(J$3*10^12-$A103)*-1&lt;0,0,1)*IF(ABS(J$3*10^12-$A104)&gt;(J$3*10^12-$A103),$A103,$A104)=J104,0,IF((J$3*10^12-$A104)*(J$3*10^12-$A103)*-1&lt;0,0,1)*IF(ABS(J$3*10^12-$A104)&gt;(J$3*10^12-$A103),$A103,$A104))</f>
        <v>0</v>
      </c>
      <c r="K103">
        <f t="shared" si="18"/>
        <v>0</v>
      </c>
      <c r="L103">
        <f t="shared" si="18"/>
        <v>0</v>
      </c>
      <c r="M103">
        <f t="shared" si="29"/>
        <v>0</v>
      </c>
      <c r="N103" t="e">
        <f t="shared" si="30"/>
        <v>#REF!</v>
      </c>
    </row>
    <row r="104" spans="1:14" x14ac:dyDescent="0.25">
      <c r="A104">
        <f t="shared" si="28"/>
        <v>68000000</v>
      </c>
      <c r="B104">
        <f t="shared" si="22"/>
        <v>0</v>
      </c>
      <c r="C104">
        <f t="shared" si="23"/>
        <v>0</v>
      </c>
      <c r="D104">
        <f t="shared" si="23"/>
        <v>0</v>
      </c>
      <c r="E104">
        <f t="shared" si="23"/>
        <v>0</v>
      </c>
      <c r="F104">
        <f t="shared" si="23"/>
        <v>0</v>
      </c>
      <c r="G104">
        <f t="shared" si="31"/>
        <v>0</v>
      </c>
      <c r="H104">
        <f t="shared" si="32"/>
        <v>0</v>
      </c>
      <c r="I104">
        <f t="shared" si="33"/>
        <v>0</v>
      </c>
      <c r="J104">
        <f t="shared" si="34"/>
        <v>0</v>
      </c>
      <c r="K104">
        <f t="shared" si="18"/>
        <v>0</v>
      </c>
      <c r="L104">
        <f t="shared" si="18"/>
        <v>0</v>
      </c>
      <c r="M104">
        <f t="shared" si="29"/>
        <v>0</v>
      </c>
      <c r="N104" t="e">
        <f t="shared" si="30"/>
        <v>#REF!</v>
      </c>
    </row>
    <row r="105" spans="1:14" x14ac:dyDescent="0.25">
      <c r="A105">
        <f t="shared" si="28"/>
        <v>82000000</v>
      </c>
      <c r="B105">
        <f t="shared" si="22"/>
        <v>0</v>
      </c>
      <c r="C105">
        <f t="shared" si="23"/>
        <v>0</v>
      </c>
      <c r="D105">
        <f t="shared" si="23"/>
        <v>0</v>
      </c>
      <c r="E105">
        <f t="shared" si="23"/>
        <v>0</v>
      </c>
      <c r="F105">
        <f t="shared" si="23"/>
        <v>0</v>
      </c>
      <c r="G105">
        <f t="shared" si="31"/>
        <v>0</v>
      </c>
      <c r="H105">
        <f t="shared" si="32"/>
        <v>0</v>
      </c>
      <c r="I105">
        <f t="shared" si="33"/>
        <v>0</v>
      </c>
      <c r="J105">
        <f t="shared" si="34"/>
        <v>0</v>
      </c>
      <c r="K105">
        <f t="shared" si="18"/>
        <v>0</v>
      </c>
      <c r="L105">
        <f t="shared" si="18"/>
        <v>0</v>
      </c>
      <c r="M105">
        <f t="shared" si="29"/>
        <v>0</v>
      </c>
      <c r="N105" t="e">
        <f t="shared" si="30"/>
        <v>#REF!</v>
      </c>
    </row>
    <row r="106" spans="1:14" x14ac:dyDescent="0.25">
      <c r="A106">
        <f t="shared" si="28"/>
        <v>100000000</v>
      </c>
      <c r="B106">
        <f t="shared" si="22"/>
        <v>0</v>
      </c>
      <c r="C106">
        <f t="shared" si="23"/>
        <v>0</v>
      </c>
      <c r="D106">
        <f t="shared" si="23"/>
        <v>0</v>
      </c>
      <c r="E106">
        <f t="shared" si="23"/>
        <v>0</v>
      </c>
      <c r="F106">
        <f t="shared" si="23"/>
        <v>0</v>
      </c>
      <c r="G106">
        <f t="shared" si="31"/>
        <v>0</v>
      </c>
      <c r="H106">
        <f t="shared" si="32"/>
        <v>0</v>
      </c>
      <c r="I106">
        <f t="shared" si="33"/>
        <v>0</v>
      </c>
      <c r="J106">
        <f t="shared" si="34"/>
        <v>0</v>
      </c>
      <c r="K106">
        <f t="shared" si="18"/>
        <v>0</v>
      </c>
      <c r="L106">
        <f t="shared" si="18"/>
        <v>0</v>
      </c>
      <c r="M106">
        <f t="shared" si="29"/>
        <v>0</v>
      </c>
      <c r="N106" t="e">
        <f t="shared" si="30"/>
        <v>#REF!</v>
      </c>
    </row>
    <row r="107" spans="1:14" x14ac:dyDescent="0.25">
      <c r="A107">
        <f t="shared" si="28"/>
        <v>120000000</v>
      </c>
      <c r="B107">
        <f t="shared" si="22"/>
        <v>0</v>
      </c>
      <c r="C107">
        <f t="shared" si="23"/>
        <v>0</v>
      </c>
      <c r="D107">
        <f t="shared" si="23"/>
        <v>0</v>
      </c>
      <c r="E107">
        <f t="shared" si="23"/>
        <v>0</v>
      </c>
      <c r="F107">
        <f t="shared" si="23"/>
        <v>0</v>
      </c>
      <c r="G107">
        <f t="shared" si="31"/>
        <v>0</v>
      </c>
      <c r="H107">
        <f t="shared" si="32"/>
        <v>0</v>
      </c>
      <c r="I107">
        <f t="shared" si="33"/>
        <v>0</v>
      </c>
      <c r="J107">
        <f t="shared" si="34"/>
        <v>0</v>
      </c>
      <c r="K107">
        <f t="shared" si="18"/>
        <v>0</v>
      </c>
      <c r="L107">
        <f t="shared" si="18"/>
        <v>0</v>
      </c>
      <c r="M107">
        <f t="shared" si="29"/>
        <v>0</v>
      </c>
      <c r="N107" t="e">
        <f t="shared" si="30"/>
        <v>#REF!</v>
      </c>
    </row>
    <row r="108" spans="1:14" x14ac:dyDescent="0.25">
      <c r="A108">
        <f t="shared" si="28"/>
        <v>150000000</v>
      </c>
      <c r="B108">
        <f t="shared" si="22"/>
        <v>0</v>
      </c>
      <c r="C108">
        <f t="shared" si="23"/>
        <v>0</v>
      </c>
      <c r="D108">
        <f t="shared" si="23"/>
        <v>0</v>
      </c>
      <c r="E108">
        <f t="shared" si="23"/>
        <v>0</v>
      </c>
      <c r="F108">
        <f t="shared" si="23"/>
        <v>0</v>
      </c>
      <c r="G108">
        <f t="shared" si="31"/>
        <v>0</v>
      </c>
      <c r="H108">
        <f t="shared" si="32"/>
        <v>0</v>
      </c>
      <c r="I108">
        <f t="shared" si="33"/>
        <v>0</v>
      </c>
      <c r="J108">
        <f t="shared" si="34"/>
        <v>0</v>
      </c>
      <c r="K108">
        <f t="shared" si="18"/>
        <v>0</v>
      </c>
      <c r="L108">
        <f t="shared" si="18"/>
        <v>0</v>
      </c>
      <c r="M108">
        <f t="shared" si="29"/>
        <v>0</v>
      </c>
      <c r="N108" t="e">
        <f t="shared" si="30"/>
        <v>#REF!</v>
      </c>
    </row>
    <row r="109" spans="1:14" x14ac:dyDescent="0.25">
      <c r="A109">
        <f t="shared" si="28"/>
        <v>180000000</v>
      </c>
      <c r="B109">
        <f t="shared" si="22"/>
        <v>0</v>
      </c>
      <c r="C109">
        <f t="shared" si="23"/>
        <v>0</v>
      </c>
      <c r="D109">
        <f t="shared" si="23"/>
        <v>0</v>
      </c>
      <c r="E109">
        <f t="shared" si="23"/>
        <v>0</v>
      </c>
      <c r="F109">
        <f t="shared" si="23"/>
        <v>0</v>
      </c>
      <c r="G109">
        <f t="shared" si="31"/>
        <v>0</v>
      </c>
      <c r="H109">
        <f t="shared" si="32"/>
        <v>0</v>
      </c>
      <c r="I109">
        <f t="shared" si="33"/>
        <v>0</v>
      </c>
      <c r="J109">
        <f t="shared" si="34"/>
        <v>0</v>
      </c>
      <c r="K109">
        <f t="shared" si="18"/>
        <v>0</v>
      </c>
      <c r="L109">
        <f t="shared" si="18"/>
        <v>0</v>
      </c>
      <c r="M109">
        <f t="shared" si="29"/>
        <v>0</v>
      </c>
      <c r="N109" t="e">
        <f t="shared" si="30"/>
        <v>#REF!</v>
      </c>
    </row>
    <row r="110" spans="1:14" x14ac:dyDescent="0.25">
      <c r="A110">
        <f t="shared" si="28"/>
        <v>220000000</v>
      </c>
      <c r="B110">
        <f t="shared" si="22"/>
        <v>0</v>
      </c>
      <c r="C110">
        <f t="shared" si="23"/>
        <v>0</v>
      </c>
      <c r="D110">
        <f t="shared" si="23"/>
        <v>0</v>
      </c>
      <c r="E110">
        <f t="shared" si="23"/>
        <v>0</v>
      </c>
      <c r="F110">
        <f t="shared" si="23"/>
        <v>0</v>
      </c>
      <c r="G110">
        <f t="shared" si="31"/>
        <v>0</v>
      </c>
      <c r="H110">
        <f t="shared" si="32"/>
        <v>0</v>
      </c>
      <c r="I110">
        <f t="shared" si="33"/>
        <v>0</v>
      </c>
      <c r="J110">
        <f t="shared" si="34"/>
        <v>0</v>
      </c>
      <c r="K110">
        <f t="shared" si="18"/>
        <v>0</v>
      </c>
      <c r="L110">
        <f t="shared" si="18"/>
        <v>0</v>
      </c>
      <c r="M110">
        <f t="shared" si="29"/>
        <v>0</v>
      </c>
      <c r="N110" t="e">
        <f t="shared" si="30"/>
        <v>#REF!</v>
      </c>
    </row>
    <row r="111" spans="1:14" x14ac:dyDescent="0.25">
      <c r="A111">
        <f t="shared" si="28"/>
        <v>270000000</v>
      </c>
      <c r="B111">
        <f t="shared" si="22"/>
        <v>0</v>
      </c>
      <c r="C111">
        <f t="shared" si="23"/>
        <v>0</v>
      </c>
      <c r="D111">
        <f t="shared" si="23"/>
        <v>0</v>
      </c>
      <c r="E111">
        <f t="shared" si="23"/>
        <v>0</v>
      </c>
      <c r="F111">
        <f t="shared" si="23"/>
        <v>0</v>
      </c>
      <c r="G111">
        <f t="shared" si="31"/>
        <v>0</v>
      </c>
      <c r="H111">
        <f t="shared" si="32"/>
        <v>0</v>
      </c>
      <c r="I111">
        <f t="shared" si="33"/>
        <v>0</v>
      </c>
      <c r="J111">
        <f t="shared" si="34"/>
        <v>0</v>
      </c>
      <c r="K111">
        <f t="shared" si="18"/>
        <v>0</v>
      </c>
      <c r="L111">
        <f t="shared" si="18"/>
        <v>0</v>
      </c>
      <c r="M111">
        <f t="shared" si="29"/>
        <v>0</v>
      </c>
      <c r="N111" t="e">
        <f t="shared" si="30"/>
        <v>#REF!</v>
      </c>
    </row>
    <row r="112" spans="1:14" x14ac:dyDescent="0.25">
      <c r="A112">
        <f t="shared" si="28"/>
        <v>330000000</v>
      </c>
      <c r="B112">
        <f t="shared" si="22"/>
        <v>0</v>
      </c>
      <c r="C112">
        <f t="shared" si="23"/>
        <v>0</v>
      </c>
      <c r="D112">
        <f t="shared" si="23"/>
        <v>0</v>
      </c>
      <c r="E112">
        <f t="shared" si="23"/>
        <v>0</v>
      </c>
      <c r="F112">
        <f t="shared" si="23"/>
        <v>0</v>
      </c>
      <c r="G112">
        <f t="shared" si="31"/>
        <v>0</v>
      </c>
      <c r="H112">
        <f t="shared" si="32"/>
        <v>0</v>
      </c>
      <c r="I112">
        <f t="shared" si="33"/>
        <v>0</v>
      </c>
      <c r="J112">
        <f t="shared" si="34"/>
        <v>0</v>
      </c>
      <c r="K112">
        <f t="shared" si="18"/>
        <v>0</v>
      </c>
      <c r="L112">
        <f t="shared" si="18"/>
        <v>0</v>
      </c>
      <c r="M112">
        <f t="shared" si="29"/>
        <v>0</v>
      </c>
      <c r="N112" t="e">
        <f t="shared" si="30"/>
        <v>#REF!</v>
      </c>
    </row>
    <row r="113" spans="1:14" x14ac:dyDescent="0.25">
      <c r="A113">
        <f t="shared" si="28"/>
        <v>390000000</v>
      </c>
      <c r="B113">
        <f t="shared" si="22"/>
        <v>0</v>
      </c>
      <c r="C113">
        <f t="shared" si="23"/>
        <v>0</v>
      </c>
      <c r="D113">
        <f t="shared" si="23"/>
        <v>0</v>
      </c>
      <c r="E113">
        <f t="shared" si="23"/>
        <v>0</v>
      </c>
      <c r="F113">
        <f t="shared" si="23"/>
        <v>0</v>
      </c>
      <c r="G113">
        <f t="shared" si="31"/>
        <v>0</v>
      </c>
      <c r="H113">
        <f t="shared" si="32"/>
        <v>0</v>
      </c>
      <c r="I113">
        <f t="shared" si="33"/>
        <v>0</v>
      </c>
      <c r="J113">
        <f t="shared" si="34"/>
        <v>0</v>
      </c>
      <c r="K113">
        <f t="shared" si="18"/>
        <v>0</v>
      </c>
      <c r="L113">
        <f t="shared" si="18"/>
        <v>0</v>
      </c>
      <c r="M113">
        <f t="shared" si="29"/>
        <v>0</v>
      </c>
      <c r="N113" t="e">
        <f t="shared" si="30"/>
        <v>#REF!</v>
      </c>
    </row>
    <row r="114" spans="1:14" x14ac:dyDescent="0.25">
      <c r="A114">
        <f t="shared" si="28"/>
        <v>470000000</v>
      </c>
      <c r="B114">
        <f t="shared" si="22"/>
        <v>0</v>
      </c>
      <c r="C114">
        <f t="shared" si="23"/>
        <v>0</v>
      </c>
      <c r="D114">
        <f t="shared" si="23"/>
        <v>0</v>
      </c>
      <c r="E114">
        <f t="shared" si="23"/>
        <v>0</v>
      </c>
      <c r="F114">
        <f t="shared" si="23"/>
        <v>0</v>
      </c>
      <c r="G114">
        <f t="shared" si="31"/>
        <v>0</v>
      </c>
      <c r="H114">
        <f t="shared" si="32"/>
        <v>0</v>
      </c>
      <c r="I114">
        <f t="shared" si="33"/>
        <v>0</v>
      </c>
      <c r="J114">
        <f t="shared" si="34"/>
        <v>0</v>
      </c>
      <c r="K114">
        <f t="shared" si="18"/>
        <v>0</v>
      </c>
      <c r="L114">
        <f t="shared" si="18"/>
        <v>0</v>
      </c>
      <c r="M114">
        <f t="shared" si="29"/>
        <v>0</v>
      </c>
      <c r="N114" t="e">
        <f t="shared" si="30"/>
        <v>#REF!</v>
      </c>
    </row>
    <row r="115" spans="1:14" x14ac:dyDescent="0.25">
      <c r="A115">
        <f t="shared" si="28"/>
        <v>560000000</v>
      </c>
      <c r="B115">
        <f t="shared" si="22"/>
        <v>0</v>
      </c>
      <c r="C115">
        <f t="shared" si="23"/>
        <v>0</v>
      </c>
      <c r="D115">
        <f t="shared" si="23"/>
        <v>0</v>
      </c>
      <c r="E115">
        <f t="shared" si="23"/>
        <v>0</v>
      </c>
      <c r="F115">
        <f t="shared" si="23"/>
        <v>0</v>
      </c>
      <c r="G115">
        <f t="shared" si="31"/>
        <v>0</v>
      </c>
      <c r="H115">
        <f t="shared" si="32"/>
        <v>0</v>
      </c>
      <c r="I115">
        <f t="shared" si="33"/>
        <v>0</v>
      </c>
      <c r="J115">
        <f t="shared" si="34"/>
        <v>0</v>
      </c>
      <c r="K115">
        <f t="shared" si="18"/>
        <v>0</v>
      </c>
      <c r="L115">
        <f t="shared" si="18"/>
        <v>0</v>
      </c>
      <c r="M115">
        <f t="shared" si="29"/>
        <v>0</v>
      </c>
      <c r="N115" t="e">
        <f t="shared" si="30"/>
        <v>#REF!</v>
      </c>
    </row>
    <row r="116" spans="1:14" x14ac:dyDescent="0.25">
      <c r="A116">
        <f t="shared" si="28"/>
        <v>680000000</v>
      </c>
      <c r="B116">
        <f t="shared" si="22"/>
        <v>0</v>
      </c>
      <c r="C116">
        <f t="shared" si="23"/>
        <v>0</v>
      </c>
      <c r="D116">
        <f t="shared" si="23"/>
        <v>0</v>
      </c>
      <c r="E116">
        <f t="shared" si="23"/>
        <v>0</v>
      </c>
      <c r="F116">
        <f t="shared" si="23"/>
        <v>0</v>
      </c>
      <c r="G116">
        <f t="shared" si="31"/>
        <v>0</v>
      </c>
      <c r="H116">
        <f t="shared" si="32"/>
        <v>0</v>
      </c>
      <c r="I116">
        <f t="shared" si="33"/>
        <v>0</v>
      </c>
      <c r="J116">
        <f t="shared" si="34"/>
        <v>0</v>
      </c>
      <c r="K116">
        <f t="shared" si="18"/>
        <v>0</v>
      </c>
      <c r="L116">
        <f t="shared" si="18"/>
        <v>0</v>
      </c>
      <c r="M116">
        <f t="shared" si="29"/>
        <v>0</v>
      </c>
      <c r="N116" t="e">
        <f t="shared" si="30"/>
        <v>#REF!</v>
      </c>
    </row>
    <row r="117" spans="1:14" x14ac:dyDescent="0.25">
      <c r="A117">
        <f t="shared" si="28"/>
        <v>820000000</v>
      </c>
      <c r="B117">
        <f t="shared" si="22"/>
        <v>0</v>
      </c>
      <c r="C117">
        <f t="shared" si="23"/>
        <v>0</v>
      </c>
      <c r="D117">
        <f t="shared" si="23"/>
        <v>0</v>
      </c>
      <c r="E117">
        <f t="shared" si="23"/>
        <v>0</v>
      </c>
      <c r="F117">
        <f t="shared" si="23"/>
        <v>0</v>
      </c>
      <c r="G117">
        <f t="shared" si="31"/>
        <v>0</v>
      </c>
      <c r="H117">
        <f t="shared" si="32"/>
        <v>0</v>
      </c>
      <c r="I117">
        <f t="shared" si="33"/>
        <v>0</v>
      </c>
      <c r="J117">
        <f t="shared" si="34"/>
        <v>0</v>
      </c>
      <c r="K117">
        <f t="shared" si="18"/>
        <v>0</v>
      </c>
      <c r="L117">
        <f t="shared" si="18"/>
        <v>0</v>
      </c>
      <c r="M117">
        <f t="shared" si="29"/>
        <v>0</v>
      </c>
      <c r="N117" t="e">
        <f t="shared" si="30"/>
        <v>#REF!</v>
      </c>
    </row>
    <row r="118" spans="1:14" x14ac:dyDescent="0.25">
      <c r="A118">
        <f t="shared" si="28"/>
        <v>1000000000</v>
      </c>
      <c r="B118">
        <f t="shared" si="22"/>
        <v>0</v>
      </c>
      <c r="C118">
        <f t="shared" si="23"/>
        <v>0</v>
      </c>
      <c r="D118">
        <f t="shared" si="23"/>
        <v>0</v>
      </c>
      <c r="E118">
        <f t="shared" si="23"/>
        <v>0</v>
      </c>
      <c r="F118">
        <f t="shared" si="23"/>
        <v>0</v>
      </c>
      <c r="G118">
        <f t="shared" si="31"/>
        <v>0</v>
      </c>
      <c r="H118">
        <f t="shared" si="32"/>
        <v>0</v>
      </c>
      <c r="I118">
        <f t="shared" si="33"/>
        <v>0</v>
      </c>
      <c r="J118">
        <f t="shared" si="34"/>
        <v>0</v>
      </c>
      <c r="K118">
        <f t="shared" si="18"/>
        <v>0</v>
      </c>
      <c r="L118">
        <f t="shared" si="18"/>
        <v>0</v>
      </c>
      <c r="M118">
        <f t="shared" si="29"/>
        <v>0</v>
      </c>
      <c r="N118" t="e">
        <f t="shared" si="30"/>
        <v>#REF!</v>
      </c>
    </row>
    <row r="119" spans="1:14" x14ac:dyDescent="0.25">
      <c r="A119">
        <f t="shared" si="28"/>
        <v>1200000000</v>
      </c>
      <c r="B119">
        <f t="shared" si="22"/>
        <v>0</v>
      </c>
      <c r="C119">
        <f t="shared" si="23"/>
        <v>0</v>
      </c>
      <c r="D119">
        <f t="shared" si="23"/>
        <v>0</v>
      </c>
      <c r="E119">
        <f t="shared" si="23"/>
        <v>0</v>
      </c>
      <c r="F119">
        <f t="shared" si="23"/>
        <v>0</v>
      </c>
      <c r="G119">
        <f t="shared" si="31"/>
        <v>0</v>
      </c>
      <c r="H119">
        <f t="shared" si="32"/>
        <v>0</v>
      </c>
      <c r="I119">
        <f t="shared" si="33"/>
        <v>0</v>
      </c>
      <c r="J119">
        <f t="shared" si="34"/>
        <v>0</v>
      </c>
      <c r="K119">
        <f t="shared" si="18"/>
        <v>0</v>
      </c>
      <c r="L119">
        <f t="shared" si="18"/>
        <v>0</v>
      </c>
      <c r="M119">
        <f t="shared" si="29"/>
        <v>0</v>
      </c>
      <c r="N119" t="e">
        <f t="shared" si="30"/>
        <v>#REF!</v>
      </c>
    </row>
    <row r="120" spans="1:14" x14ac:dyDescent="0.25">
      <c r="A120">
        <f t="shared" si="28"/>
        <v>1500000000</v>
      </c>
      <c r="B120">
        <f t="shared" si="22"/>
        <v>0</v>
      </c>
      <c r="C120">
        <f t="shared" si="23"/>
        <v>0</v>
      </c>
      <c r="D120">
        <f t="shared" si="23"/>
        <v>0</v>
      </c>
      <c r="E120">
        <f t="shared" si="23"/>
        <v>0</v>
      </c>
      <c r="F120">
        <f t="shared" si="23"/>
        <v>0</v>
      </c>
      <c r="G120">
        <f t="shared" si="31"/>
        <v>0</v>
      </c>
      <c r="H120">
        <f t="shared" si="32"/>
        <v>0</v>
      </c>
      <c r="I120">
        <f t="shared" si="33"/>
        <v>0</v>
      </c>
      <c r="J120">
        <f t="shared" si="34"/>
        <v>0</v>
      </c>
      <c r="K120">
        <f t="shared" si="18"/>
        <v>0</v>
      </c>
      <c r="L120">
        <f t="shared" si="18"/>
        <v>0</v>
      </c>
      <c r="M120">
        <f t="shared" si="29"/>
        <v>0</v>
      </c>
      <c r="N120" t="e">
        <f t="shared" si="30"/>
        <v>#REF!</v>
      </c>
    </row>
    <row r="121" spans="1:14" x14ac:dyDescent="0.25">
      <c r="A121">
        <f t="shared" si="28"/>
        <v>1800000000</v>
      </c>
      <c r="B121">
        <f t="shared" si="22"/>
        <v>0</v>
      </c>
      <c r="C121">
        <f t="shared" si="23"/>
        <v>0</v>
      </c>
      <c r="D121">
        <f t="shared" si="23"/>
        <v>0</v>
      </c>
      <c r="E121">
        <f t="shared" si="23"/>
        <v>0</v>
      </c>
      <c r="F121">
        <f t="shared" si="23"/>
        <v>0</v>
      </c>
      <c r="G121">
        <f t="shared" si="31"/>
        <v>0</v>
      </c>
      <c r="H121">
        <f t="shared" si="32"/>
        <v>0</v>
      </c>
      <c r="I121">
        <f t="shared" si="33"/>
        <v>0</v>
      </c>
      <c r="J121">
        <f t="shared" si="34"/>
        <v>0</v>
      </c>
      <c r="K121">
        <f t="shared" si="18"/>
        <v>0</v>
      </c>
      <c r="L121">
        <f t="shared" si="18"/>
        <v>0</v>
      </c>
      <c r="M121">
        <f t="shared" si="29"/>
        <v>0</v>
      </c>
      <c r="N121" t="e">
        <f t="shared" si="30"/>
        <v>#REF!</v>
      </c>
    </row>
    <row r="122" spans="1:14" x14ac:dyDescent="0.25">
      <c r="A122">
        <f t="shared" si="28"/>
        <v>2200000000</v>
      </c>
      <c r="B122">
        <f t="shared" si="22"/>
        <v>0</v>
      </c>
      <c r="C122">
        <f t="shared" si="23"/>
        <v>0</v>
      </c>
      <c r="D122">
        <f t="shared" si="23"/>
        <v>0</v>
      </c>
      <c r="E122">
        <f t="shared" si="23"/>
        <v>0</v>
      </c>
      <c r="F122">
        <f t="shared" si="23"/>
        <v>0</v>
      </c>
      <c r="G122">
        <f t="shared" si="31"/>
        <v>0</v>
      </c>
      <c r="H122">
        <f t="shared" si="32"/>
        <v>0</v>
      </c>
      <c r="I122">
        <f t="shared" si="33"/>
        <v>0</v>
      </c>
      <c r="J122">
        <f t="shared" si="34"/>
        <v>0</v>
      </c>
      <c r="K122">
        <f t="shared" si="18"/>
        <v>0</v>
      </c>
      <c r="L122">
        <f t="shared" si="18"/>
        <v>0</v>
      </c>
      <c r="M122">
        <f t="shared" si="29"/>
        <v>0</v>
      </c>
      <c r="N122" t="e">
        <f t="shared" si="30"/>
        <v>#REF!</v>
      </c>
    </row>
    <row r="123" spans="1:14" x14ac:dyDescent="0.25">
      <c r="A123">
        <f t="shared" si="28"/>
        <v>2700000000</v>
      </c>
      <c r="B123">
        <f t="shared" si="22"/>
        <v>0</v>
      </c>
      <c r="C123">
        <f t="shared" si="23"/>
        <v>0</v>
      </c>
      <c r="D123">
        <f t="shared" si="23"/>
        <v>0</v>
      </c>
      <c r="E123">
        <f t="shared" si="23"/>
        <v>0</v>
      </c>
      <c r="F123">
        <f t="shared" si="23"/>
        <v>0</v>
      </c>
      <c r="G123">
        <f t="shared" si="31"/>
        <v>0</v>
      </c>
      <c r="H123">
        <f t="shared" si="32"/>
        <v>0</v>
      </c>
      <c r="I123">
        <f t="shared" si="33"/>
        <v>0</v>
      </c>
      <c r="J123">
        <f t="shared" si="34"/>
        <v>0</v>
      </c>
      <c r="K123">
        <f t="shared" si="18"/>
        <v>0</v>
      </c>
      <c r="L123">
        <f t="shared" si="18"/>
        <v>0</v>
      </c>
      <c r="M123">
        <f t="shared" si="29"/>
        <v>0</v>
      </c>
      <c r="N123" t="e">
        <f t="shared" si="30"/>
        <v>#REF!</v>
      </c>
    </row>
    <row r="124" spans="1:14" x14ac:dyDescent="0.25">
      <c r="A124">
        <f t="shared" si="28"/>
        <v>3300000000</v>
      </c>
      <c r="B124">
        <f t="shared" si="22"/>
        <v>0</v>
      </c>
      <c r="C124">
        <f t="shared" si="23"/>
        <v>0</v>
      </c>
      <c r="D124">
        <f t="shared" si="23"/>
        <v>0</v>
      </c>
      <c r="E124">
        <f t="shared" si="23"/>
        <v>0</v>
      </c>
      <c r="F124">
        <f t="shared" si="23"/>
        <v>0</v>
      </c>
      <c r="G124">
        <f t="shared" si="31"/>
        <v>0</v>
      </c>
      <c r="H124">
        <f t="shared" si="32"/>
        <v>0</v>
      </c>
      <c r="I124">
        <f t="shared" si="33"/>
        <v>0</v>
      </c>
      <c r="J124">
        <f t="shared" si="34"/>
        <v>0</v>
      </c>
      <c r="K124">
        <f t="shared" si="18"/>
        <v>0</v>
      </c>
      <c r="L124">
        <f t="shared" si="18"/>
        <v>0</v>
      </c>
      <c r="M124">
        <f t="shared" si="29"/>
        <v>0</v>
      </c>
      <c r="N124" t="e">
        <f t="shared" si="30"/>
        <v>#REF!</v>
      </c>
    </row>
    <row r="125" spans="1:14" x14ac:dyDescent="0.25">
      <c r="A125">
        <f t="shared" si="28"/>
        <v>3900000000</v>
      </c>
      <c r="B125">
        <f t="shared" si="22"/>
        <v>0</v>
      </c>
      <c r="C125">
        <f t="shared" si="23"/>
        <v>0</v>
      </c>
      <c r="D125">
        <f t="shared" si="23"/>
        <v>0</v>
      </c>
      <c r="E125">
        <f t="shared" si="23"/>
        <v>0</v>
      </c>
      <c r="F125">
        <f t="shared" si="23"/>
        <v>0</v>
      </c>
      <c r="G125">
        <f t="shared" si="31"/>
        <v>0</v>
      </c>
      <c r="H125">
        <f t="shared" si="32"/>
        <v>0</v>
      </c>
      <c r="I125">
        <f t="shared" si="33"/>
        <v>0</v>
      </c>
      <c r="J125">
        <f t="shared" si="34"/>
        <v>0</v>
      </c>
      <c r="K125">
        <f t="shared" si="18"/>
        <v>0</v>
      </c>
      <c r="L125">
        <f t="shared" si="18"/>
        <v>0</v>
      </c>
      <c r="M125">
        <f t="shared" si="29"/>
        <v>0</v>
      </c>
      <c r="N125" t="e">
        <f t="shared" si="30"/>
        <v>#REF!</v>
      </c>
    </row>
    <row r="126" spans="1:14" x14ac:dyDescent="0.25">
      <c r="A126">
        <f t="shared" si="28"/>
        <v>4700000000</v>
      </c>
      <c r="B126">
        <f t="shared" si="22"/>
        <v>0</v>
      </c>
      <c r="C126">
        <f t="shared" si="23"/>
        <v>0</v>
      </c>
      <c r="D126">
        <f t="shared" si="23"/>
        <v>0</v>
      </c>
      <c r="E126">
        <f t="shared" si="23"/>
        <v>0</v>
      </c>
      <c r="F126">
        <f t="shared" si="23"/>
        <v>0</v>
      </c>
      <c r="G126">
        <f t="shared" si="31"/>
        <v>0</v>
      </c>
      <c r="H126">
        <f t="shared" si="32"/>
        <v>0</v>
      </c>
      <c r="I126">
        <f t="shared" si="33"/>
        <v>0</v>
      </c>
      <c r="J126">
        <f t="shared" si="34"/>
        <v>0</v>
      </c>
      <c r="K126">
        <f t="shared" si="18"/>
        <v>0</v>
      </c>
      <c r="L126">
        <f t="shared" si="18"/>
        <v>0</v>
      </c>
      <c r="M126">
        <f t="shared" si="29"/>
        <v>0</v>
      </c>
      <c r="N126" t="e">
        <f t="shared" si="30"/>
        <v>#REF!</v>
      </c>
    </row>
    <row r="127" spans="1:14" x14ac:dyDescent="0.25">
      <c r="A127">
        <f t="shared" si="28"/>
        <v>5600000000</v>
      </c>
      <c r="B127">
        <f t="shared" si="22"/>
        <v>0</v>
      </c>
      <c r="C127">
        <f t="shared" si="23"/>
        <v>0</v>
      </c>
      <c r="D127">
        <f t="shared" si="23"/>
        <v>0</v>
      </c>
      <c r="E127">
        <f t="shared" si="23"/>
        <v>0</v>
      </c>
      <c r="F127">
        <f t="shared" si="23"/>
        <v>0</v>
      </c>
      <c r="G127">
        <f t="shared" si="31"/>
        <v>0</v>
      </c>
      <c r="H127">
        <f t="shared" si="32"/>
        <v>0</v>
      </c>
      <c r="I127">
        <f t="shared" si="33"/>
        <v>0</v>
      </c>
      <c r="J127">
        <f t="shared" si="34"/>
        <v>0</v>
      </c>
      <c r="K127">
        <f t="shared" si="18"/>
        <v>0</v>
      </c>
      <c r="L127">
        <f t="shared" si="18"/>
        <v>0</v>
      </c>
      <c r="M127">
        <f t="shared" si="29"/>
        <v>0</v>
      </c>
      <c r="N127" t="e">
        <f t="shared" si="30"/>
        <v>#REF!</v>
      </c>
    </row>
    <row r="128" spans="1:14" x14ac:dyDescent="0.25">
      <c r="A128">
        <f t="shared" si="28"/>
        <v>6800000000</v>
      </c>
      <c r="B128">
        <f t="shared" si="22"/>
        <v>0</v>
      </c>
      <c r="C128">
        <f t="shared" si="23"/>
        <v>0</v>
      </c>
      <c r="D128">
        <f t="shared" si="23"/>
        <v>0</v>
      </c>
      <c r="E128">
        <f t="shared" si="23"/>
        <v>0</v>
      </c>
      <c r="F128">
        <f t="shared" si="23"/>
        <v>0</v>
      </c>
      <c r="G128">
        <f t="shared" si="31"/>
        <v>0</v>
      </c>
      <c r="H128">
        <f t="shared" si="32"/>
        <v>0</v>
      </c>
      <c r="I128">
        <f t="shared" si="33"/>
        <v>0</v>
      </c>
      <c r="J128">
        <f t="shared" si="34"/>
        <v>0</v>
      </c>
      <c r="K128">
        <f t="shared" si="18"/>
        <v>0</v>
      </c>
      <c r="L128">
        <f t="shared" si="18"/>
        <v>0</v>
      </c>
      <c r="M128">
        <f t="shared" si="29"/>
        <v>0</v>
      </c>
      <c r="N128" t="e">
        <f t="shared" si="30"/>
        <v>#REF!</v>
      </c>
    </row>
    <row r="129" spans="1:14" x14ac:dyDescent="0.25">
      <c r="A129">
        <f t="shared" si="28"/>
        <v>8200000000</v>
      </c>
      <c r="B129">
        <f t="shared" si="22"/>
        <v>0</v>
      </c>
      <c r="C129">
        <f t="shared" si="23"/>
        <v>0</v>
      </c>
      <c r="D129">
        <f t="shared" si="23"/>
        <v>0</v>
      </c>
      <c r="E129">
        <f t="shared" si="23"/>
        <v>0</v>
      </c>
      <c r="F129">
        <f t="shared" si="23"/>
        <v>0</v>
      </c>
      <c r="G129">
        <f t="shared" si="31"/>
        <v>0</v>
      </c>
      <c r="H129">
        <f t="shared" si="32"/>
        <v>0</v>
      </c>
      <c r="I129">
        <f t="shared" si="33"/>
        <v>0</v>
      </c>
      <c r="J129">
        <f t="shared" si="34"/>
        <v>0</v>
      </c>
      <c r="K129">
        <f t="shared" si="18"/>
        <v>0</v>
      </c>
      <c r="L129">
        <f t="shared" si="18"/>
        <v>0</v>
      </c>
      <c r="M129">
        <f t="shared" si="29"/>
        <v>0</v>
      </c>
      <c r="N129" t="e">
        <f t="shared" si="30"/>
        <v>#REF!</v>
      </c>
    </row>
    <row r="130" spans="1:14" x14ac:dyDescent="0.25">
      <c r="A130">
        <f t="shared" si="28"/>
        <v>10000000000</v>
      </c>
      <c r="B130">
        <f t="shared" si="22"/>
        <v>0</v>
      </c>
      <c r="C130">
        <f t="shared" si="23"/>
        <v>0</v>
      </c>
      <c r="D130">
        <f t="shared" si="23"/>
        <v>0</v>
      </c>
      <c r="E130">
        <f t="shared" si="23"/>
        <v>0</v>
      </c>
      <c r="F130">
        <f t="shared" si="23"/>
        <v>0</v>
      </c>
      <c r="G130">
        <f t="shared" si="31"/>
        <v>0</v>
      </c>
      <c r="H130">
        <f t="shared" si="32"/>
        <v>0</v>
      </c>
      <c r="I130">
        <f t="shared" si="33"/>
        <v>0</v>
      </c>
      <c r="J130">
        <f t="shared" si="34"/>
        <v>0</v>
      </c>
      <c r="K130">
        <f t="shared" si="18"/>
        <v>0</v>
      </c>
      <c r="L130">
        <f t="shared" si="18"/>
        <v>0</v>
      </c>
      <c r="M130">
        <f t="shared" si="29"/>
        <v>0</v>
      </c>
      <c r="N130" t="e">
        <f t="shared" si="30"/>
        <v>#REF!</v>
      </c>
    </row>
    <row r="131" spans="1:14" x14ac:dyDescent="0.25">
      <c r="A131">
        <f t="shared" si="28"/>
        <v>12000000000</v>
      </c>
      <c r="B131">
        <f t="shared" si="22"/>
        <v>0</v>
      </c>
      <c r="C131">
        <f t="shared" si="23"/>
        <v>0</v>
      </c>
      <c r="D131">
        <f t="shared" si="23"/>
        <v>0</v>
      </c>
      <c r="E131">
        <f t="shared" si="23"/>
        <v>0</v>
      </c>
      <c r="F131">
        <f t="shared" si="23"/>
        <v>0</v>
      </c>
      <c r="G131">
        <f t="shared" si="31"/>
        <v>0</v>
      </c>
      <c r="H131">
        <f t="shared" si="32"/>
        <v>0</v>
      </c>
      <c r="I131">
        <f t="shared" si="33"/>
        <v>0</v>
      </c>
      <c r="J131">
        <f t="shared" si="34"/>
        <v>0</v>
      </c>
      <c r="K131">
        <f t="shared" si="18"/>
        <v>0</v>
      </c>
      <c r="L131">
        <f t="shared" si="18"/>
        <v>0</v>
      </c>
      <c r="M131">
        <f t="shared" si="29"/>
        <v>0</v>
      </c>
      <c r="N131" t="e">
        <f t="shared" si="30"/>
        <v>#REF!</v>
      </c>
    </row>
    <row r="132" spans="1:14" x14ac:dyDescent="0.25">
      <c r="A132">
        <f t="shared" si="28"/>
        <v>15000000000</v>
      </c>
      <c r="B132">
        <f t="shared" si="22"/>
        <v>0</v>
      </c>
      <c r="C132">
        <f t="shared" si="23"/>
        <v>0</v>
      </c>
      <c r="D132">
        <f t="shared" si="23"/>
        <v>0</v>
      </c>
      <c r="E132">
        <f t="shared" si="23"/>
        <v>0</v>
      </c>
      <c r="F132">
        <f t="shared" si="23"/>
        <v>0</v>
      </c>
      <c r="G132">
        <f t="shared" si="31"/>
        <v>0</v>
      </c>
      <c r="H132">
        <f t="shared" si="32"/>
        <v>0</v>
      </c>
      <c r="I132">
        <f t="shared" si="33"/>
        <v>0</v>
      </c>
      <c r="J132">
        <f t="shared" si="34"/>
        <v>0</v>
      </c>
      <c r="K132">
        <f t="shared" si="18"/>
        <v>0</v>
      </c>
      <c r="L132">
        <f t="shared" si="18"/>
        <v>0</v>
      </c>
      <c r="M132">
        <f t="shared" si="29"/>
        <v>0</v>
      </c>
      <c r="N132" t="e">
        <f t="shared" si="30"/>
        <v>#REF!</v>
      </c>
    </row>
    <row r="133" spans="1:14" x14ac:dyDescent="0.25">
      <c r="A133">
        <f t="shared" si="28"/>
        <v>18000000000</v>
      </c>
      <c r="B133">
        <f t="shared" si="22"/>
        <v>0</v>
      </c>
      <c r="C133">
        <f t="shared" si="23"/>
        <v>0</v>
      </c>
      <c r="D133">
        <f t="shared" si="23"/>
        <v>0</v>
      </c>
      <c r="E133">
        <f t="shared" si="23"/>
        <v>0</v>
      </c>
      <c r="F133">
        <f t="shared" si="23"/>
        <v>0</v>
      </c>
      <c r="G133">
        <f t="shared" si="31"/>
        <v>0</v>
      </c>
      <c r="H133">
        <f t="shared" si="32"/>
        <v>0</v>
      </c>
      <c r="I133">
        <f t="shared" si="33"/>
        <v>0</v>
      </c>
      <c r="J133">
        <f t="shared" si="34"/>
        <v>0</v>
      </c>
      <c r="K133">
        <f>IF(IF((K$3*10^12-$A134)*(K$3*10^12-$A133)*-1&lt;0,0,1)*IF(ABS(K$3*10^12-$A134)&gt;(K$3*10^12-$A133),$A133,$A134)=K134,0,IF((K$3*10^12-$A134)*(K$3*10^12-$A133)*-1&lt;0,0,1)*IF(ABS(K$3*10^12-$A134)&gt;(K$3*10^12-$A133),$A133,$A134))</f>
        <v>0</v>
      </c>
      <c r="L133">
        <f>IF(IF((L$3*10^12-$A134)*(L$3*10^12-$A133)*-1&lt;0,0,1)*IF(ABS(L$3*10^12-$A134)&gt;(L$3*10^12-$A133),$A133,$A134)=L134,0,IF((L$3*10^12-$A134)*(L$3*10^12-$A133)*-1&lt;0,0,1)*IF(ABS(L$3*10^12-$A134)&gt;(L$3*10^12-$A133),$A133,$A134))</f>
        <v>0</v>
      </c>
      <c r="M133">
        <f t="shared" si="29"/>
        <v>0</v>
      </c>
      <c r="N133" t="e">
        <f t="shared" si="30"/>
        <v>#REF!</v>
      </c>
    </row>
    <row r="134" spans="1:14" x14ac:dyDescent="0.25">
      <c r="A134">
        <f t="shared" si="28"/>
        <v>22000000000</v>
      </c>
      <c r="B134">
        <f t="shared" si="22"/>
        <v>0</v>
      </c>
      <c r="C134">
        <f t="shared" si="23"/>
        <v>0</v>
      </c>
      <c r="D134">
        <f t="shared" si="23"/>
        <v>0</v>
      </c>
      <c r="E134">
        <f t="shared" si="23"/>
        <v>0</v>
      </c>
      <c r="F134">
        <f t="shared" ref="F134:L159" si="35">IF(IF((F$3*10^12-$A135)*(F$3*10^12-$A134)*-1&lt;0,0,1)*IF(ABS(F$3*10^12-$A135)&gt;(F$3*10^12-$A134),$A134,$A135)=F135,0,IF((F$3*10^12-$A135)*(F$3*10^12-$A134)*-1&lt;0,0,1)*IF(ABS(F$3*10^12-$A135)&gt;(F$3*10^12-$A134),$A134,$A135))</f>
        <v>0</v>
      </c>
      <c r="G134">
        <f t="shared" si="31"/>
        <v>0</v>
      </c>
      <c r="H134">
        <f t="shared" si="32"/>
        <v>0</v>
      </c>
      <c r="I134">
        <f t="shared" si="33"/>
        <v>0</v>
      </c>
      <c r="J134">
        <f t="shared" si="34"/>
        <v>0</v>
      </c>
      <c r="K134">
        <f>IF(IF((K$3*10^12-$A135)*(K$3*10^12-$A134)*-1&lt;0,0,1)*IF(ABS(K$3*10^12-$A135)&gt;(K$3*10^12-$A134),$A134,$A135)=K135,0,IF((K$3*10^12-$A135)*(K$3*10^12-$A134)*-1&lt;0,0,1)*IF(ABS(K$3*10^12-$A135)&gt;(K$3*10^12-$A134),$A134,$A135))</f>
        <v>0</v>
      </c>
      <c r="L134">
        <f>IF(IF((L$3*10^12-$A135)*(L$3*10^12-$A134)*-1&lt;0,0,1)*IF(ABS(L$3*10^12-$A135)&gt;(L$3*10^12-$A134),$A134,$A135)=L135,0,IF((L$3*10^12-$A135)*(L$3*10^12-$A134)*-1&lt;0,0,1)*IF(ABS(L$3*10^12-$A135)&gt;(L$3*10^12-$A134),$A134,$A135))</f>
        <v>0</v>
      </c>
      <c r="M134">
        <f t="shared" ref="M134:M159" si="36">IF(IF((M$3*10^12-$A135)*(M$3*10^12-$A134)*-1&lt;0,0,1)*IF(ABS(M$3*10^12-$A135)&gt;(M$3*10^12-$A134),$A134,$A135)=M135,0,IF((M$3*10^12-$A135)*(M$3*10^12-$A134)*-1&lt;0,0,1)*IF(ABS(M$3*10^12-$A135)&gt;(M$3*10^12-$A134),$A134,$A135))</f>
        <v>0</v>
      </c>
      <c r="N134" t="e">
        <f t="shared" ref="N134:N159" si="37">IF(IF((N$3*10^12-$A135)*(N$3*10^12-$A134)*-1&lt;0,0,1)*IF(ABS(N$3*10^12-$A135)&gt;(N$3*10^12-$A134),$A134,$A135)=N135,0,IF((N$3*10^12-$A135)*(N$3*10^12-$A134)*-1&lt;0,0,1)*IF(ABS(N$3*10^12-$A135)&gt;(N$3*10^12-$A134),$A134,$A135))</f>
        <v>#REF!</v>
      </c>
    </row>
    <row r="135" spans="1:14" x14ac:dyDescent="0.25">
      <c r="A135">
        <f t="shared" si="28"/>
        <v>27000000000</v>
      </c>
      <c r="B135">
        <f t="shared" ref="B135:B159" si="38">IF(IF((B$3*10^12-$A136)*(B$3*10^12-$A135)*-1&lt;0,0,1)*IF(ABS(B$3*10^12-$A136)&gt;(B$3*10^12-$A135),$A135,$A136)=B136,0,IF((B$3*10^12-$A136)*(B$3*10^12-$A135)*-1&lt;0,0,1)*IF(ABS(B$3*10^12-$A136)&gt;(B$3*10^12-$A135),$A135,$A136))</f>
        <v>0</v>
      </c>
      <c r="C135">
        <f t="shared" ref="C135:E159" si="39">IF(IF((C$3*10^12-$A136)*(C$3*10^12-$A135)*-1&lt;0,0,1)*IF(ABS(C$3*10^12-$A136)&gt;(C$3*10^12-$A135),$A135,$A136)=C136,0,IF((C$3*10^12-$A136)*(C$3*10^12-$A135)*-1&lt;0,0,1)*IF(ABS(C$3*10^12-$A136)&gt;(C$3*10^12-$A135),$A135,$A136))</f>
        <v>0</v>
      </c>
      <c r="D135">
        <f t="shared" si="39"/>
        <v>0</v>
      </c>
      <c r="E135">
        <f t="shared" si="39"/>
        <v>0</v>
      </c>
      <c r="F135">
        <f t="shared" si="35"/>
        <v>0</v>
      </c>
      <c r="G135">
        <f t="shared" si="35"/>
        <v>0</v>
      </c>
      <c r="H135">
        <f t="shared" si="35"/>
        <v>0</v>
      </c>
      <c r="I135">
        <f t="shared" si="35"/>
        <v>0</v>
      </c>
      <c r="J135">
        <f t="shared" si="35"/>
        <v>0</v>
      </c>
      <c r="K135">
        <f t="shared" si="35"/>
        <v>0</v>
      </c>
      <c r="L135">
        <f t="shared" si="35"/>
        <v>0</v>
      </c>
      <c r="M135">
        <f t="shared" si="36"/>
        <v>0</v>
      </c>
      <c r="N135" t="e">
        <f t="shared" si="37"/>
        <v>#REF!</v>
      </c>
    </row>
    <row r="136" spans="1:14" x14ac:dyDescent="0.25">
      <c r="A136">
        <f t="shared" si="28"/>
        <v>33000000000</v>
      </c>
      <c r="B136">
        <f t="shared" si="38"/>
        <v>0</v>
      </c>
      <c r="C136">
        <f t="shared" si="39"/>
        <v>0</v>
      </c>
      <c r="D136">
        <f t="shared" si="39"/>
        <v>0</v>
      </c>
      <c r="E136">
        <f t="shared" si="39"/>
        <v>0</v>
      </c>
      <c r="F136">
        <f t="shared" si="35"/>
        <v>0</v>
      </c>
      <c r="G136">
        <f t="shared" si="35"/>
        <v>0</v>
      </c>
      <c r="H136">
        <f t="shared" si="35"/>
        <v>0</v>
      </c>
      <c r="I136">
        <f t="shared" si="35"/>
        <v>0</v>
      </c>
      <c r="J136">
        <f t="shared" si="35"/>
        <v>0</v>
      </c>
      <c r="K136">
        <f t="shared" si="35"/>
        <v>0</v>
      </c>
      <c r="L136">
        <f t="shared" si="35"/>
        <v>0</v>
      </c>
      <c r="M136">
        <f t="shared" si="36"/>
        <v>0</v>
      </c>
      <c r="N136" t="e">
        <f t="shared" si="37"/>
        <v>#REF!</v>
      </c>
    </row>
    <row r="137" spans="1:14" x14ac:dyDescent="0.25">
      <c r="A137">
        <f t="shared" si="28"/>
        <v>39000000000</v>
      </c>
      <c r="B137">
        <f t="shared" si="38"/>
        <v>0</v>
      </c>
      <c r="C137">
        <f t="shared" si="39"/>
        <v>0</v>
      </c>
      <c r="D137">
        <f t="shared" si="39"/>
        <v>0</v>
      </c>
      <c r="E137">
        <f t="shared" si="39"/>
        <v>0</v>
      </c>
      <c r="F137">
        <f t="shared" si="35"/>
        <v>0</v>
      </c>
      <c r="G137">
        <f t="shared" si="35"/>
        <v>0</v>
      </c>
      <c r="H137">
        <f t="shared" si="35"/>
        <v>0</v>
      </c>
      <c r="I137">
        <f t="shared" si="35"/>
        <v>0</v>
      </c>
      <c r="J137">
        <f t="shared" si="35"/>
        <v>0</v>
      </c>
      <c r="K137">
        <f t="shared" si="35"/>
        <v>0</v>
      </c>
      <c r="L137">
        <f t="shared" si="35"/>
        <v>0</v>
      </c>
      <c r="M137">
        <f t="shared" si="36"/>
        <v>0</v>
      </c>
      <c r="N137" t="e">
        <f t="shared" si="37"/>
        <v>#REF!</v>
      </c>
    </row>
    <row r="138" spans="1:14" x14ac:dyDescent="0.25">
      <c r="A138">
        <f t="shared" si="28"/>
        <v>47000000000</v>
      </c>
      <c r="B138">
        <f t="shared" si="38"/>
        <v>0</v>
      </c>
      <c r="C138">
        <f t="shared" si="39"/>
        <v>0</v>
      </c>
      <c r="D138">
        <f t="shared" si="39"/>
        <v>0</v>
      </c>
      <c r="E138">
        <f t="shared" si="39"/>
        <v>0</v>
      </c>
      <c r="F138">
        <f t="shared" si="35"/>
        <v>0</v>
      </c>
      <c r="G138">
        <f t="shared" si="35"/>
        <v>0</v>
      </c>
      <c r="H138">
        <f t="shared" si="35"/>
        <v>0</v>
      </c>
      <c r="I138">
        <f t="shared" si="35"/>
        <v>0</v>
      </c>
      <c r="J138">
        <f t="shared" si="35"/>
        <v>0</v>
      </c>
      <c r="K138">
        <f t="shared" si="35"/>
        <v>0</v>
      </c>
      <c r="L138">
        <f t="shared" si="35"/>
        <v>0</v>
      </c>
      <c r="M138">
        <f t="shared" si="36"/>
        <v>0</v>
      </c>
      <c r="N138" t="e">
        <f t="shared" si="37"/>
        <v>#REF!</v>
      </c>
    </row>
    <row r="139" spans="1:14" x14ac:dyDescent="0.25">
      <c r="A139">
        <f t="shared" si="28"/>
        <v>56000000000</v>
      </c>
      <c r="B139">
        <f t="shared" si="38"/>
        <v>0</v>
      </c>
      <c r="C139">
        <f t="shared" si="39"/>
        <v>0</v>
      </c>
      <c r="D139">
        <f t="shared" si="39"/>
        <v>0</v>
      </c>
      <c r="E139">
        <f t="shared" si="39"/>
        <v>0</v>
      </c>
      <c r="F139">
        <f t="shared" si="35"/>
        <v>0</v>
      </c>
      <c r="G139">
        <f t="shared" si="35"/>
        <v>0</v>
      </c>
      <c r="H139">
        <f t="shared" si="35"/>
        <v>0</v>
      </c>
      <c r="I139">
        <f t="shared" si="35"/>
        <v>0</v>
      </c>
      <c r="J139">
        <f t="shared" si="35"/>
        <v>0</v>
      </c>
      <c r="K139">
        <f t="shared" si="35"/>
        <v>0</v>
      </c>
      <c r="L139">
        <f t="shared" si="35"/>
        <v>0</v>
      </c>
      <c r="M139">
        <f t="shared" si="36"/>
        <v>0</v>
      </c>
      <c r="N139" t="e">
        <f t="shared" si="37"/>
        <v>#REF!</v>
      </c>
    </row>
    <row r="140" spans="1:14" x14ac:dyDescent="0.25">
      <c r="A140">
        <f t="shared" si="28"/>
        <v>68000000000</v>
      </c>
      <c r="B140">
        <f t="shared" si="38"/>
        <v>0</v>
      </c>
      <c r="C140">
        <f t="shared" si="39"/>
        <v>0</v>
      </c>
      <c r="D140">
        <f t="shared" si="39"/>
        <v>0</v>
      </c>
      <c r="E140">
        <f t="shared" si="39"/>
        <v>0</v>
      </c>
      <c r="F140">
        <f t="shared" si="35"/>
        <v>0</v>
      </c>
      <c r="G140">
        <f t="shared" si="35"/>
        <v>0</v>
      </c>
      <c r="H140">
        <f t="shared" si="35"/>
        <v>0</v>
      </c>
      <c r="I140">
        <f t="shared" si="35"/>
        <v>0</v>
      </c>
      <c r="J140">
        <f t="shared" si="35"/>
        <v>0</v>
      </c>
      <c r="K140">
        <f t="shared" si="35"/>
        <v>0</v>
      </c>
      <c r="L140">
        <f t="shared" si="35"/>
        <v>0</v>
      </c>
      <c r="M140">
        <f t="shared" si="36"/>
        <v>0</v>
      </c>
      <c r="N140" t="e">
        <f t="shared" si="37"/>
        <v>#REF!</v>
      </c>
    </row>
    <row r="141" spans="1:14" x14ac:dyDescent="0.25">
      <c r="A141">
        <f t="shared" si="28"/>
        <v>82000000000</v>
      </c>
      <c r="B141">
        <f t="shared" si="38"/>
        <v>0</v>
      </c>
      <c r="C141">
        <f t="shared" si="39"/>
        <v>0</v>
      </c>
      <c r="D141">
        <f t="shared" si="39"/>
        <v>0</v>
      </c>
      <c r="E141">
        <f t="shared" si="39"/>
        <v>0</v>
      </c>
      <c r="F141">
        <f t="shared" si="35"/>
        <v>0</v>
      </c>
      <c r="G141">
        <f t="shared" si="35"/>
        <v>0</v>
      </c>
      <c r="H141">
        <f t="shared" si="35"/>
        <v>0</v>
      </c>
      <c r="I141">
        <f t="shared" si="35"/>
        <v>0</v>
      </c>
      <c r="J141">
        <f t="shared" si="35"/>
        <v>0</v>
      </c>
      <c r="K141">
        <f t="shared" si="35"/>
        <v>0</v>
      </c>
      <c r="L141">
        <f t="shared" si="35"/>
        <v>0</v>
      </c>
      <c r="M141">
        <f t="shared" si="36"/>
        <v>0</v>
      </c>
      <c r="N141" t="e">
        <f t="shared" si="37"/>
        <v>#REF!</v>
      </c>
    </row>
    <row r="142" spans="1:14" x14ac:dyDescent="0.25">
      <c r="A142">
        <f t="shared" si="28"/>
        <v>100000000000</v>
      </c>
      <c r="B142">
        <f t="shared" si="38"/>
        <v>0</v>
      </c>
      <c r="C142">
        <f t="shared" si="39"/>
        <v>0</v>
      </c>
      <c r="D142">
        <f t="shared" si="39"/>
        <v>0</v>
      </c>
      <c r="E142">
        <f t="shared" si="39"/>
        <v>0</v>
      </c>
      <c r="F142">
        <f t="shared" si="35"/>
        <v>0</v>
      </c>
      <c r="G142">
        <f t="shared" si="35"/>
        <v>0</v>
      </c>
      <c r="H142">
        <f t="shared" si="35"/>
        <v>0</v>
      </c>
      <c r="I142">
        <f t="shared" si="35"/>
        <v>0</v>
      </c>
      <c r="J142">
        <f t="shared" si="35"/>
        <v>0</v>
      </c>
      <c r="K142">
        <f t="shared" si="35"/>
        <v>0</v>
      </c>
      <c r="L142">
        <f t="shared" si="35"/>
        <v>0</v>
      </c>
      <c r="M142">
        <f t="shared" si="36"/>
        <v>0</v>
      </c>
      <c r="N142" t="e">
        <f t="shared" si="37"/>
        <v>#REF!</v>
      </c>
    </row>
    <row r="143" spans="1:14" x14ac:dyDescent="0.25">
      <c r="A143">
        <f t="shared" si="28"/>
        <v>120000000000</v>
      </c>
      <c r="B143">
        <f t="shared" si="38"/>
        <v>0</v>
      </c>
      <c r="C143">
        <f t="shared" si="39"/>
        <v>0</v>
      </c>
      <c r="D143">
        <f t="shared" si="39"/>
        <v>0</v>
      </c>
      <c r="E143">
        <f t="shared" si="39"/>
        <v>0</v>
      </c>
      <c r="F143">
        <f t="shared" si="35"/>
        <v>0</v>
      </c>
      <c r="G143">
        <f t="shared" si="35"/>
        <v>0</v>
      </c>
      <c r="H143">
        <f t="shared" si="35"/>
        <v>0</v>
      </c>
      <c r="I143">
        <f t="shared" si="35"/>
        <v>0</v>
      </c>
      <c r="J143">
        <f t="shared" si="35"/>
        <v>0</v>
      </c>
      <c r="K143">
        <f t="shared" si="35"/>
        <v>0</v>
      </c>
      <c r="L143">
        <f t="shared" si="35"/>
        <v>0</v>
      </c>
      <c r="M143">
        <f t="shared" si="36"/>
        <v>0</v>
      </c>
      <c r="N143" t="e">
        <f t="shared" si="37"/>
        <v>#REF!</v>
      </c>
    </row>
    <row r="144" spans="1:14" x14ac:dyDescent="0.25">
      <c r="A144">
        <f t="shared" si="28"/>
        <v>150000000000</v>
      </c>
      <c r="B144">
        <f t="shared" si="38"/>
        <v>0</v>
      </c>
      <c r="C144">
        <f t="shared" si="39"/>
        <v>0</v>
      </c>
      <c r="D144">
        <f t="shared" si="39"/>
        <v>0</v>
      </c>
      <c r="E144">
        <f t="shared" si="39"/>
        <v>0</v>
      </c>
      <c r="F144">
        <f t="shared" si="35"/>
        <v>0</v>
      </c>
      <c r="G144">
        <f t="shared" si="35"/>
        <v>0</v>
      </c>
      <c r="H144">
        <f t="shared" si="35"/>
        <v>0</v>
      </c>
      <c r="I144">
        <f t="shared" si="35"/>
        <v>0</v>
      </c>
      <c r="J144">
        <f t="shared" si="35"/>
        <v>0</v>
      </c>
      <c r="K144">
        <f t="shared" si="35"/>
        <v>0</v>
      </c>
      <c r="L144">
        <f t="shared" si="35"/>
        <v>0</v>
      </c>
      <c r="M144">
        <f t="shared" si="36"/>
        <v>0</v>
      </c>
      <c r="N144" t="e">
        <f t="shared" si="37"/>
        <v>#REF!</v>
      </c>
    </row>
    <row r="145" spans="1:14" x14ac:dyDescent="0.25">
      <c r="A145">
        <f t="shared" si="28"/>
        <v>180000000000</v>
      </c>
      <c r="B145">
        <f t="shared" si="38"/>
        <v>0</v>
      </c>
      <c r="C145">
        <f t="shared" si="39"/>
        <v>0</v>
      </c>
      <c r="D145">
        <f t="shared" si="39"/>
        <v>0</v>
      </c>
      <c r="E145">
        <f t="shared" si="39"/>
        <v>0</v>
      </c>
      <c r="F145">
        <f t="shared" si="35"/>
        <v>0</v>
      </c>
      <c r="G145">
        <f t="shared" si="35"/>
        <v>0</v>
      </c>
      <c r="H145">
        <f t="shared" si="35"/>
        <v>0</v>
      </c>
      <c r="I145">
        <f t="shared" si="35"/>
        <v>0</v>
      </c>
      <c r="J145">
        <f t="shared" si="35"/>
        <v>0</v>
      </c>
      <c r="K145">
        <f t="shared" si="35"/>
        <v>0</v>
      </c>
      <c r="L145">
        <f t="shared" si="35"/>
        <v>0</v>
      </c>
      <c r="M145">
        <f t="shared" si="36"/>
        <v>0</v>
      </c>
      <c r="N145" t="e">
        <f t="shared" si="37"/>
        <v>#REF!</v>
      </c>
    </row>
    <row r="146" spans="1:14" x14ac:dyDescent="0.25">
      <c r="A146">
        <f t="shared" si="28"/>
        <v>220000000000</v>
      </c>
      <c r="B146">
        <f t="shared" si="38"/>
        <v>0</v>
      </c>
      <c r="C146">
        <f t="shared" si="39"/>
        <v>0</v>
      </c>
      <c r="D146">
        <f t="shared" si="39"/>
        <v>0</v>
      </c>
      <c r="E146">
        <f t="shared" si="39"/>
        <v>0</v>
      </c>
      <c r="F146">
        <f t="shared" si="35"/>
        <v>0</v>
      </c>
      <c r="G146">
        <f t="shared" si="35"/>
        <v>0</v>
      </c>
      <c r="H146">
        <f t="shared" si="35"/>
        <v>0</v>
      </c>
      <c r="I146">
        <f t="shared" si="35"/>
        <v>0</v>
      </c>
      <c r="J146">
        <f t="shared" si="35"/>
        <v>0</v>
      </c>
      <c r="K146">
        <f t="shared" si="35"/>
        <v>0</v>
      </c>
      <c r="L146">
        <f t="shared" si="35"/>
        <v>0</v>
      </c>
      <c r="M146">
        <f t="shared" si="36"/>
        <v>0</v>
      </c>
      <c r="N146" t="e">
        <f t="shared" si="37"/>
        <v>#REF!</v>
      </c>
    </row>
    <row r="147" spans="1:14" x14ac:dyDescent="0.25">
      <c r="A147">
        <f t="shared" si="28"/>
        <v>270000000000</v>
      </c>
      <c r="B147">
        <f t="shared" si="38"/>
        <v>0</v>
      </c>
      <c r="C147">
        <f t="shared" si="39"/>
        <v>0</v>
      </c>
      <c r="D147">
        <f t="shared" si="39"/>
        <v>0</v>
      </c>
      <c r="E147">
        <f t="shared" si="39"/>
        <v>0</v>
      </c>
      <c r="F147">
        <f t="shared" si="35"/>
        <v>0</v>
      </c>
      <c r="G147">
        <f t="shared" si="35"/>
        <v>0</v>
      </c>
      <c r="H147">
        <f t="shared" si="35"/>
        <v>0</v>
      </c>
      <c r="I147">
        <f t="shared" si="35"/>
        <v>0</v>
      </c>
      <c r="J147">
        <f t="shared" si="35"/>
        <v>0</v>
      </c>
      <c r="K147">
        <f t="shared" si="35"/>
        <v>0</v>
      </c>
      <c r="L147">
        <f t="shared" si="35"/>
        <v>0</v>
      </c>
      <c r="M147">
        <f t="shared" si="36"/>
        <v>0</v>
      </c>
      <c r="N147" t="e">
        <f t="shared" si="37"/>
        <v>#REF!</v>
      </c>
    </row>
    <row r="148" spans="1:14" x14ac:dyDescent="0.25">
      <c r="A148">
        <f t="shared" si="28"/>
        <v>330000000000</v>
      </c>
      <c r="B148">
        <f t="shared" si="38"/>
        <v>0</v>
      </c>
      <c r="C148">
        <f t="shared" si="39"/>
        <v>0</v>
      </c>
      <c r="D148">
        <f t="shared" si="39"/>
        <v>0</v>
      </c>
      <c r="E148">
        <f t="shared" si="39"/>
        <v>0</v>
      </c>
      <c r="F148">
        <f t="shared" si="35"/>
        <v>0</v>
      </c>
      <c r="G148">
        <f t="shared" si="35"/>
        <v>0</v>
      </c>
      <c r="H148">
        <f t="shared" si="35"/>
        <v>0</v>
      </c>
      <c r="I148">
        <f t="shared" si="35"/>
        <v>0</v>
      </c>
      <c r="J148">
        <f t="shared" si="35"/>
        <v>0</v>
      </c>
      <c r="K148">
        <f t="shared" si="35"/>
        <v>0</v>
      </c>
      <c r="L148">
        <f t="shared" si="35"/>
        <v>0</v>
      </c>
      <c r="M148">
        <f t="shared" si="36"/>
        <v>0</v>
      </c>
      <c r="N148" t="e">
        <f t="shared" si="37"/>
        <v>#REF!</v>
      </c>
    </row>
    <row r="149" spans="1:14" x14ac:dyDescent="0.25">
      <c r="A149">
        <f t="shared" si="28"/>
        <v>390000000000</v>
      </c>
      <c r="B149">
        <f t="shared" si="38"/>
        <v>0</v>
      </c>
      <c r="C149">
        <f t="shared" si="39"/>
        <v>0</v>
      </c>
      <c r="D149">
        <f t="shared" si="39"/>
        <v>0</v>
      </c>
      <c r="E149">
        <f t="shared" si="39"/>
        <v>0</v>
      </c>
      <c r="F149">
        <f t="shared" si="35"/>
        <v>0</v>
      </c>
      <c r="G149">
        <f t="shared" si="35"/>
        <v>0</v>
      </c>
      <c r="H149">
        <f t="shared" si="35"/>
        <v>0</v>
      </c>
      <c r="I149">
        <f t="shared" si="35"/>
        <v>0</v>
      </c>
      <c r="J149">
        <f t="shared" si="35"/>
        <v>0</v>
      </c>
      <c r="K149">
        <f t="shared" si="35"/>
        <v>0</v>
      </c>
      <c r="L149">
        <f t="shared" si="35"/>
        <v>0</v>
      </c>
      <c r="M149">
        <f t="shared" si="36"/>
        <v>0</v>
      </c>
      <c r="N149" t="e">
        <f t="shared" si="37"/>
        <v>#REF!</v>
      </c>
    </row>
    <row r="150" spans="1:14" x14ac:dyDescent="0.25">
      <c r="A150">
        <f t="shared" si="28"/>
        <v>470000000000</v>
      </c>
      <c r="B150">
        <f t="shared" si="38"/>
        <v>0</v>
      </c>
      <c r="C150">
        <f t="shared" si="39"/>
        <v>0</v>
      </c>
      <c r="D150">
        <f t="shared" si="39"/>
        <v>0</v>
      </c>
      <c r="E150">
        <f t="shared" si="39"/>
        <v>0</v>
      </c>
      <c r="F150">
        <f t="shared" si="35"/>
        <v>0</v>
      </c>
      <c r="G150">
        <f t="shared" si="35"/>
        <v>0</v>
      </c>
      <c r="H150">
        <f t="shared" si="35"/>
        <v>0</v>
      </c>
      <c r="I150">
        <f t="shared" si="35"/>
        <v>0</v>
      </c>
      <c r="J150">
        <f t="shared" si="35"/>
        <v>0</v>
      </c>
      <c r="K150">
        <f t="shared" si="35"/>
        <v>0</v>
      </c>
      <c r="L150">
        <f t="shared" si="35"/>
        <v>0</v>
      </c>
      <c r="M150">
        <f t="shared" si="36"/>
        <v>0</v>
      </c>
      <c r="N150" t="e">
        <f t="shared" si="37"/>
        <v>#REF!</v>
      </c>
    </row>
    <row r="151" spans="1:14" x14ac:dyDescent="0.25">
      <c r="A151">
        <f t="shared" si="28"/>
        <v>560000000000</v>
      </c>
      <c r="B151">
        <f t="shared" si="38"/>
        <v>0</v>
      </c>
      <c r="C151">
        <f t="shared" si="39"/>
        <v>0</v>
      </c>
      <c r="D151">
        <f t="shared" si="39"/>
        <v>0</v>
      </c>
      <c r="E151">
        <f t="shared" si="39"/>
        <v>0</v>
      </c>
      <c r="F151">
        <f t="shared" si="35"/>
        <v>0</v>
      </c>
      <c r="G151">
        <f t="shared" si="35"/>
        <v>0</v>
      </c>
      <c r="H151">
        <f t="shared" si="35"/>
        <v>0</v>
      </c>
      <c r="I151">
        <f t="shared" si="35"/>
        <v>0</v>
      </c>
      <c r="J151">
        <f t="shared" si="35"/>
        <v>0</v>
      </c>
      <c r="K151">
        <f t="shared" si="35"/>
        <v>0</v>
      </c>
      <c r="L151">
        <f t="shared" si="35"/>
        <v>0</v>
      </c>
      <c r="M151">
        <f t="shared" si="36"/>
        <v>0</v>
      </c>
      <c r="N151" t="e">
        <f t="shared" si="37"/>
        <v>#REF!</v>
      </c>
    </row>
    <row r="152" spans="1:14" x14ac:dyDescent="0.25">
      <c r="A152">
        <f t="shared" si="28"/>
        <v>680000000000</v>
      </c>
      <c r="B152">
        <f t="shared" si="38"/>
        <v>0</v>
      </c>
      <c r="C152">
        <f t="shared" si="39"/>
        <v>0</v>
      </c>
      <c r="D152">
        <f t="shared" si="39"/>
        <v>0</v>
      </c>
      <c r="E152">
        <f t="shared" si="39"/>
        <v>0</v>
      </c>
      <c r="F152">
        <f t="shared" si="35"/>
        <v>0</v>
      </c>
      <c r="G152">
        <f t="shared" si="35"/>
        <v>0</v>
      </c>
      <c r="H152">
        <f t="shared" si="35"/>
        <v>0</v>
      </c>
      <c r="I152">
        <f t="shared" si="35"/>
        <v>0</v>
      </c>
      <c r="J152">
        <f t="shared" si="35"/>
        <v>0</v>
      </c>
      <c r="K152">
        <f t="shared" si="35"/>
        <v>0</v>
      </c>
      <c r="L152">
        <f t="shared" si="35"/>
        <v>0</v>
      </c>
      <c r="M152">
        <f t="shared" si="36"/>
        <v>0</v>
      </c>
      <c r="N152" t="e">
        <f t="shared" si="37"/>
        <v>#REF!</v>
      </c>
    </row>
    <row r="153" spans="1:14" x14ac:dyDescent="0.25">
      <c r="A153">
        <f t="shared" si="28"/>
        <v>820000000000</v>
      </c>
      <c r="B153">
        <f t="shared" si="38"/>
        <v>0</v>
      </c>
      <c r="C153">
        <f t="shared" si="39"/>
        <v>0</v>
      </c>
      <c r="D153">
        <f t="shared" si="39"/>
        <v>0</v>
      </c>
      <c r="E153">
        <f t="shared" si="39"/>
        <v>0</v>
      </c>
      <c r="F153">
        <f t="shared" si="35"/>
        <v>0</v>
      </c>
      <c r="G153">
        <f t="shared" si="35"/>
        <v>0</v>
      </c>
      <c r="H153">
        <f t="shared" si="35"/>
        <v>0</v>
      </c>
      <c r="I153">
        <f t="shared" si="35"/>
        <v>0</v>
      </c>
      <c r="J153">
        <f t="shared" si="35"/>
        <v>0</v>
      </c>
      <c r="K153">
        <f t="shared" si="35"/>
        <v>0</v>
      </c>
      <c r="L153">
        <f t="shared" si="35"/>
        <v>0</v>
      </c>
      <c r="M153">
        <f t="shared" si="36"/>
        <v>0</v>
      </c>
      <c r="N153" t="e">
        <f t="shared" si="37"/>
        <v>#REF!</v>
      </c>
    </row>
    <row r="154" spans="1:14" x14ac:dyDescent="0.25">
      <c r="A154">
        <f t="shared" si="28"/>
        <v>1000000000000</v>
      </c>
      <c r="B154">
        <f t="shared" si="38"/>
        <v>0</v>
      </c>
      <c r="C154">
        <f t="shared" si="39"/>
        <v>0</v>
      </c>
      <c r="D154">
        <f t="shared" si="39"/>
        <v>0</v>
      </c>
      <c r="E154">
        <f t="shared" si="39"/>
        <v>0</v>
      </c>
      <c r="F154">
        <f t="shared" si="35"/>
        <v>0</v>
      </c>
      <c r="G154">
        <f t="shared" si="35"/>
        <v>0</v>
      </c>
      <c r="H154">
        <f t="shared" si="35"/>
        <v>0</v>
      </c>
      <c r="I154">
        <f t="shared" si="35"/>
        <v>0</v>
      </c>
      <c r="J154">
        <f t="shared" si="35"/>
        <v>0</v>
      </c>
      <c r="K154">
        <f t="shared" si="35"/>
        <v>0</v>
      </c>
      <c r="L154">
        <f t="shared" si="35"/>
        <v>0</v>
      </c>
      <c r="M154">
        <f t="shared" si="36"/>
        <v>0</v>
      </c>
      <c r="N154" t="e">
        <f t="shared" si="37"/>
        <v>#REF!</v>
      </c>
    </row>
    <row r="155" spans="1:14" x14ac:dyDescent="0.25">
      <c r="A155">
        <f t="shared" si="28"/>
        <v>1200000000000</v>
      </c>
      <c r="B155">
        <f t="shared" si="38"/>
        <v>0</v>
      </c>
      <c r="C155">
        <f t="shared" si="39"/>
        <v>0</v>
      </c>
      <c r="D155">
        <f t="shared" si="39"/>
        <v>0</v>
      </c>
      <c r="E155">
        <f t="shared" si="39"/>
        <v>0</v>
      </c>
      <c r="F155">
        <f t="shared" si="35"/>
        <v>0</v>
      </c>
      <c r="G155">
        <f t="shared" si="35"/>
        <v>0</v>
      </c>
      <c r="H155">
        <f t="shared" si="35"/>
        <v>0</v>
      </c>
      <c r="I155">
        <f t="shared" si="35"/>
        <v>0</v>
      </c>
      <c r="J155">
        <f t="shared" si="35"/>
        <v>0</v>
      </c>
      <c r="K155">
        <f t="shared" si="35"/>
        <v>0</v>
      </c>
      <c r="L155">
        <f t="shared" si="35"/>
        <v>0</v>
      </c>
      <c r="M155">
        <f t="shared" si="36"/>
        <v>0</v>
      </c>
      <c r="N155" t="e">
        <f t="shared" si="37"/>
        <v>#REF!</v>
      </c>
    </row>
    <row r="156" spans="1:14" x14ac:dyDescent="0.25">
      <c r="A156">
        <f t="shared" si="28"/>
        <v>1500000000000</v>
      </c>
      <c r="B156">
        <f t="shared" si="38"/>
        <v>0</v>
      </c>
      <c r="C156">
        <f t="shared" si="39"/>
        <v>0</v>
      </c>
      <c r="D156">
        <f t="shared" si="39"/>
        <v>0</v>
      </c>
      <c r="E156">
        <f t="shared" si="39"/>
        <v>0</v>
      </c>
      <c r="F156">
        <f t="shared" si="35"/>
        <v>0</v>
      </c>
      <c r="G156">
        <f t="shared" si="35"/>
        <v>0</v>
      </c>
      <c r="H156">
        <f t="shared" si="35"/>
        <v>0</v>
      </c>
      <c r="I156">
        <f t="shared" si="35"/>
        <v>0</v>
      </c>
      <c r="J156">
        <f t="shared" si="35"/>
        <v>0</v>
      </c>
      <c r="K156">
        <f t="shared" si="35"/>
        <v>0</v>
      </c>
      <c r="L156">
        <f t="shared" si="35"/>
        <v>0</v>
      </c>
      <c r="M156">
        <f t="shared" si="36"/>
        <v>0</v>
      </c>
      <c r="N156" t="e">
        <f t="shared" si="37"/>
        <v>#REF!</v>
      </c>
    </row>
    <row r="157" spans="1:14" x14ac:dyDescent="0.25">
      <c r="A157">
        <f t="shared" si="28"/>
        <v>1800000000000</v>
      </c>
      <c r="B157">
        <f t="shared" si="38"/>
        <v>0</v>
      </c>
      <c r="C157">
        <f t="shared" si="39"/>
        <v>0</v>
      </c>
      <c r="D157">
        <f t="shared" si="39"/>
        <v>0</v>
      </c>
      <c r="E157">
        <f t="shared" si="39"/>
        <v>0</v>
      </c>
      <c r="F157">
        <f t="shared" si="35"/>
        <v>0</v>
      </c>
      <c r="G157">
        <f t="shared" si="35"/>
        <v>0</v>
      </c>
      <c r="H157">
        <f t="shared" si="35"/>
        <v>0</v>
      </c>
      <c r="I157">
        <f t="shared" si="35"/>
        <v>0</v>
      </c>
      <c r="J157">
        <f t="shared" si="35"/>
        <v>0</v>
      </c>
      <c r="K157">
        <f t="shared" si="35"/>
        <v>0</v>
      </c>
      <c r="L157">
        <f t="shared" si="35"/>
        <v>0</v>
      </c>
      <c r="M157">
        <f t="shared" si="36"/>
        <v>0</v>
      </c>
      <c r="N157" t="e">
        <f t="shared" si="37"/>
        <v>#REF!</v>
      </c>
    </row>
    <row r="158" spans="1:14" x14ac:dyDescent="0.25">
      <c r="A158">
        <f t="shared" si="28"/>
        <v>2200000000000</v>
      </c>
      <c r="B158">
        <f t="shared" si="38"/>
        <v>0</v>
      </c>
      <c r="C158">
        <f t="shared" si="39"/>
        <v>0</v>
      </c>
      <c r="D158">
        <f t="shared" si="39"/>
        <v>0</v>
      </c>
      <c r="E158">
        <f t="shared" si="39"/>
        <v>0</v>
      </c>
      <c r="F158">
        <f t="shared" si="35"/>
        <v>0</v>
      </c>
      <c r="G158">
        <f t="shared" si="35"/>
        <v>0</v>
      </c>
      <c r="H158">
        <f t="shared" si="35"/>
        <v>0</v>
      </c>
      <c r="I158">
        <f t="shared" si="35"/>
        <v>0</v>
      </c>
      <c r="J158">
        <f t="shared" si="35"/>
        <v>0</v>
      </c>
      <c r="K158">
        <f t="shared" si="35"/>
        <v>0</v>
      </c>
      <c r="L158">
        <f t="shared" si="35"/>
        <v>0</v>
      </c>
      <c r="M158">
        <f t="shared" si="36"/>
        <v>0</v>
      </c>
      <c r="N158" t="e">
        <f t="shared" si="37"/>
        <v>#REF!</v>
      </c>
    </row>
    <row r="159" spans="1:14" x14ac:dyDescent="0.25">
      <c r="A159" s="63">
        <f t="shared" si="28"/>
        <v>2700000000000</v>
      </c>
      <c r="B159">
        <f t="shared" si="38"/>
        <v>2700000000000</v>
      </c>
      <c r="C159">
        <f t="shared" si="39"/>
        <v>2700000000000</v>
      </c>
      <c r="D159">
        <f t="shared" si="39"/>
        <v>2700000000000</v>
      </c>
      <c r="E159">
        <f t="shared" si="39"/>
        <v>2700000000000</v>
      </c>
      <c r="F159">
        <f t="shared" si="35"/>
        <v>2700000000000</v>
      </c>
      <c r="G159">
        <f t="shared" si="35"/>
        <v>2700000000000</v>
      </c>
      <c r="H159">
        <f t="shared" si="35"/>
        <v>2700000000000</v>
      </c>
      <c r="I159">
        <f t="shared" si="35"/>
        <v>2700000000000</v>
      </c>
      <c r="J159">
        <f t="shared" si="35"/>
        <v>2700000000000</v>
      </c>
      <c r="K159">
        <f t="shared" si="35"/>
        <v>0</v>
      </c>
      <c r="L159">
        <f t="shared" si="35"/>
        <v>2700000000000</v>
      </c>
      <c r="M159">
        <f t="shared" si="36"/>
        <v>2700000000000</v>
      </c>
      <c r="N159" t="e">
        <f t="shared" si="37"/>
        <v>#REF!</v>
      </c>
    </row>
  </sheetData>
  <phoneticPr fontId="5" type="noConversion"/>
  <pageMargins left="0.75" right="0.75" top="1" bottom="1" header="0.5" footer="0.5"/>
  <pageSetup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A1:CC692"/>
  <sheetViews>
    <sheetView topLeftCell="A663" workbookViewId="0">
      <selection activeCell="B691" sqref="B691:B692"/>
    </sheetView>
  </sheetViews>
  <sheetFormatPr defaultRowHeight="12.5" x14ac:dyDescent="0.25"/>
  <cols>
    <col min="1" max="1" width="10.453125" customWidth="1"/>
    <col min="2" max="2" width="10" bestFit="1" customWidth="1"/>
    <col min="4" max="4" width="12.453125" bestFit="1" customWidth="1"/>
    <col min="7" max="7" width="11.1796875" customWidth="1"/>
    <col min="8" max="8" width="13.1796875" bestFit="1" customWidth="1"/>
    <col min="13" max="14" width="12.453125" bestFit="1" customWidth="1"/>
    <col min="16" max="16" width="12.453125" bestFit="1" customWidth="1"/>
    <col min="18" max="18" width="13.1796875" bestFit="1" customWidth="1"/>
    <col min="20" max="20" width="13.1796875" bestFit="1" customWidth="1"/>
    <col min="22" max="22" width="13.1796875" bestFit="1" customWidth="1"/>
    <col min="24" max="24" width="13.81640625" bestFit="1" customWidth="1"/>
    <col min="25" max="25" width="12.54296875" bestFit="1" customWidth="1"/>
    <col min="26" max="26" width="12.453125" bestFit="1" customWidth="1"/>
    <col min="28" max="28" width="3.1796875" style="6" customWidth="1"/>
    <col min="29" max="32" width="8.54296875" customWidth="1"/>
    <col min="33" max="33" width="13.1796875" bestFit="1" customWidth="1"/>
    <col min="34" max="34" width="9.54296875" bestFit="1" customWidth="1"/>
    <col min="35" max="35" width="10" bestFit="1" customWidth="1"/>
    <col min="36" max="39" width="8.81640625" customWidth="1"/>
    <col min="43" max="43" width="12.453125" bestFit="1" customWidth="1"/>
    <col min="45" max="46" width="12.453125" bestFit="1" customWidth="1"/>
    <col min="47" max="47" width="13.1796875" bestFit="1" customWidth="1"/>
    <col min="49" max="49" width="13.1796875" bestFit="1" customWidth="1"/>
    <col min="50" max="50" width="11" bestFit="1" customWidth="1"/>
    <col min="54" max="54" width="12.453125" customWidth="1"/>
    <col min="55" max="55" width="10.1796875" customWidth="1"/>
    <col min="58" max="58" width="11" customWidth="1"/>
    <col min="59" max="59" width="13" customWidth="1"/>
    <col min="60" max="60" width="16.81640625" customWidth="1"/>
    <col min="62" max="62" width="12.26953125" customWidth="1"/>
    <col min="66" max="66" width="13.1796875" bestFit="1" customWidth="1"/>
    <col min="72" max="72" width="10.54296875" customWidth="1"/>
  </cols>
  <sheetData>
    <row r="1" spans="1:81" ht="38.25" customHeight="1" x14ac:dyDescent="0.5">
      <c r="A1" s="617" t="s">
        <v>45</v>
      </c>
      <c r="B1" s="617"/>
      <c r="C1" s="617"/>
      <c r="D1" s="617"/>
      <c r="E1" s="617"/>
      <c r="F1" s="617"/>
      <c r="G1" s="617"/>
      <c r="AC1" s="8" t="s">
        <v>106</v>
      </c>
      <c r="AD1" s="5"/>
      <c r="AE1" s="5"/>
      <c r="AF1" s="5"/>
      <c r="AG1" s="5"/>
    </row>
    <row r="3" spans="1:81" x14ac:dyDescent="0.25">
      <c r="AT3">
        <f>AT9/10000000000000</f>
        <v>-3.8303644746085726E-5</v>
      </c>
      <c r="AU3">
        <f>AU9/10000000000000</f>
        <v>-2.3065857239570036E-2</v>
      </c>
    </row>
    <row r="4" spans="1:81" x14ac:dyDescent="0.25">
      <c r="AT4">
        <f>AT3*1000</f>
        <v>-3.8303644746085726E-2</v>
      </c>
      <c r="AU4">
        <f>AU3*1000</f>
        <v>-23.065857239570036</v>
      </c>
      <c r="BJ4" s="5" t="s">
        <v>111</v>
      </c>
      <c r="BK4" s="5"/>
    </row>
    <row r="5" spans="1:81" x14ac:dyDescent="0.25">
      <c r="AC5" t="s">
        <v>93</v>
      </c>
      <c r="AD5" t="s">
        <v>94</v>
      </c>
      <c r="AE5" t="s">
        <v>95</v>
      </c>
      <c r="AF5" t="s">
        <v>96</v>
      </c>
      <c r="AJ5" t="s">
        <v>93</v>
      </c>
      <c r="AK5" t="s">
        <v>94</v>
      </c>
      <c r="AL5" t="s">
        <v>95</v>
      </c>
      <c r="AM5" t="s">
        <v>96</v>
      </c>
      <c r="BJ5" t="s">
        <v>84</v>
      </c>
      <c r="BK5">
        <f>SUM(BJ9:BJ626)/1000</f>
        <v>55.5</v>
      </c>
    </row>
    <row r="6" spans="1:81" ht="13" x14ac:dyDescent="0.3">
      <c r="C6" s="618" t="s">
        <v>46</v>
      </c>
      <c r="D6" s="618"/>
      <c r="E6" s="618"/>
      <c r="F6" s="618"/>
      <c r="G6" s="618"/>
      <c r="H6" s="618"/>
      <c r="J6" s="7" t="s">
        <v>76</v>
      </c>
      <c r="M6" s="7" t="s">
        <v>37</v>
      </c>
      <c r="N6" s="5"/>
      <c r="O6" s="5"/>
      <c r="P6" s="5"/>
      <c r="Q6" s="5"/>
      <c r="R6" s="5"/>
      <c r="S6" s="5"/>
      <c r="T6" s="5"/>
      <c r="U6" s="5"/>
      <c r="V6" s="5"/>
      <c r="X6" s="7" t="s">
        <v>105</v>
      </c>
      <c r="Y6" s="5"/>
      <c r="Z6" s="5"/>
      <c r="AC6" s="5" t="s">
        <v>86</v>
      </c>
      <c r="AD6" s="5"/>
      <c r="AE6" s="5"/>
      <c r="AF6" s="5"/>
      <c r="AG6" s="5"/>
      <c r="AH6" s="5"/>
      <c r="AJ6" s="5" t="s">
        <v>87</v>
      </c>
      <c r="AK6" s="5"/>
      <c r="AL6" s="5"/>
      <c r="AM6" s="5"/>
      <c r="AN6" s="5"/>
      <c r="AO6" s="5"/>
      <c r="AQ6" s="5" t="s">
        <v>107</v>
      </c>
      <c r="AR6" s="5"/>
      <c r="AT6" s="5" t="s">
        <v>108</v>
      </c>
      <c r="AU6" s="5"/>
      <c r="AV6" s="5"/>
      <c r="AW6" s="5"/>
      <c r="AX6" s="5"/>
      <c r="AY6" s="5"/>
      <c r="BA6" s="5" t="s">
        <v>109</v>
      </c>
      <c r="BB6" s="5"/>
      <c r="BC6" s="5"/>
      <c r="BF6" s="5" t="s">
        <v>334</v>
      </c>
      <c r="BG6" s="5"/>
      <c r="BH6" s="5"/>
      <c r="BJ6" t="s">
        <v>85</v>
      </c>
      <c r="BK6" s="4">
        <f>SUM(BK10:BK627)</f>
        <v>62.050015608906762</v>
      </c>
      <c r="BM6" s="5" t="s">
        <v>335</v>
      </c>
      <c r="BN6" s="5"/>
      <c r="BU6" s="2"/>
    </row>
    <row r="7" spans="1:81" ht="13" x14ac:dyDescent="0.3">
      <c r="A7" s="2"/>
      <c r="B7" s="2"/>
      <c r="C7" s="2" t="s">
        <v>47</v>
      </c>
      <c r="D7" s="2"/>
      <c r="E7" s="2"/>
      <c r="F7" s="2" t="s">
        <v>48</v>
      </c>
      <c r="G7" s="2"/>
      <c r="H7" s="2"/>
      <c r="I7" s="2"/>
      <c r="J7" s="2"/>
      <c r="M7" s="615" t="s">
        <v>50</v>
      </c>
      <c r="N7" s="615"/>
      <c r="O7" s="615" t="s">
        <v>64</v>
      </c>
      <c r="P7" s="615"/>
      <c r="Q7" s="615" t="s">
        <v>65</v>
      </c>
      <c r="R7" s="615"/>
      <c r="S7" s="615" t="s">
        <v>66</v>
      </c>
      <c r="T7" s="615"/>
      <c r="U7" s="615" t="s">
        <v>67</v>
      </c>
      <c r="V7" s="615"/>
      <c r="AC7" t="s">
        <v>90</v>
      </c>
      <c r="AE7" t="s">
        <v>91</v>
      </c>
      <c r="AG7" t="s">
        <v>92</v>
      </c>
      <c r="AJ7" t="s">
        <v>90</v>
      </c>
      <c r="AL7" t="s">
        <v>91</v>
      </c>
      <c r="AN7" t="s">
        <v>92</v>
      </c>
      <c r="AQ7" t="s">
        <v>83</v>
      </c>
      <c r="AT7" t="s">
        <v>90</v>
      </c>
      <c r="AW7" t="s">
        <v>91</v>
      </c>
      <c r="BU7" s="2"/>
    </row>
    <row r="8" spans="1:81" ht="13" x14ac:dyDescent="0.3">
      <c r="A8" s="2" t="s">
        <v>44</v>
      </c>
      <c r="B8" s="2"/>
      <c r="C8" s="2" t="s">
        <v>68</v>
      </c>
      <c r="D8" s="2" t="s">
        <v>69</v>
      </c>
      <c r="E8" s="2"/>
      <c r="F8" s="2" t="s">
        <v>68</v>
      </c>
      <c r="G8" s="2"/>
      <c r="H8" s="2" t="s">
        <v>69</v>
      </c>
      <c r="I8" s="2"/>
      <c r="J8" s="2" t="s">
        <v>68</v>
      </c>
      <c r="M8" s="2" t="s">
        <v>68</v>
      </c>
      <c r="N8" s="2" t="s">
        <v>69</v>
      </c>
      <c r="O8" s="2" t="s">
        <v>68</v>
      </c>
      <c r="P8" s="2" t="s">
        <v>69</v>
      </c>
      <c r="Q8" s="2" t="s">
        <v>68</v>
      </c>
      <c r="R8" s="2" t="s">
        <v>69</v>
      </c>
      <c r="S8" s="2" t="s">
        <v>68</v>
      </c>
      <c r="T8" s="2" t="s">
        <v>69</v>
      </c>
      <c r="U8" s="2" t="s">
        <v>68</v>
      </c>
      <c r="V8" s="2" t="s">
        <v>69</v>
      </c>
      <c r="X8" s="2" t="s">
        <v>71</v>
      </c>
      <c r="Y8" s="2" t="s">
        <v>72</v>
      </c>
      <c r="Z8" s="2" t="s">
        <v>73</v>
      </c>
      <c r="AC8" t="s">
        <v>88</v>
      </c>
      <c r="AD8" t="s">
        <v>89</v>
      </c>
      <c r="AE8" t="s">
        <v>88</v>
      </c>
      <c r="AF8" t="s">
        <v>89</v>
      </c>
      <c r="AG8" t="s">
        <v>97</v>
      </c>
      <c r="AH8" t="s">
        <v>98</v>
      </c>
      <c r="AJ8" t="s">
        <v>88</v>
      </c>
      <c r="AK8" t="s">
        <v>89</v>
      </c>
      <c r="AL8" t="s">
        <v>88</v>
      </c>
      <c r="AM8" t="s">
        <v>89</v>
      </c>
      <c r="AN8" t="s">
        <v>100</v>
      </c>
      <c r="AO8" t="s">
        <v>99</v>
      </c>
      <c r="AQ8" t="s">
        <v>88</v>
      </c>
      <c r="AR8" t="s">
        <v>89</v>
      </c>
      <c r="AT8" t="s">
        <v>88</v>
      </c>
      <c r="AU8" t="s">
        <v>89</v>
      </c>
      <c r="AV8" t="s">
        <v>69</v>
      </c>
      <c r="AW8" t="s">
        <v>88</v>
      </c>
      <c r="AX8" t="s">
        <v>89</v>
      </c>
      <c r="AY8" t="s">
        <v>69</v>
      </c>
      <c r="BA8" t="s">
        <v>101</v>
      </c>
      <c r="BB8" t="s">
        <v>103</v>
      </c>
      <c r="BC8" t="s">
        <v>102</v>
      </c>
      <c r="BF8" t="s">
        <v>71</v>
      </c>
      <c r="BG8" t="s">
        <v>72</v>
      </c>
      <c r="BH8" t="s">
        <v>104</v>
      </c>
      <c r="BM8" t="s">
        <v>71</v>
      </c>
      <c r="BN8" t="s">
        <v>336</v>
      </c>
      <c r="BQ8" s="2"/>
      <c r="BR8" s="2"/>
      <c r="BS8" s="2"/>
      <c r="BT8" t="s">
        <v>342</v>
      </c>
      <c r="BY8" s="2"/>
      <c r="BZ8" s="2"/>
      <c r="CA8" s="2"/>
      <c r="CB8" s="2"/>
    </row>
    <row r="9" spans="1:81" ht="13" x14ac:dyDescent="0.3">
      <c r="A9">
        <v>1</v>
      </c>
      <c r="B9">
        <f>A9/1000</f>
        <v>1E-3</v>
      </c>
      <c r="C9">
        <f t="shared" ref="C9:C72" si="0">SQRT((A9/Fesr)^2+1)</f>
        <v>1.0000000000000493</v>
      </c>
      <c r="D9">
        <f t="shared" ref="D9:D72" si="1">ATAN(A9/Fesr)</f>
        <v>3.1415926499998971E-7</v>
      </c>
      <c r="F9">
        <f t="shared" ref="F9:F72" si="2">(Ro/(Ro+Rdcr))/SQRT((A9/(Q*Fo))^2+(1-(A9^2/Fo^2))^2)</f>
        <v>0.9910797662000268</v>
      </c>
      <c r="G9">
        <f t="shared" ref="G9:G72" si="3">-ATAN(A9*Fo/(Q*(Fo^2-A9^2)))</f>
        <v>-3.5810726819322444E-5</v>
      </c>
      <c r="H9">
        <f t="shared" ref="H9:H72" si="4">IF(G9&gt;0,G9-Pi,G9)</f>
        <v>-3.5810726819322444E-5</v>
      </c>
      <c r="J9">
        <f t="shared" ref="J9:J72" si="5">Vin/Vramp</f>
        <v>15</v>
      </c>
      <c r="M9">
        <f t="shared" ref="M9:M72" si="6">1/(2*Pi*_Rfb1*(Cc1ea_u+Cc2ea_u)*A9)</f>
        <v>1098.3778003709895</v>
      </c>
      <c r="N9">
        <f t="shared" ref="N9:N72" si="7">-Pi/2</f>
        <v>-1.5707963250000001</v>
      </c>
      <c r="O9">
        <f t="shared" ref="O9:O72" si="8">SQRT(1+(A9/Fz1_u)^2)</f>
        <v>1.0000000592949403</v>
      </c>
      <c r="P9">
        <f t="shared" ref="P9:P72" si="9">ATAN2(Fz1_u,A9)</f>
        <v>3.4436880630951482E-4</v>
      </c>
      <c r="Q9">
        <f t="shared" ref="Q9:Q72" si="10">SQRT(1+(A9/Fz2_u)^2)</f>
        <v>1.0000000087474068</v>
      </c>
      <c r="R9">
        <f t="shared" ref="R9:R72" si="11">ATAN2(Fz2_u,A9)</f>
        <v>1.3226796129749558E-4</v>
      </c>
      <c r="S9">
        <f t="shared" ref="S9:S72" si="12">1/SQRT(1+(A9/Fp1_u)^2)</f>
        <v>0.99999999999994849</v>
      </c>
      <c r="T9">
        <f t="shared" ref="T9:T72" si="13">-ATAN2(Fp1_u,A9)</f>
        <v>-3.2107076882998904E-7</v>
      </c>
      <c r="U9">
        <f t="shared" ref="U9:U72" si="14">1/SQRT(1+(A9/Fp2_u)^2)</f>
        <v>0.99999999998754574</v>
      </c>
      <c r="V9">
        <f t="shared" ref="V9:V72" si="15">-ATAN2(Fp2_u,A9)</f>
        <v>-4.9908524626020402E-6</v>
      </c>
      <c r="X9">
        <f>20*LOG(C9*J9*O9*Q9*F9*M9*S9*U9)</f>
        <v>84.259032899526943</v>
      </c>
      <c r="Y9">
        <f t="shared" ref="Y9:Y72" si="16">(180/Pi)*(D9+H9+N9+P9+R9+T9+V9)</f>
        <v>-89.975028879117147</v>
      </c>
      <c r="Z9">
        <f>Y9+180</f>
        <v>90.024971120882853</v>
      </c>
      <c r="AC9">
        <v>1</v>
      </c>
      <c r="AD9">
        <f t="shared" ref="AD9:AD72" si="17">Rcea1_u*Cc1ea_u*A9*2*Pi</f>
        <v>3.4436881992240006E-4</v>
      </c>
      <c r="AE9">
        <f t="shared" ref="AE9:AE72" si="18">-Rcea1_u*Cc1ea_u*Cc2ea_u*(A9*2*Pi)^2</f>
        <v>-2.1637331071147712E-13</v>
      </c>
      <c r="AF9">
        <f t="shared" ref="AF9:AF72" si="19">(Cc2ea_u+Cc1ea_u)*A9*2*Pi</f>
        <v>4.3353978570000001E-8</v>
      </c>
      <c r="AG9">
        <f>AC9*AE9/(AE9^2+AF9^2)+AD9*AF9/(AE9^2+AF9^2)</f>
        <v>7828.0697330543326</v>
      </c>
      <c r="AH9">
        <f>AD9*AE9/(AE9^2+AF9^2)-AC9*AF9/(AE9^2+AF9^2)</f>
        <v>-23065933.846859522</v>
      </c>
      <c r="AI9">
        <f>SQRT(AG9^2+AH9^2)</f>
        <v>23065935.175196677</v>
      </c>
      <c r="AJ9">
        <f t="shared" ref="AJ9:AJ72" si="20">_Rfb1</f>
        <v>21000</v>
      </c>
      <c r="AK9">
        <f t="shared" ref="AK9:AK72" si="21">_Rfb1*Rcea2_u*Cc3ea_u*A9*2*Pi</f>
        <v>6.7424861454300003E-3</v>
      </c>
      <c r="AL9">
        <v>1</v>
      </c>
      <c r="AM9">
        <f t="shared" ref="AM9:AM72" si="22">(_Rfb1+Rcea2_u)*Cc3ea_u*A9*2*Pi</f>
        <v>1.3226796206883E-4</v>
      </c>
      <c r="AN9">
        <f>AJ9*AL9/(AL9^2+AM9^2)+AK9*AM9/(AL9^2+AM9^2)</f>
        <v>20999.999633500731</v>
      </c>
      <c r="AO9">
        <f>AK9*AL9/(AL9^2+AM9^2)-AJ9*AM9/(AL9^2+AM9^2)</f>
        <v>-2.7708846688238884</v>
      </c>
      <c r="AP9" s="60">
        <f>SQRT(AN9^2+AO9^2)</f>
        <v>20999.999816305539</v>
      </c>
      <c r="AQ9">
        <f t="shared" ref="AQ9:AQ72" si="23">Eadcg/(1+(Eadcg*A9/GBP)^2)</f>
        <v>9999.9600001600011</v>
      </c>
      <c r="AR9">
        <f t="shared" ref="AR9:AR72" si="24">-(A9*Eadcg*Eadcg/GBP)/(1+(Eadcg*A9/GBP)^2)</f>
        <v>-19.99992000032</v>
      </c>
      <c r="AT9">
        <f>-AR9*AH9+AG9*AQ9</f>
        <v>-383036447.46085727</v>
      </c>
      <c r="AU9">
        <f>AQ9*AH9+AG9*AR9</f>
        <v>-230658572395.70035</v>
      </c>
      <c r="AV9">
        <f>ATAN2(AT9,AU9)</f>
        <v>-1.5724569461743894</v>
      </c>
      <c r="AW9">
        <f t="shared" ref="AW9:AW73" si="25">AG9-AH9*AO9/_Rfb2+AG9*AN9/_Rfb2+AN9-AO9*AR9+AQ9*AN9</f>
        <v>210094913.26964805</v>
      </c>
      <c r="AX9">
        <f t="shared" ref="AX9:AX73" si="26">AH9+AH9*AN9/_Rfb2+AG9*AO9/_Rfb2+AO9+AO9*AQ9+AN9*AR9</f>
        <v>-346436726.34699452</v>
      </c>
      <c r="AY9">
        <f>ATAN2(AW9,AX9)</f>
        <v>-1.025651131851232</v>
      </c>
      <c r="BA9" s="47">
        <f t="shared" ref="BA9:BA72" si="27">SQRT(AT9^2+AU9^2)/SQRT(AW9^2+AX9^2)</f>
        <v>569.29688139300254</v>
      </c>
      <c r="BB9" s="60">
        <f>20*LOG(BA9)</f>
        <v>55.106776095077954</v>
      </c>
      <c r="BC9">
        <f>AV9-AY9</f>
        <v>-0.54680581432315734</v>
      </c>
      <c r="BD9">
        <f t="shared" ref="BD9:BD72" si="28">BC9*180/Pi-180</f>
        <v>-211.32966540973041</v>
      </c>
      <c r="BF9">
        <f t="shared" ref="BF9:BF72" si="29">20*LOG(BA9*J9*F9*C9)</f>
        <v>78.550773470365939</v>
      </c>
      <c r="BG9">
        <f t="shared" ref="BG9:BG72" si="30">(180/Pi)*(D9+H9+BC9)</f>
        <v>-31.3316992132408</v>
      </c>
      <c r="BH9">
        <f>IF(BG9&gt;180,BG9-180,BG9+180)</f>
        <v>148.6683007867592</v>
      </c>
      <c r="BI9">
        <f>IF(BH9&gt;180,BH9-360,BH9)</f>
        <v>148.6683007867592</v>
      </c>
      <c r="BJ9">
        <f t="shared" ref="BJ9:BJ72" si="31">SUM((BF10&lt;0)*(BF9&gt;0))*A9</f>
        <v>0</v>
      </c>
      <c r="BK9">
        <f>IF(BJ9&gt;0,BI9,0)</f>
        <v>0</v>
      </c>
      <c r="BM9">
        <f>20*LOG(J9*F9*C9)</f>
        <v>23.443997375287978</v>
      </c>
      <c r="BN9">
        <f t="shared" ref="BN9:BN72" si="32">(H9+D9)*180/Pi</f>
        <v>-2.0338035103876508E-3</v>
      </c>
      <c r="BQ9" s="66">
        <f>20*LOG(BA9*7)</f>
        <v>72.0087368953631</v>
      </c>
      <c r="BR9" s="66"/>
      <c r="BS9" s="66"/>
      <c r="BT9" s="66" t="s">
        <v>44</v>
      </c>
      <c r="BU9" s="66" t="s">
        <v>68</v>
      </c>
      <c r="BV9" s="66" t="s">
        <v>69</v>
      </c>
      <c r="BW9" s="66"/>
      <c r="BY9" s="66"/>
      <c r="BZ9" s="66"/>
      <c r="CA9" s="66"/>
      <c r="CC9" s="66"/>
    </row>
    <row r="10" spans="1:81" ht="13" x14ac:dyDescent="0.3">
      <c r="A10">
        <v>2</v>
      </c>
      <c r="B10">
        <f t="shared" ref="B10:B73" si="33">A10/1000</f>
        <v>2E-3</v>
      </c>
      <c r="C10">
        <f t="shared" si="0"/>
        <v>1.0000000000001974</v>
      </c>
      <c r="D10">
        <f t="shared" si="1"/>
        <v>6.2831852999991738E-7</v>
      </c>
      <c r="F10">
        <f t="shared" si="2"/>
        <v>0.99107980387603156</v>
      </c>
      <c r="G10">
        <f t="shared" si="3"/>
        <v>-7.1621456407266185E-5</v>
      </c>
      <c r="H10">
        <f t="shared" si="4"/>
        <v>-7.1621456407266185E-5</v>
      </c>
      <c r="J10">
        <f t="shared" si="5"/>
        <v>15</v>
      </c>
      <c r="M10">
        <f t="shared" si="6"/>
        <v>549.18890018549473</v>
      </c>
      <c r="N10">
        <f t="shared" si="7"/>
        <v>-1.5707963250000001</v>
      </c>
      <c r="O10">
        <f t="shared" si="8"/>
        <v>1.0000002371797401</v>
      </c>
      <c r="P10">
        <f t="shared" si="9"/>
        <v>6.8873753094174177E-4</v>
      </c>
      <c r="Q10">
        <f t="shared" si="10"/>
        <v>1.000000034989627</v>
      </c>
      <c r="R10">
        <f t="shared" si="11"/>
        <v>2.6453591796698464E-4</v>
      </c>
      <c r="S10">
        <f t="shared" si="12"/>
        <v>0.99999999999979394</v>
      </c>
      <c r="T10">
        <f t="shared" si="13"/>
        <v>-6.421415376599118E-7</v>
      </c>
      <c r="U10">
        <f t="shared" si="14"/>
        <v>0.99999999995018274</v>
      </c>
      <c r="V10">
        <f t="shared" si="15"/>
        <v>-9.9817049249554508E-6</v>
      </c>
      <c r="X10">
        <f t="shared" ref="X10:X73" si="34">20*LOG(C10*J10*O10*Q10*F10*M10*S10*U10)</f>
        <v>78.238435089142286</v>
      </c>
      <c r="Y10">
        <f t="shared" si="16"/>
        <v>-89.950057763337853</v>
      </c>
      <c r="Z10">
        <f t="shared" ref="Z10:Z73" si="35">Y10+180</f>
        <v>90.049942236662147</v>
      </c>
      <c r="AC10">
        <v>1</v>
      </c>
      <c r="AD10">
        <f t="shared" si="17"/>
        <v>6.8873763984480011E-4</v>
      </c>
      <c r="AE10">
        <f t="shared" si="18"/>
        <v>-8.6549324284590849E-13</v>
      </c>
      <c r="AF10">
        <f t="shared" si="19"/>
        <v>8.6707957140000002E-8</v>
      </c>
      <c r="AG10">
        <f t="shared" ref="AG10:AG73" si="36">AC10*AE10/(AE10^2+AF10^2)+AD10*AF10/(AE10^2+AF10^2)</f>
        <v>7828.0697324693738</v>
      </c>
      <c r="AH10">
        <f t="shared" ref="AH10:AH73" si="37">AD10*AE10/(AE10^2+AF10^2)-AC10*AF10/(AE10^2+AF10^2)</f>
        <v>-11532966.982032871</v>
      </c>
      <c r="AJ10">
        <f t="shared" si="20"/>
        <v>21000</v>
      </c>
      <c r="AK10">
        <f t="shared" si="21"/>
        <v>1.3484972290860001E-2</v>
      </c>
      <c r="AL10">
        <v>1</v>
      </c>
      <c r="AM10">
        <f t="shared" si="22"/>
        <v>2.6453592413765999E-4</v>
      </c>
      <c r="AN10">
        <f t="shared" ref="AN10:AN73" si="38">AJ10*AL10/(AL10^2+AM10^2)+AK10*AM10/(AL10^2+AM10^2)</f>
        <v>20999.998534003007</v>
      </c>
      <c r="AO10">
        <f t="shared" ref="AO10:AO73" si="39">AK10*AL10/(AL10^2+AM10^2)-AJ10*AM10/(AL10^2+AM10^2)</f>
        <v>-5.5417690467911305</v>
      </c>
      <c r="AQ10">
        <f t="shared" si="23"/>
        <v>9999.8400025599585</v>
      </c>
      <c r="AR10">
        <f t="shared" si="24"/>
        <v>-39.999360010239833</v>
      </c>
      <c r="AT10">
        <f t="shared" ref="AT10:AT21" si="40">-AR10*AH10+AG10*AQ10</f>
        <v>-383031853.44696593</v>
      </c>
      <c r="AU10">
        <f t="shared" ref="AU10:AU21" si="41">AQ10*AH10+AG10*AR10</f>
        <v>-115328137692.91492</v>
      </c>
      <c r="AV10">
        <f t="shared" ref="AV10:AV73" si="42">ATAN2(AT10,AU10)</f>
        <v>-1.5741175496357511</v>
      </c>
      <c r="AW10">
        <f t="shared" si="25"/>
        <v>210092216.07071984</v>
      </c>
      <c r="AX10">
        <f t="shared" si="26"/>
        <v>-173889931.22701034</v>
      </c>
      <c r="AY10">
        <f>ATAN2(AW10,AX10)</f>
        <v>-0.69139486934959027</v>
      </c>
      <c r="BA10">
        <f t="shared" si="27"/>
        <v>422.88273937364573</v>
      </c>
      <c r="BB10">
        <f t="shared" ref="BB10:BB73" si="43">20*LOG(BA10)</f>
        <v>52.52439918188044</v>
      </c>
      <c r="BC10">
        <f t="shared" ref="BC10:BC73" si="44">AV10-AY10</f>
        <v>-0.88272268028616085</v>
      </c>
      <c r="BD10">
        <f t="shared" si="28"/>
        <v>-230.57628411866477</v>
      </c>
      <c r="BF10">
        <f t="shared" si="29"/>
        <v>75.968396887364733</v>
      </c>
      <c r="BG10">
        <f t="shared" si="30"/>
        <v>-50.580351725844167</v>
      </c>
      <c r="BH10">
        <f t="shared" ref="BH10:BH73" si="45">IF(BG10&gt;180,BG10-180,BG10+180)</f>
        <v>129.41964827415583</v>
      </c>
      <c r="BI10">
        <f t="shared" ref="BI10:BI73" si="46">IF(BH10&gt;180,BH10-360,BH10)</f>
        <v>129.41964827415583</v>
      </c>
      <c r="BJ10">
        <f t="shared" si="31"/>
        <v>0</v>
      </c>
      <c r="BK10">
        <f t="shared" ref="BK10:BK73" si="47">IF(BJ10&gt;0,BI10,0)</f>
        <v>0</v>
      </c>
      <c r="BM10">
        <f t="shared" ref="BM10:BM73" si="48">20*LOG(J10*F10*C10)</f>
        <v>23.443997705484293</v>
      </c>
      <c r="BN10">
        <f t="shared" si="32"/>
        <v>-4.0676071794056206E-3</v>
      </c>
      <c r="BQ10" s="66">
        <f t="shared" ref="BQ10:BQ73" si="49">20*LOG(BA10*7)</f>
        <v>69.426359982165579</v>
      </c>
      <c r="BR10" s="67"/>
      <c r="BS10" s="67"/>
      <c r="BT10" s="67">
        <v>100</v>
      </c>
      <c r="BU10" s="67">
        <v>35.359299999999998</v>
      </c>
      <c r="BV10" s="67">
        <v>-267.66769999999997</v>
      </c>
      <c r="BW10" s="75"/>
      <c r="BY10" s="67"/>
      <c r="BZ10" s="67"/>
      <c r="CA10" s="67"/>
      <c r="CC10" s="67"/>
    </row>
    <row r="11" spans="1:81" ht="13" x14ac:dyDescent="0.3">
      <c r="A11">
        <v>3</v>
      </c>
      <c r="B11">
        <f t="shared" si="33"/>
        <v>3.0000000000000001E-3</v>
      </c>
      <c r="C11">
        <f t="shared" si="0"/>
        <v>1.0000000000004441</v>
      </c>
      <c r="D11">
        <f t="shared" si="1"/>
        <v>9.4247779499972101E-7</v>
      </c>
      <c r="F11">
        <f t="shared" si="2"/>
        <v>0.99107986666937919</v>
      </c>
      <c r="G11">
        <f t="shared" si="3"/>
        <v>-1.0743219153245324E-4</v>
      </c>
      <c r="H11">
        <f t="shared" si="4"/>
        <v>-1.0743219153245324E-4</v>
      </c>
      <c r="J11">
        <f t="shared" si="5"/>
        <v>15</v>
      </c>
      <c r="M11">
        <f t="shared" si="6"/>
        <v>366.12593345699651</v>
      </c>
      <c r="N11">
        <f t="shared" si="7"/>
        <v>-1.5707963250000001</v>
      </c>
      <c r="O11">
        <f t="shared" si="8"/>
        <v>1.0000005336543363</v>
      </c>
      <c r="P11">
        <f t="shared" si="9"/>
        <v>1.0331060922195094E-3</v>
      </c>
      <c r="Q11">
        <f t="shared" si="10"/>
        <v>1.000000078726659</v>
      </c>
      <c r="R11">
        <f t="shared" si="11"/>
        <v>3.9680386538046172E-4</v>
      </c>
      <c r="S11">
        <f t="shared" si="12"/>
        <v>0.99999999999953615</v>
      </c>
      <c r="T11">
        <f t="shared" si="13"/>
        <v>-9.6321230648970226E-7</v>
      </c>
      <c r="U11">
        <f t="shared" si="14"/>
        <v>0.99999999988791122</v>
      </c>
      <c r="V11">
        <f t="shared" si="15"/>
        <v>-1.4972557386811599E-5</v>
      </c>
      <c r="X11">
        <f t="shared" si="34"/>
        <v>74.716613412852411</v>
      </c>
      <c r="Y11">
        <f t="shared" si="16"/>
        <v>-89.925086657765618</v>
      </c>
      <c r="Z11">
        <f t="shared" si="35"/>
        <v>90.074913342234382</v>
      </c>
      <c r="AC11">
        <v>1</v>
      </c>
      <c r="AD11">
        <f t="shared" si="17"/>
        <v>1.0331064597672002E-3</v>
      </c>
      <c r="AE11">
        <f t="shared" si="18"/>
        <v>-1.9473597964032941E-12</v>
      </c>
      <c r="AF11">
        <f t="shared" si="19"/>
        <v>1.3006193571E-7</v>
      </c>
      <c r="AG11">
        <f t="shared" si="36"/>
        <v>7828.0697314944427</v>
      </c>
      <c r="AH11">
        <f t="shared" si="37"/>
        <v>-7688644.7198031507</v>
      </c>
      <c r="AJ11">
        <f t="shared" si="20"/>
        <v>21000</v>
      </c>
      <c r="AK11">
        <f t="shared" si="21"/>
        <v>2.0227458436290001E-2</v>
      </c>
      <c r="AL11">
        <v>1</v>
      </c>
      <c r="AM11">
        <f t="shared" si="22"/>
        <v>3.9680388620649007E-4</v>
      </c>
      <c r="AN11">
        <f t="shared" si="38"/>
        <v>20999.996701507047</v>
      </c>
      <c r="AO11">
        <f t="shared" si="39"/>
        <v>-8.3126528430451785</v>
      </c>
      <c r="AQ11">
        <f t="shared" si="23"/>
        <v>9999.6400129595349</v>
      </c>
      <c r="AR11">
        <f t="shared" si="24"/>
        <v>-59.997840077757203</v>
      </c>
      <c r="AT11">
        <f t="shared" si="40"/>
        <v>-383024197.0021525</v>
      </c>
      <c r="AU11">
        <f t="shared" si="41"/>
        <v>-76884149052.849503</v>
      </c>
      <c r="AV11">
        <f t="shared" si="42"/>
        <v>-1.5757781212616189</v>
      </c>
      <c r="AW11">
        <f t="shared" si="25"/>
        <v>210087720.88305944</v>
      </c>
      <c r="AX11">
        <f t="shared" si="26"/>
        <v>-116672783.56347083</v>
      </c>
      <c r="AY11">
        <f t="shared" ref="AY11:AY74" si="50">ATAN2(AW11,AX11)</f>
        <v>-0.50694348072238438</v>
      </c>
      <c r="BA11">
        <f t="shared" si="27"/>
        <v>319.93997373360799</v>
      </c>
      <c r="BB11">
        <f t="shared" si="43"/>
        <v>50.101370096297188</v>
      </c>
      <c r="BC11">
        <f t="shared" si="44"/>
        <v>-1.0688346405392344</v>
      </c>
      <c r="BD11">
        <f t="shared" si="28"/>
        <v>-241.23971397025716</v>
      </c>
      <c r="BF11">
        <f t="shared" si="29"/>
        <v>73.545368352108696</v>
      </c>
      <c r="BG11">
        <f t="shared" si="30"/>
        <v>-61.24581538142283</v>
      </c>
      <c r="BH11">
        <f t="shared" si="45"/>
        <v>118.75418461857717</v>
      </c>
      <c r="BI11">
        <f t="shared" si="46"/>
        <v>118.75418461857717</v>
      </c>
      <c r="BJ11">
        <f t="shared" si="31"/>
        <v>0</v>
      </c>
      <c r="BK11">
        <f t="shared" si="47"/>
        <v>0</v>
      </c>
      <c r="BM11">
        <f t="shared" si="48"/>
        <v>23.443998255811515</v>
      </c>
      <c r="BN11">
        <f t="shared" si="32"/>
        <v>-6.1014111656842694E-3</v>
      </c>
      <c r="BQ11" s="66">
        <f t="shared" si="49"/>
        <v>67.003330896582327</v>
      </c>
      <c r="BR11" s="68"/>
      <c r="BS11" s="68"/>
      <c r="BT11" s="68">
        <v>102.32899999999999</v>
      </c>
      <c r="BU11" s="68">
        <v>34.936799999999998</v>
      </c>
      <c r="BV11" s="68">
        <v>-265.91489999999999</v>
      </c>
      <c r="BW11" s="75"/>
      <c r="BY11" s="68"/>
      <c r="BZ11" s="68"/>
      <c r="CA11" s="68"/>
      <c r="CC11" s="68"/>
    </row>
    <row r="12" spans="1:81" ht="13" x14ac:dyDescent="0.3">
      <c r="A12">
        <v>4</v>
      </c>
      <c r="B12">
        <f t="shared" si="33"/>
        <v>4.0000000000000001E-3</v>
      </c>
      <c r="C12">
        <f t="shared" si="0"/>
        <v>1.0000000000007896</v>
      </c>
      <c r="D12">
        <f t="shared" si="1"/>
        <v>1.2566370599993386E-6</v>
      </c>
      <c r="F12">
        <f t="shared" si="2"/>
        <v>0.99107995458007814</v>
      </c>
      <c r="G12">
        <f t="shared" si="3"/>
        <v>-1.4324293496350697E-4</v>
      </c>
      <c r="H12">
        <f t="shared" si="4"/>
        <v>-1.4324293496350697E-4</v>
      </c>
      <c r="J12">
        <f t="shared" si="5"/>
        <v>15</v>
      </c>
      <c r="M12">
        <f t="shared" si="6"/>
        <v>274.59445009274737</v>
      </c>
      <c r="N12">
        <f t="shared" si="7"/>
        <v>-1.5707963250000001</v>
      </c>
      <c r="O12">
        <f t="shared" si="8"/>
        <v>1.000000948718623</v>
      </c>
      <c r="P12">
        <f t="shared" si="9"/>
        <v>1.3774744084658782E-3</v>
      </c>
      <c r="Q12">
        <f t="shared" si="10"/>
        <v>1.0000001399585006</v>
      </c>
      <c r="R12">
        <f t="shared" si="11"/>
        <v>5.2907179890992323E-4</v>
      </c>
      <c r="S12">
        <f t="shared" si="12"/>
        <v>0.99999999999917533</v>
      </c>
      <c r="T12">
        <f t="shared" si="13"/>
        <v>-1.2842830753192942E-6</v>
      </c>
      <c r="U12">
        <f t="shared" si="14"/>
        <v>0.99999999980073118</v>
      </c>
      <c r="V12">
        <f t="shared" si="15"/>
        <v>-1.9963409847921858E-5</v>
      </c>
      <c r="X12">
        <f t="shared" si="34"/>
        <v>72.217843587437073</v>
      </c>
      <c r="Y12">
        <f t="shared" si="16"/>
        <v>-89.900115567504002</v>
      </c>
      <c r="Z12">
        <f t="shared" si="35"/>
        <v>90.099884432495998</v>
      </c>
      <c r="AC12">
        <v>1</v>
      </c>
      <c r="AD12">
        <f t="shared" si="17"/>
        <v>1.3774752796896002E-3</v>
      </c>
      <c r="AE12">
        <f t="shared" si="18"/>
        <v>-3.461972971383634E-12</v>
      </c>
      <c r="AF12">
        <f t="shared" si="19"/>
        <v>1.7341591428E-7</v>
      </c>
      <c r="AG12">
        <f t="shared" si="36"/>
        <v>7828.0697301295368</v>
      </c>
      <c r="AH12">
        <f t="shared" si="37"/>
        <v>-5766483.6082226587</v>
      </c>
      <c r="AJ12">
        <f t="shared" si="20"/>
        <v>21000</v>
      </c>
      <c r="AK12">
        <f t="shared" si="21"/>
        <v>2.6969944581720001E-2</v>
      </c>
      <c r="AL12">
        <v>1</v>
      </c>
      <c r="AM12">
        <f t="shared" si="22"/>
        <v>5.2907184827531999E-4</v>
      </c>
      <c r="AN12">
        <f t="shared" si="38"/>
        <v>20999.994136013243</v>
      </c>
      <c r="AO12">
        <f t="shared" si="39"/>
        <v>-11.083535766729689</v>
      </c>
      <c r="AQ12">
        <f t="shared" si="23"/>
        <v>9999.3600409573774</v>
      </c>
      <c r="AR12">
        <f t="shared" si="24"/>
        <v>-79.994880327659018</v>
      </c>
      <c r="AT12">
        <f t="shared" si="40"/>
        <v>-383013478.49389368</v>
      </c>
      <c r="AU12">
        <f t="shared" si="41"/>
        <v>-57661771974.398628</v>
      </c>
      <c r="AV12">
        <f t="shared" si="42"/>
        <v>-1.5774386451361653</v>
      </c>
      <c r="AW12">
        <f t="shared" si="25"/>
        <v>210081427.92247832</v>
      </c>
      <c r="AX12">
        <f t="shared" si="26"/>
        <v>-88288020.788064137</v>
      </c>
      <c r="AY12">
        <f t="shared" si="50"/>
        <v>-0.39784574738022616</v>
      </c>
      <c r="BA12">
        <f t="shared" si="27"/>
        <v>253.04203109421934</v>
      </c>
      <c r="BB12">
        <f t="shared" si="43"/>
        <v>48.063853297523515</v>
      </c>
      <c r="BC12">
        <f t="shared" si="44"/>
        <v>-1.1795928977559391</v>
      </c>
      <c r="BD12">
        <f t="shared" si="28"/>
        <v>-247.58569466225006</v>
      </c>
      <c r="BF12">
        <f t="shared" si="29"/>
        <v>71.507852323793188</v>
      </c>
      <c r="BG12">
        <f t="shared" si="30"/>
        <v>-67.593829877877909</v>
      </c>
      <c r="BH12">
        <f t="shared" si="45"/>
        <v>112.40617012212209</v>
      </c>
      <c r="BI12">
        <f t="shared" si="46"/>
        <v>112.40617012212209</v>
      </c>
      <c r="BJ12">
        <f t="shared" si="31"/>
        <v>0</v>
      </c>
      <c r="BK12">
        <f t="shared" si="47"/>
        <v>0</v>
      </c>
      <c r="BM12">
        <f t="shared" si="48"/>
        <v>23.443999026269672</v>
      </c>
      <c r="BN12">
        <f t="shared" si="32"/>
        <v>-8.1352156278540356E-3</v>
      </c>
      <c r="BQ12" s="66">
        <f t="shared" si="49"/>
        <v>64.965814097808646</v>
      </c>
      <c r="BR12" s="67"/>
      <c r="BS12" s="67"/>
      <c r="BT12" s="67">
        <v>104.71299999999999</v>
      </c>
      <c r="BU12" s="67">
        <v>34.190800000000003</v>
      </c>
      <c r="BV12" s="67">
        <v>-264.93219999999997</v>
      </c>
      <c r="BW12" s="75"/>
      <c r="BY12" s="67"/>
      <c r="BZ12" s="67"/>
      <c r="CA12" s="67"/>
      <c r="CC12" s="67"/>
    </row>
    <row r="13" spans="1:81" ht="13" x14ac:dyDescent="0.3">
      <c r="A13">
        <v>5</v>
      </c>
      <c r="B13">
        <f t="shared" si="33"/>
        <v>5.0000000000000001E-3</v>
      </c>
      <c r="C13">
        <f t="shared" si="0"/>
        <v>1.0000000000012337</v>
      </c>
      <c r="D13">
        <f t="shared" si="1"/>
        <v>1.5707963249987082E-6</v>
      </c>
      <c r="F13">
        <f t="shared" si="2"/>
        <v>0.99108006760814149</v>
      </c>
      <c r="G13">
        <f t="shared" si="3"/>
        <v>-1.790536894690528E-4</v>
      </c>
      <c r="H13">
        <f t="shared" si="4"/>
        <v>-1.790536894690528E-4</v>
      </c>
      <c r="J13">
        <f t="shared" si="5"/>
        <v>15</v>
      </c>
      <c r="M13">
        <f t="shared" si="6"/>
        <v>219.67556007419788</v>
      </c>
      <c r="N13">
        <f t="shared" si="7"/>
        <v>-1.5707963250000001</v>
      </c>
      <c r="O13">
        <f t="shared" si="8"/>
        <v>1.000001482372453</v>
      </c>
      <c r="P13">
        <f t="shared" si="9"/>
        <v>1.7218423980042579E-3</v>
      </c>
      <c r="Q13">
        <f t="shared" si="10"/>
        <v>1.0000002186851484</v>
      </c>
      <c r="R13">
        <f t="shared" si="11"/>
        <v>6.6133971392736844E-4</v>
      </c>
      <c r="S13">
        <f t="shared" si="12"/>
        <v>0.99999999999871125</v>
      </c>
      <c r="T13">
        <f t="shared" si="13"/>
        <v>-1.6053538441486212E-6</v>
      </c>
      <c r="U13">
        <f t="shared" si="14"/>
        <v>0.99999999968864239</v>
      </c>
      <c r="V13">
        <f t="shared" si="15"/>
        <v>-2.4954262308037594E-5</v>
      </c>
      <c r="X13">
        <f t="shared" si="34"/>
        <v>70.27964963595096</v>
      </c>
      <c r="Y13">
        <f t="shared" si="16"/>
        <v>-89.875144497656493</v>
      </c>
      <c r="Z13">
        <f t="shared" si="35"/>
        <v>90.124855502343507</v>
      </c>
      <c r="AC13">
        <v>1</v>
      </c>
      <c r="AD13">
        <f t="shared" si="17"/>
        <v>1.7218440996120002E-3</v>
      </c>
      <c r="AE13">
        <f t="shared" si="18"/>
        <v>-5.4093327677869276E-12</v>
      </c>
      <c r="AF13">
        <f t="shared" si="19"/>
        <v>2.1676989285E-7</v>
      </c>
      <c r="AG13">
        <f t="shared" si="36"/>
        <v>7828.0697283746595</v>
      </c>
      <c r="AH13">
        <f t="shared" si="37"/>
        <v>-4613186.9569018614</v>
      </c>
      <c r="AJ13">
        <f t="shared" si="20"/>
        <v>21000</v>
      </c>
      <c r="AK13">
        <f t="shared" si="21"/>
        <v>3.3712430727150008E-2</v>
      </c>
      <c r="AL13">
        <v>1</v>
      </c>
      <c r="AM13">
        <f t="shared" si="22"/>
        <v>6.6133981034415001E-4</v>
      </c>
      <c r="AN13">
        <f t="shared" si="38"/>
        <v>20999.990837522138</v>
      </c>
      <c r="AO13">
        <f t="shared" si="39"/>
        <v>-13.854417526988628</v>
      </c>
      <c r="AQ13">
        <f t="shared" si="23"/>
        <v>9999.0000999900003</v>
      </c>
      <c r="AR13">
        <f t="shared" si="24"/>
        <v>-99.990000999900005</v>
      </c>
      <c r="AT13">
        <f t="shared" si="40"/>
        <v>-382999698.43659586</v>
      </c>
      <c r="AU13">
        <f t="shared" si="41"/>
        <v>-46128039572.034241</v>
      </c>
      <c r="AV13">
        <f t="shared" si="42"/>
        <v>-1.5790991053458656</v>
      </c>
      <c r="AW13">
        <f t="shared" si="25"/>
        <v>210073337.49107671</v>
      </c>
      <c r="AX13">
        <f t="shared" si="26"/>
        <v>-71436181.758440211</v>
      </c>
      <c r="AY13">
        <f t="shared" si="50"/>
        <v>-0.32778649676517757</v>
      </c>
      <c r="BA13">
        <f t="shared" si="27"/>
        <v>207.89674622101862</v>
      </c>
      <c r="BB13">
        <f t="shared" si="43"/>
        <v>46.356953845377333</v>
      </c>
      <c r="BC13">
        <f t="shared" si="44"/>
        <v>-1.251312608580688</v>
      </c>
      <c r="BD13">
        <f t="shared" si="28"/>
        <v>-251.69493140510241</v>
      </c>
      <c r="BF13">
        <f t="shared" si="29"/>
        <v>69.800953862236156</v>
      </c>
      <c r="BG13">
        <f t="shared" si="30"/>
        <v>-71.705100425826927</v>
      </c>
      <c r="BH13">
        <f t="shared" si="45"/>
        <v>108.29489957417307</v>
      </c>
      <c r="BI13">
        <f t="shared" si="46"/>
        <v>108.29489957417307</v>
      </c>
      <c r="BJ13">
        <f t="shared" si="31"/>
        <v>0</v>
      </c>
      <c r="BK13">
        <f t="shared" si="47"/>
        <v>0</v>
      </c>
      <c r="BM13">
        <f t="shared" si="48"/>
        <v>23.444000016858823</v>
      </c>
      <c r="BN13">
        <f t="shared" si="32"/>
        <v>-1.0169020724545475E-2</v>
      </c>
      <c r="BQ13" s="66">
        <f t="shared" si="49"/>
        <v>63.258914645662472</v>
      </c>
      <c r="BR13" s="68"/>
      <c r="BS13" s="68"/>
      <c r="BT13" s="68">
        <v>107.152</v>
      </c>
      <c r="BU13" s="68">
        <v>34.477699999999999</v>
      </c>
      <c r="BV13" s="68">
        <v>-262.3057</v>
      </c>
      <c r="BW13" s="75"/>
      <c r="BY13" s="68"/>
      <c r="BZ13" s="68"/>
      <c r="CA13" s="68"/>
      <c r="CC13" s="68"/>
    </row>
    <row r="14" spans="1:81" ht="13" x14ac:dyDescent="0.3">
      <c r="A14">
        <v>6</v>
      </c>
      <c r="B14">
        <f t="shared" si="33"/>
        <v>6.0000000000000001E-3</v>
      </c>
      <c r="C14">
        <f t="shared" si="0"/>
        <v>1.0000000000017766</v>
      </c>
      <c r="D14">
        <f t="shared" si="1"/>
        <v>1.8849555899977679E-6</v>
      </c>
      <c r="F14">
        <f t="shared" si="2"/>
        <v>0.99108020575358546</v>
      </c>
      <c r="G14">
        <f t="shared" si="3"/>
        <v>-2.1486445781771895E-4</v>
      </c>
      <c r="H14">
        <f t="shared" si="4"/>
        <v>-2.1486445781771895E-4</v>
      </c>
      <c r="J14">
        <f t="shared" si="5"/>
        <v>15</v>
      </c>
      <c r="M14">
        <f t="shared" si="6"/>
        <v>183.06296672849825</v>
      </c>
      <c r="N14">
        <f t="shared" si="7"/>
        <v>-1.5707963250000001</v>
      </c>
      <c r="O14">
        <f t="shared" si="8"/>
        <v>1.000002134615636</v>
      </c>
      <c r="P14">
        <f t="shared" si="9"/>
        <v>2.0662099791585232E-3</v>
      </c>
      <c r="Q14">
        <f t="shared" si="10"/>
        <v>1.0000003149065986</v>
      </c>
      <c r="R14">
        <f t="shared" si="11"/>
        <v>7.9360760580480074E-4</v>
      </c>
      <c r="S14">
        <f t="shared" si="12"/>
        <v>0.9999999999981446</v>
      </c>
      <c r="T14">
        <f t="shared" si="13"/>
        <v>-1.9264246129776173E-6</v>
      </c>
      <c r="U14">
        <f t="shared" si="14"/>
        <v>0.99999999955164509</v>
      </c>
      <c r="V14">
        <f t="shared" si="15"/>
        <v>-2.994511476691018E-5</v>
      </c>
      <c r="X14">
        <f t="shared" si="34"/>
        <v>68.696032425594552</v>
      </c>
      <c r="Y14">
        <f t="shared" si="16"/>
        <v>-89.85017345332659</v>
      </c>
      <c r="Z14">
        <f t="shared" si="35"/>
        <v>90.14982654667341</v>
      </c>
      <c r="AC14">
        <v>1</v>
      </c>
      <c r="AD14">
        <f t="shared" si="17"/>
        <v>2.0662129195344004E-3</v>
      </c>
      <c r="AE14">
        <f t="shared" si="18"/>
        <v>-7.7894391856131763E-12</v>
      </c>
      <c r="AF14">
        <f t="shared" si="19"/>
        <v>2.6012387142000001E-7</v>
      </c>
      <c r="AG14">
        <f t="shared" si="36"/>
        <v>7828.0697262298108</v>
      </c>
      <c r="AH14">
        <f t="shared" si="37"/>
        <v>-3844322.5357109094</v>
      </c>
      <c r="AJ14">
        <f t="shared" si="20"/>
        <v>21000</v>
      </c>
      <c r="AK14">
        <f t="shared" si="21"/>
        <v>4.0454916872580002E-2</v>
      </c>
      <c r="AL14">
        <v>1</v>
      </c>
      <c r="AM14">
        <f t="shared" si="22"/>
        <v>7.9360777241298014E-4</v>
      </c>
      <c r="AN14">
        <f t="shared" si="38"/>
        <v>20999.98680603442</v>
      </c>
      <c r="AO14">
        <f t="shared" si="39"/>
        <v>-16.625297832966371</v>
      </c>
      <c r="AQ14">
        <f t="shared" si="23"/>
        <v>9998.5602073301452</v>
      </c>
      <c r="AR14">
        <f t="shared" si="24"/>
        <v>-119.98272248796174</v>
      </c>
      <c r="AT14">
        <f t="shared" si="40"/>
        <v>-382982857.49153221</v>
      </c>
      <c r="AU14">
        <f t="shared" si="41"/>
        <v>-38438629562.819199</v>
      </c>
      <c r="AV14">
        <f t="shared" si="42"/>
        <v>-1.5807594859802661</v>
      </c>
      <c r="AW14">
        <f t="shared" si="25"/>
        <v>210063449.97720683</v>
      </c>
      <c r="AX14">
        <f t="shared" si="26"/>
        <v>-60350772.239596084</v>
      </c>
      <c r="AY14">
        <f t="shared" si="50"/>
        <v>-0.27976307248688431</v>
      </c>
      <c r="BA14">
        <f t="shared" si="27"/>
        <v>175.88020888989288</v>
      </c>
      <c r="BB14">
        <f t="shared" si="43"/>
        <v>44.904339455040926</v>
      </c>
      <c r="BC14">
        <f t="shared" si="44"/>
        <v>-1.3009964134933818</v>
      </c>
      <c r="BD14">
        <f t="shared" si="28"/>
        <v>-254.54160374000389</v>
      </c>
      <c r="BF14">
        <f t="shared" si="29"/>
        <v>68.348340682619963</v>
      </c>
      <c r="BG14">
        <f t="shared" si="30"/>
        <v>-74.553806566618263</v>
      </c>
      <c r="BH14">
        <f t="shared" si="45"/>
        <v>105.44619343338174</v>
      </c>
      <c r="BI14">
        <f t="shared" si="46"/>
        <v>105.44619343338174</v>
      </c>
      <c r="BJ14">
        <f t="shared" si="31"/>
        <v>0</v>
      </c>
      <c r="BK14">
        <f t="shared" si="47"/>
        <v>0</v>
      </c>
      <c r="BM14">
        <f t="shared" si="48"/>
        <v>23.444001227579037</v>
      </c>
      <c r="BN14">
        <f t="shared" si="32"/>
        <v>-1.2202826614389302E-2</v>
      </c>
      <c r="BQ14" s="66">
        <f t="shared" si="49"/>
        <v>61.806300255326065</v>
      </c>
      <c r="BR14" s="68"/>
      <c r="BS14" s="68"/>
      <c r="BT14" s="68">
        <v>109.648</v>
      </c>
      <c r="BU14" s="68">
        <v>34.114400000000003</v>
      </c>
      <c r="BV14" s="68">
        <v>-262.76620000000003</v>
      </c>
      <c r="BW14" s="75"/>
      <c r="BY14" s="68"/>
      <c r="BZ14" s="68"/>
      <c r="CA14" s="68"/>
      <c r="CC14" s="68"/>
    </row>
    <row r="15" spans="1:81" ht="13" x14ac:dyDescent="0.3">
      <c r="A15">
        <v>7</v>
      </c>
      <c r="B15">
        <f t="shared" si="33"/>
        <v>7.0000000000000001E-3</v>
      </c>
      <c r="C15">
        <f t="shared" si="0"/>
        <v>1.0000000000024181</v>
      </c>
      <c r="D15">
        <f t="shared" si="1"/>
        <v>2.1991148549964548E-6</v>
      </c>
      <c r="F15">
        <f t="shared" si="2"/>
        <v>0.99108036901643004</v>
      </c>
      <c r="G15">
        <f t="shared" si="3"/>
        <v>-2.5067524277813707E-4</v>
      </c>
      <c r="H15">
        <f t="shared" si="4"/>
        <v>-2.5067524277813707E-4</v>
      </c>
      <c r="J15">
        <f t="shared" si="5"/>
        <v>15</v>
      </c>
      <c r="M15">
        <f t="shared" si="6"/>
        <v>156.91111433871279</v>
      </c>
      <c r="N15">
        <f t="shared" si="7"/>
        <v>-1.5707963250000001</v>
      </c>
      <c r="O15">
        <f t="shared" si="8"/>
        <v>1.0000029054479405</v>
      </c>
      <c r="P15">
        <f t="shared" si="9"/>
        <v>2.4105770702531298E-3</v>
      </c>
      <c r="Q15">
        <f t="shared" si="10"/>
        <v>1.0000004286228459</v>
      </c>
      <c r="R15">
        <f t="shared" si="11"/>
        <v>9.2587546991422802E-4</v>
      </c>
      <c r="S15">
        <f t="shared" si="12"/>
        <v>0.99999999999747446</v>
      </c>
      <c r="T15">
        <f t="shared" si="13"/>
        <v>-2.2474953818062163E-6</v>
      </c>
      <c r="U15">
        <f t="shared" si="14"/>
        <v>0.99999999938973905</v>
      </c>
      <c r="V15">
        <f t="shared" si="15"/>
        <v>-3.4935967224290979E-5</v>
      </c>
      <c r="X15">
        <f t="shared" si="34"/>
        <v>67.357105745495375</v>
      </c>
      <c r="Y15">
        <f t="shared" si="16"/>
        <v>-89.825202439617726</v>
      </c>
      <c r="Z15">
        <f t="shared" si="35"/>
        <v>90.174797560382274</v>
      </c>
      <c r="AC15">
        <v>1</v>
      </c>
      <c r="AD15">
        <f t="shared" si="17"/>
        <v>2.4105817394568002E-3</v>
      </c>
      <c r="AE15">
        <f t="shared" si="18"/>
        <v>-1.060229222486238E-11</v>
      </c>
      <c r="AF15">
        <f t="shared" si="19"/>
        <v>3.0347784998999998E-7</v>
      </c>
      <c r="AG15">
        <f t="shared" si="36"/>
        <v>7828.0697236949882</v>
      </c>
      <c r="AH15">
        <f t="shared" si="37"/>
        <v>-3295133.674594156</v>
      </c>
      <c r="AJ15">
        <f t="shared" si="20"/>
        <v>21000</v>
      </c>
      <c r="AK15">
        <f t="shared" si="21"/>
        <v>4.7197403018010002E-2</v>
      </c>
      <c r="AL15">
        <v>1</v>
      </c>
      <c r="AM15">
        <f t="shared" si="22"/>
        <v>9.2587573448181006E-4</v>
      </c>
      <c r="AN15">
        <f t="shared" si="38"/>
        <v>20999.982041550935</v>
      </c>
      <c r="AO15">
        <f t="shared" si="39"/>
        <v>-19.396176393807785</v>
      </c>
      <c r="AQ15">
        <f t="shared" si="23"/>
        <v>9998.0403840847193</v>
      </c>
      <c r="AR15">
        <f t="shared" si="24"/>
        <v>-139.97256537718607</v>
      </c>
      <c r="AT15">
        <f t="shared" si="40"/>
        <v>-382962956.46676445</v>
      </c>
      <c r="AU15">
        <f t="shared" si="41"/>
        <v>-32945975264.551025</v>
      </c>
      <c r="AV15">
        <f t="shared" si="42"/>
        <v>-1.5824197711327508</v>
      </c>
      <c r="AW15">
        <f t="shared" si="25"/>
        <v>210051765.85542634</v>
      </c>
      <c r="AX15">
        <f t="shared" si="26"/>
        <v>-52560431.401955515</v>
      </c>
      <c r="AY15">
        <f t="shared" si="50"/>
        <v>-0.24519143941030902</v>
      </c>
      <c r="BA15">
        <f t="shared" si="27"/>
        <v>152.16605718819477</v>
      </c>
      <c r="BB15">
        <f t="shared" si="43"/>
        <v>43.646355753045889</v>
      </c>
      <c r="BC15">
        <f t="shared" si="44"/>
        <v>-1.3372283317224418</v>
      </c>
      <c r="BD15">
        <f t="shared" si="28"/>
        <v>-256.61753974056421</v>
      </c>
      <c r="BF15">
        <f t="shared" si="29"/>
        <v>67.090358411476274</v>
      </c>
      <c r="BG15">
        <f t="shared" si="30"/>
        <v>-76.631776374020248</v>
      </c>
      <c r="BH15">
        <f t="shared" si="45"/>
        <v>103.36822362597975</v>
      </c>
      <c r="BI15">
        <f t="shared" si="46"/>
        <v>103.36822362597975</v>
      </c>
      <c r="BJ15">
        <f t="shared" si="31"/>
        <v>0</v>
      </c>
      <c r="BK15">
        <f t="shared" si="47"/>
        <v>0</v>
      </c>
      <c r="BM15">
        <f t="shared" si="48"/>
        <v>23.444002658430392</v>
      </c>
      <c r="BN15">
        <f t="shared" si="32"/>
        <v>-1.4236633456016428E-2</v>
      </c>
      <c r="BQ15" s="66">
        <f t="shared" si="49"/>
        <v>60.548316553331027</v>
      </c>
      <c r="BR15" s="68"/>
      <c r="BS15" s="68"/>
      <c r="BT15" s="68">
        <v>112.202</v>
      </c>
      <c r="BU15" s="68">
        <v>34.297699999999999</v>
      </c>
      <c r="BV15" s="68">
        <v>-267.01279999999997</v>
      </c>
      <c r="BW15" s="75"/>
      <c r="BY15" s="68"/>
      <c r="BZ15" s="68"/>
      <c r="CA15" s="68"/>
      <c r="CC15" s="68"/>
    </row>
    <row r="16" spans="1:81" ht="13" x14ac:dyDescent="0.3">
      <c r="A16">
        <v>8</v>
      </c>
      <c r="B16">
        <f t="shared" si="33"/>
        <v>8.0000000000000002E-3</v>
      </c>
      <c r="C16">
        <f t="shared" si="0"/>
        <v>1.0000000000031584</v>
      </c>
      <c r="D16">
        <f t="shared" si="1"/>
        <v>2.5132741199947084E-6</v>
      </c>
      <c r="F16">
        <f t="shared" si="2"/>
        <v>0.99108055739669865</v>
      </c>
      <c r="G16">
        <f t="shared" si="3"/>
        <v>-2.8648604711894294E-4</v>
      </c>
      <c r="H16">
        <f t="shared" si="4"/>
        <v>-2.8648604711894294E-4</v>
      </c>
      <c r="J16">
        <f t="shared" si="5"/>
        <v>15</v>
      </c>
      <c r="M16">
        <f t="shared" si="6"/>
        <v>137.29722504637368</v>
      </c>
      <c r="N16">
        <f t="shared" si="7"/>
        <v>-1.5707963250000001</v>
      </c>
      <c r="O16">
        <f t="shared" si="8"/>
        <v>1.0000037948690919</v>
      </c>
      <c r="P16">
        <f t="shared" si="9"/>
        <v>2.7549435896132299E-3</v>
      </c>
      <c r="Q16">
        <f t="shared" si="10"/>
        <v>1.0000005598338846</v>
      </c>
      <c r="R16">
        <f t="shared" si="11"/>
        <v>1.0581433016276641E-3</v>
      </c>
      <c r="S16">
        <f t="shared" si="12"/>
        <v>0.99999999999670131</v>
      </c>
      <c r="T16">
        <f t="shared" si="13"/>
        <v>-2.5685661506343515E-6</v>
      </c>
      <c r="U16">
        <f t="shared" si="14"/>
        <v>0.99999999920292448</v>
      </c>
      <c r="V16">
        <f t="shared" si="15"/>
        <v>-3.9926819679931369E-5</v>
      </c>
      <c r="X16">
        <f t="shared" si="34"/>
        <v>66.197277320366993</v>
      </c>
      <c r="Y16">
        <f t="shared" si="16"/>
        <v>-89.800231461633302</v>
      </c>
      <c r="Z16">
        <f t="shared" si="35"/>
        <v>90.199768538366698</v>
      </c>
      <c r="AC16">
        <v>1</v>
      </c>
      <c r="AD16">
        <f t="shared" si="17"/>
        <v>2.7549505593792004E-3</v>
      </c>
      <c r="AE16">
        <f t="shared" si="18"/>
        <v>-1.3847891885534536E-11</v>
      </c>
      <c r="AF16">
        <f t="shared" si="19"/>
        <v>3.4683182856000001E-7</v>
      </c>
      <c r="AG16">
        <f t="shared" si="36"/>
        <v>7828.0697207701942</v>
      </c>
      <c r="AH16">
        <f t="shared" si="37"/>
        <v>-2883242.038523776</v>
      </c>
      <c r="AJ16">
        <f t="shared" si="20"/>
        <v>21000</v>
      </c>
      <c r="AK16">
        <f t="shared" si="21"/>
        <v>5.3939889163440002E-2</v>
      </c>
      <c r="AL16">
        <v>1</v>
      </c>
      <c r="AM16">
        <f t="shared" si="22"/>
        <v>1.05814369655064E-3</v>
      </c>
      <c r="AN16">
        <f t="shared" si="38"/>
        <v>20999.976544072684</v>
      </c>
      <c r="AO16">
        <f t="shared" si="39"/>
        <v>-22.167052918658364</v>
      </c>
      <c r="AQ16">
        <f t="shared" si="23"/>
        <v>9997.4406551922712</v>
      </c>
      <c r="AR16">
        <f t="shared" si="24"/>
        <v>-159.95905048307634</v>
      </c>
      <c r="AT16">
        <f t="shared" si="40"/>
        <v>-382939996.31704509</v>
      </c>
      <c r="AU16">
        <f t="shared" si="41"/>
        <v>-28826293345.296688</v>
      </c>
      <c r="AV16">
        <f t="shared" si="42"/>
        <v>-1.5840799449013068</v>
      </c>
      <c r="AW16">
        <f t="shared" si="25"/>
        <v>210038285.68644184</v>
      </c>
      <c r="AX16">
        <f t="shared" si="26"/>
        <v>-46829473.446534462</v>
      </c>
      <c r="AY16">
        <f t="shared" si="50"/>
        <v>-0.21936888889646958</v>
      </c>
      <c r="BA16">
        <f t="shared" si="27"/>
        <v>133.96582968413671</v>
      </c>
      <c r="BB16">
        <f t="shared" si="43"/>
        <v>42.53988076251094</v>
      </c>
      <c r="BC16">
        <f t="shared" si="44"/>
        <v>-1.3647110560048372</v>
      </c>
      <c r="BD16">
        <f t="shared" si="28"/>
        <v>-258.1921838532665</v>
      </c>
      <c r="BF16">
        <f t="shared" si="29"/>
        <v>65.983885071923936</v>
      </c>
      <c r="BG16">
        <f t="shared" si="30"/>
        <v>-78.208454294674539</v>
      </c>
      <c r="BH16">
        <f t="shared" si="45"/>
        <v>101.79154570532546</v>
      </c>
      <c r="BI16">
        <f t="shared" si="46"/>
        <v>101.79154570532546</v>
      </c>
      <c r="BJ16">
        <f t="shared" si="31"/>
        <v>0</v>
      </c>
      <c r="BK16">
        <f t="shared" si="47"/>
        <v>0</v>
      </c>
      <c r="BM16">
        <f t="shared" si="48"/>
        <v>23.444004309412989</v>
      </c>
      <c r="BN16">
        <f t="shared" si="32"/>
        <v>-1.6270441408058004E-2</v>
      </c>
      <c r="BQ16" s="66">
        <f t="shared" si="49"/>
        <v>59.441841562796078</v>
      </c>
      <c r="BR16" s="69"/>
      <c r="BS16" s="69"/>
      <c r="BT16" s="69">
        <v>114.815</v>
      </c>
      <c r="BU16" s="69">
        <v>33.346499999999999</v>
      </c>
      <c r="BV16" s="69">
        <v>-266.20479999999998</v>
      </c>
      <c r="BW16" s="75"/>
      <c r="BY16" s="69"/>
      <c r="BZ16" s="69"/>
      <c r="CA16" s="69"/>
      <c r="CC16" s="69"/>
    </row>
    <row r="17" spans="1:81" ht="13" x14ac:dyDescent="0.3">
      <c r="A17">
        <v>9</v>
      </c>
      <c r="B17">
        <f t="shared" si="33"/>
        <v>8.9999999999999993E-3</v>
      </c>
      <c r="C17">
        <f t="shared" si="0"/>
        <v>1.0000000000039972</v>
      </c>
      <c r="D17">
        <f t="shared" si="1"/>
        <v>2.8274333849924658E-6</v>
      </c>
      <c r="F17">
        <f t="shared" si="2"/>
        <v>0.99108077089441859</v>
      </c>
      <c r="G17">
        <f t="shared" si="3"/>
        <v>-3.2229687360877719E-4</v>
      </c>
      <c r="H17">
        <f t="shared" si="4"/>
        <v>-3.2229687360877719E-4</v>
      </c>
      <c r="J17">
        <f t="shared" si="5"/>
        <v>15</v>
      </c>
      <c r="M17">
        <f t="shared" si="6"/>
        <v>122.04197781899882</v>
      </c>
      <c r="N17">
        <f t="shared" si="7"/>
        <v>-1.5707963250000001</v>
      </c>
      <c r="O17">
        <f t="shared" si="8"/>
        <v>1.0000048028787736</v>
      </c>
      <c r="P17">
        <f t="shared" si="9"/>
        <v>3.0993094555647909E-3</v>
      </c>
      <c r="Q17">
        <f t="shared" si="10"/>
        <v>1.0000007085397076</v>
      </c>
      <c r="R17">
        <f t="shared" si="11"/>
        <v>1.19041109631713E-3</v>
      </c>
      <c r="S17">
        <f t="shared" si="12"/>
        <v>0.99999999999582512</v>
      </c>
      <c r="T17">
        <f t="shared" si="13"/>
        <v>-2.8896369194619574E-6</v>
      </c>
      <c r="U17">
        <f t="shared" si="14"/>
        <v>0.9999999989912014</v>
      </c>
      <c r="V17">
        <f t="shared" si="15"/>
        <v>-4.4917672133582715E-5</v>
      </c>
      <c r="X17">
        <f t="shared" si="34"/>
        <v>65.174238787751463</v>
      </c>
      <c r="Y17">
        <f t="shared" si="16"/>
        <v>-89.775260524476678</v>
      </c>
      <c r="Z17">
        <f t="shared" si="35"/>
        <v>90.224739475523322</v>
      </c>
      <c r="AC17">
        <v>1</v>
      </c>
      <c r="AD17">
        <f t="shared" si="17"/>
        <v>3.0993193793016002E-3</v>
      </c>
      <c r="AE17">
        <f t="shared" si="18"/>
        <v>-1.7526238167629647E-11</v>
      </c>
      <c r="AF17">
        <f t="shared" si="19"/>
        <v>3.9018580712999998E-7</v>
      </c>
      <c r="AG17">
        <f t="shared" si="36"/>
        <v>7828.0697174554261</v>
      </c>
      <c r="AH17">
        <f t="shared" si="37"/>
        <v>-2562881.8858176451</v>
      </c>
      <c r="AJ17">
        <f t="shared" si="20"/>
        <v>21000</v>
      </c>
      <c r="AK17">
        <f t="shared" si="21"/>
        <v>6.068237530887001E-2</v>
      </c>
      <c r="AL17">
        <v>1</v>
      </c>
      <c r="AM17">
        <f t="shared" si="22"/>
        <v>1.1904116586194699E-3</v>
      </c>
      <c r="AN17">
        <f t="shared" si="38"/>
        <v>20999.970313600817</v>
      </c>
      <c r="AO17">
        <f t="shared" si="39"/>
        <v>-24.937927116664309</v>
      </c>
      <c r="AQ17">
        <f t="shared" si="23"/>
        <v>9996.7610494199889</v>
      </c>
      <c r="AR17">
        <f t="shared" si="24"/>
        <v>-179.94169888955977</v>
      </c>
      <c r="AT17">
        <f t="shared" si="40"/>
        <v>-382913978.14370322</v>
      </c>
      <c r="AU17">
        <f t="shared" si="41"/>
        <v>-25621926406.56987</v>
      </c>
      <c r="AV17">
        <f t="shared" si="42"/>
        <v>-1.5857399913892913</v>
      </c>
      <c r="AW17">
        <f t="shared" si="25"/>
        <v>210023010.11704111</v>
      </c>
      <c r="AX17">
        <f t="shared" si="26"/>
        <v>-42471401.480569497</v>
      </c>
      <c r="AY17">
        <f t="shared" si="50"/>
        <v>-0.19953176951189674</v>
      </c>
      <c r="BA17">
        <f t="shared" si="27"/>
        <v>119.58870006577564</v>
      </c>
      <c r="BB17">
        <f t="shared" si="43"/>
        <v>41.553802902257374</v>
      </c>
      <c r="BC17">
        <f t="shared" si="44"/>
        <v>-1.3862082218773946</v>
      </c>
      <c r="BD17">
        <f t="shared" si="28"/>
        <v>-259.42388073066411</v>
      </c>
      <c r="BF17">
        <f t="shared" si="29"/>
        <v>64.997809082784315</v>
      </c>
      <c r="BG17">
        <f t="shared" si="30"/>
        <v>-79.442184981293252</v>
      </c>
      <c r="BH17">
        <f t="shared" si="45"/>
        <v>100.55781501870675</v>
      </c>
      <c r="BI17">
        <f t="shared" si="46"/>
        <v>100.55781501870675</v>
      </c>
      <c r="BJ17">
        <f t="shared" si="31"/>
        <v>0</v>
      </c>
      <c r="BK17">
        <f t="shared" si="47"/>
        <v>0</v>
      </c>
      <c r="BM17">
        <f t="shared" si="48"/>
        <v>23.444006180526937</v>
      </c>
      <c r="BN17">
        <f t="shared" si="32"/>
        <v>-1.8304250629145459E-2</v>
      </c>
      <c r="BQ17" s="66">
        <f t="shared" si="49"/>
        <v>58.455763702542512</v>
      </c>
      <c r="BR17" s="69"/>
      <c r="BS17" s="69"/>
      <c r="BT17" s="69">
        <v>117.49</v>
      </c>
      <c r="BU17" s="69">
        <v>33.0246</v>
      </c>
      <c r="BV17" s="69">
        <v>-264.9049</v>
      </c>
      <c r="BW17" s="75"/>
      <c r="BY17" s="69"/>
      <c r="BZ17" s="69"/>
      <c r="CA17" s="69"/>
      <c r="CC17" s="69"/>
    </row>
    <row r="18" spans="1:81" ht="13" x14ac:dyDescent="0.3">
      <c r="A18">
        <v>10</v>
      </c>
      <c r="B18">
        <f t="shared" si="33"/>
        <v>0.01</v>
      </c>
      <c r="C18">
        <f t="shared" si="0"/>
        <v>1.0000000000049347</v>
      </c>
      <c r="D18">
        <f t="shared" si="1"/>
        <v>3.1415926499896649E-6</v>
      </c>
      <c r="F18">
        <f t="shared" si="2"/>
        <v>0.99108100950962041</v>
      </c>
      <c r="G18">
        <f t="shared" si="3"/>
        <v>-3.5810772501628597E-4</v>
      </c>
      <c r="H18">
        <f t="shared" si="4"/>
        <v>-3.5810772501628597E-4</v>
      </c>
      <c r="J18">
        <f t="shared" si="5"/>
        <v>15</v>
      </c>
      <c r="M18">
        <f t="shared" si="6"/>
        <v>109.83778003709894</v>
      </c>
      <c r="N18">
        <f t="shared" si="7"/>
        <v>-1.5707963250000001</v>
      </c>
      <c r="O18">
        <f t="shared" si="8"/>
        <v>1.0000059294766275</v>
      </c>
      <c r="P18">
        <f t="shared" si="9"/>
        <v>3.4436745864347088E-3</v>
      </c>
      <c r="Q18">
        <f t="shared" si="10"/>
        <v>1.0000008747403069</v>
      </c>
      <c r="R18">
        <f t="shared" si="11"/>
        <v>1.3226788493546544E-3</v>
      </c>
      <c r="S18">
        <f t="shared" si="12"/>
        <v>0.99999999999484568</v>
      </c>
      <c r="T18">
        <f t="shared" si="13"/>
        <v>-3.2107076882889682E-6</v>
      </c>
      <c r="U18">
        <f t="shared" si="14"/>
        <v>0.99999999875456957</v>
      </c>
      <c r="V18">
        <f t="shared" si="15"/>
        <v>-4.990852458499639E-5</v>
      </c>
      <c r="X18">
        <f t="shared" si="34"/>
        <v>64.259102294770557</v>
      </c>
      <c r="Y18">
        <f t="shared" si="16"/>
        <v>-89.750289633251171</v>
      </c>
      <c r="Z18">
        <f t="shared" si="35"/>
        <v>90.249710366748829</v>
      </c>
      <c r="AC18">
        <v>1</v>
      </c>
      <c r="AD18">
        <f t="shared" si="17"/>
        <v>3.4436881992240004E-3</v>
      </c>
      <c r="AE18">
        <f t="shared" si="18"/>
        <v>-2.163733107114771E-11</v>
      </c>
      <c r="AF18">
        <f t="shared" si="19"/>
        <v>4.3353978570000001E-7</v>
      </c>
      <c r="AG18">
        <f t="shared" si="36"/>
        <v>7828.0697137506859</v>
      </c>
      <c r="AH18">
        <f t="shared" si="37"/>
        <v>-2306593.771466488</v>
      </c>
      <c r="AJ18">
        <f t="shared" si="20"/>
        <v>21000</v>
      </c>
      <c r="AK18">
        <f t="shared" si="21"/>
        <v>6.7424861454300017E-2</v>
      </c>
      <c r="AL18">
        <v>1</v>
      </c>
      <c r="AM18">
        <f t="shared" si="22"/>
        <v>1.3226796206883E-3</v>
      </c>
      <c r="AN18">
        <f t="shared" si="38"/>
        <v>20999.963350136652</v>
      </c>
      <c r="AO18">
        <f t="shared" si="39"/>
        <v>-27.70879869697265</v>
      </c>
      <c r="AQ18">
        <f t="shared" si="23"/>
        <v>9996.0015993602556</v>
      </c>
      <c r="AR18">
        <f t="shared" si="24"/>
        <v>-199.92003198720514</v>
      </c>
      <c r="AT18">
        <f t="shared" si="40"/>
        <v>-382884903.19451302</v>
      </c>
      <c r="AU18">
        <f t="shared" si="41"/>
        <v>-23058280016.60099</v>
      </c>
      <c r="AV18">
        <f t="shared" si="42"/>
        <v>-1.5873998947061974</v>
      </c>
      <c r="AW18">
        <f t="shared" si="25"/>
        <v>210005939.880016</v>
      </c>
      <c r="AX18">
        <f t="shared" si="26"/>
        <v>-39074313.068284333</v>
      </c>
      <c r="AY18">
        <f t="shared" si="50"/>
        <v>-0.1839592914159715</v>
      </c>
      <c r="BA18">
        <f t="shared" si="27"/>
        <v>107.96049991068335</v>
      </c>
      <c r="BB18">
        <f t="shared" si="43"/>
        <v>40.665297737761563</v>
      </c>
      <c r="BC18">
        <f t="shared" si="44"/>
        <v>-1.4034406032902258</v>
      </c>
      <c r="BD18">
        <f t="shared" si="28"/>
        <v>-260.41122345770725</v>
      </c>
      <c r="BF18">
        <f t="shared" si="29"/>
        <v>64.109306009533924</v>
      </c>
      <c r="BG18">
        <f t="shared" si="30"/>
        <v>-80.431561518985134</v>
      </c>
      <c r="BH18">
        <f t="shared" si="45"/>
        <v>99.568438481014866</v>
      </c>
      <c r="BI18">
        <f t="shared" si="46"/>
        <v>99.568438481014866</v>
      </c>
      <c r="BJ18">
        <f t="shared" si="31"/>
        <v>0</v>
      </c>
      <c r="BK18">
        <f t="shared" si="47"/>
        <v>0</v>
      </c>
      <c r="BM18">
        <f t="shared" si="48"/>
        <v>23.444008271772361</v>
      </c>
      <c r="BN18">
        <f t="shared" si="32"/>
        <v>-2.0338061277910532E-2</v>
      </c>
      <c r="BQ18" s="66">
        <f t="shared" si="49"/>
        <v>57.567258538046701</v>
      </c>
      <c r="BR18" s="69"/>
      <c r="BS18" s="69"/>
      <c r="BT18" s="69">
        <v>120.226</v>
      </c>
      <c r="BU18" s="69">
        <v>33.735999999999997</v>
      </c>
      <c r="BV18" s="69">
        <v>-269.98079999999999</v>
      </c>
      <c r="BW18" s="75"/>
      <c r="BY18" s="69"/>
      <c r="BZ18" s="69"/>
      <c r="CA18" s="69"/>
      <c r="CC18" s="69"/>
    </row>
    <row r="19" spans="1:81" ht="13" x14ac:dyDescent="0.3">
      <c r="A19">
        <f>A10*10</f>
        <v>20</v>
      </c>
      <c r="B19">
        <f t="shared" si="33"/>
        <v>0.02</v>
      </c>
      <c r="C19">
        <f t="shared" si="0"/>
        <v>1.0000000000197393</v>
      </c>
      <c r="D19">
        <f t="shared" si="1"/>
        <v>6.2831852999173176E-6</v>
      </c>
      <c r="F19">
        <f t="shared" si="2"/>
        <v>0.99108477713251031</v>
      </c>
      <c r="G19">
        <f t="shared" si="3"/>
        <v>-7.1621821867094639E-4</v>
      </c>
      <c r="H19">
        <f t="shared" si="4"/>
        <v>-7.1621821867094639E-4</v>
      </c>
      <c r="J19">
        <f t="shared" si="5"/>
        <v>15</v>
      </c>
      <c r="M19">
        <f t="shared" si="6"/>
        <v>54.918890018549469</v>
      </c>
      <c r="N19">
        <f t="shared" si="7"/>
        <v>-1.5707963250000001</v>
      </c>
      <c r="O19">
        <f t="shared" si="8"/>
        <v>1.0000237176955624</v>
      </c>
      <c r="P19">
        <f t="shared" si="9"/>
        <v>6.8872674984582372E-3</v>
      </c>
      <c r="Q19">
        <f t="shared" si="10"/>
        <v>1.0000034989566366</v>
      </c>
      <c r="R19">
        <f t="shared" si="11"/>
        <v>2.6453530707268649E-3</v>
      </c>
      <c r="S19">
        <f t="shared" si="12"/>
        <v>0.99999999997938271</v>
      </c>
      <c r="T19">
        <f t="shared" si="13"/>
        <v>-6.42141537651174E-6</v>
      </c>
      <c r="U19">
        <f t="shared" si="14"/>
        <v>0.9999999950182783</v>
      </c>
      <c r="V19">
        <f t="shared" si="15"/>
        <v>-9.98170489213624E-5</v>
      </c>
      <c r="X19">
        <f t="shared" si="34"/>
        <v>58.238712666447881</v>
      </c>
      <c r="Y19">
        <f t="shared" si="16"/>
        <v>-89.50058436988229</v>
      </c>
      <c r="Z19">
        <f t="shared" si="35"/>
        <v>90.49941563011771</v>
      </c>
      <c r="AC19">
        <v>1</v>
      </c>
      <c r="AD19">
        <f t="shared" si="17"/>
        <v>6.8873763984480009E-3</v>
      </c>
      <c r="AE19">
        <f t="shared" si="18"/>
        <v>-8.6549324284590842E-11</v>
      </c>
      <c r="AF19">
        <f t="shared" si="19"/>
        <v>8.6707957140000002E-7</v>
      </c>
      <c r="AG19">
        <f t="shared" si="36"/>
        <v>7828.0696552547897</v>
      </c>
      <c r="AH19">
        <f t="shared" si="37"/>
        <v>-1153297.4717643533</v>
      </c>
      <c r="AJ19">
        <f t="shared" si="20"/>
        <v>21000</v>
      </c>
      <c r="AK19">
        <f t="shared" si="21"/>
        <v>0.13484972290860003</v>
      </c>
      <c r="AL19">
        <v>1</v>
      </c>
      <c r="AM19">
        <f t="shared" si="22"/>
        <v>2.6453592413766E-3</v>
      </c>
      <c r="AN19">
        <f t="shared" si="38"/>
        <v>20999.853401316013</v>
      </c>
      <c r="AO19">
        <f t="shared" si="39"/>
        <v>-55.417306539816543</v>
      </c>
      <c r="AQ19">
        <f t="shared" si="23"/>
        <v>9984.0255591054301</v>
      </c>
      <c r="AR19">
        <f t="shared" si="24"/>
        <v>-399.36102236421721</v>
      </c>
      <c r="AT19">
        <f t="shared" si="40"/>
        <v>-382426409.89735764</v>
      </c>
      <c r="AU19">
        <f t="shared" si="41"/>
        <v>-11517677661.247639</v>
      </c>
      <c r="AV19">
        <f t="shared" si="42"/>
        <v>-1.6039875634686496</v>
      </c>
      <c r="AW19">
        <f t="shared" si="25"/>
        <v>209736753.29083386</v>
      </c>
      <c r="AX19">
        <f t="shared" si="26"/>
        <v>-26239504.714959785</v>
      </c>
      <c r="AY19">
        <f t="shared" si="50"/>
        <v>-0.12446020016880759</v>
      </c>
      <c r="BA19">
        <f t="shared" si="27"/>
        <v>54.52017486032365</v>
      </c>
      <c r="BB19">
        <f t="shared" si="43"/>
        <v>34.731144801195448</v>
      </c>
      <c r="BC19">
        <f t="shared" si="44"/>
        <v>-1.479527363299842</v>
      </c>
      <c r="BD19">
        <f t="shared" si="28"/>
        <v>-264.77067368806445</v>
      </c>
      <c r="BF19">
        <f t="shared" si="29"/>
        <v>58.175186092692279</v>
      </c>
      <c r="BG19">
        <f t="shared" si="30"/>
        <v>-84.811349969251523</v>
      </c>
      <c r="BH19">
        <f t="shared" si="45"/>
        <v>95.188650030748477</v>
      </c>
      <c r="BI19">
        <f t="shared" si="46"/>
        <v>95.188650030748477</v>
      </c>
      <c r="BJ19">
        <f t="shared" si="31"/>
        <v>0</v>
      </c>
      <c r="BK19">
        <f t="shared" si="47"/>
        <v>0</v>
      </c>
      <c r="BM19">
        <f t="shared" si="48"/>
        <v>23.444041291496834</v>
      </c>
      <c r="BN19">
        <f t="shared" si="32"/>
        <v>-4.0676281187118649E-2</v>
      </c>
      <c r="BQ19" s="66">
        <f t="shared" si="49"/>
        <v>51.633105601480587</v>
      </c>
      <c r="BR19" s="69"/>
      <c r="BS19" s="69"/>
      <c r="BT19" s="69">
        <v>123.027</v>
      </c>
      <c r="BU19" s="69">
        <v>32.764899999999997</v>
      </c>
      <c r="BV19" s="69">
        <v>-265.73410000000001</v>
      </c>
      <c r="BW19" s="75"/>
      <c r="BY19" s="69"/>
      <c r="BZ19" s="69"/>
      <c r="CA19" s="69"/>
      <c r="CC19" s="69"/>
    </row>
    <row r="20" spans="1:81" ht="13" x14ac:dyDescent="0.3">
      <c r="A20">
        <f t="shared" ref="A20:A36" si="51">A11*10</f>
        <v>30</v>
      </c>
      <c r="B20">
        <f t="shared" si="33"/>
        <v>0.03</v>
      </c>
      <c r="C20">
        <f t="shared" si="0"/>
        <v>1.0000000000444134</v>
      </c>
      <c r="D20">
        <f t="shared" si="1"/>
        <v>9.424777949720944E-6</v>
      </c>
      <c r="F20">
        <f t="shared" si="2"/>
        <v>0.99109105656434748</v>
      </c>
      <c r="G20">
        <f t="shared" si="3"/>
        <v>-1.0743342496713239E-3</v>
      </c>
      <c r="H20">
        <f t="shared" si="4"/>
        <v>-1.0743342496713239E-3</v>
      </c>
      <c r="J20">
        <f t="shared" si="5"/>
        <v>15</v>
      </c>
      <c r="M20">
        <f t="shared" si="6"/>
        <v>36.612593345699651</v>
      </c>
      <c r="N20">
        <f t="shared" si="7"/>
        <v>-1.5707963250000001</v>
      </c>
      <c r="O20">
        <f t="shared" si="8"/>
        <v>1.000053364024001</v>
      </c>
      <c r="P20">
        <f t="shared" si="9"/>
        <v>1.0330697073281351E-2</v>
      </c>
      <c r="Q20">
        <f t="shared" si="10"/>
        <v>1.0000078726352162</v>
      </c>
      <c r="R20">
        <f t="shared" si="11"/>
        <v>3.9680180362313454E-3</v>
      </c>
      <c r="S20">
        <f t="shared" si="12"/>
        <v>0.99999999995361111</v>
      </c>
      <c r="T20">
        <f t="shared" si="13"/>
        <v>-9.6321230646021188E-6</v>
      </c>
      <c r="U20">
        <f t="shared" si="14"/>
        <v>0.9999999887911265</v>
      </c>
      <c r="V20">
        <f t="shared" si="15"/>
        <v>-1.4972557276046768E-4</v>
      </c>
      <c r="X20">
        <f t="shared" si="34"/>
        <v>54.717237948032562</v>
      </c>
      <c r="Y20">
        <f t="shared" si="16"/>
        <v>-89.250889312605864</v>
      </c>
      <c r="Z20">
        <f t="shared" si="35"/>
        <v>90.749110687394136</v>
      </c>
      <c r="AC20">
        <v>1</v>
      </c>
      <c r="AD20">
        <f t="shared" si="17"/>
        <v>1.0331064597672E-2</v>
      </c>
      <c r="AE20">
        <f t="shared" si="18"/>
        <v>-1.9473597964032943E-10</v>
      </c>
      <c r="AF20">
        <f t="shared" si="19"/>
        <v>1.3006193571E-6</v>
      </c>
      <c r="AG20">
        <f t="shared" si="36"/>
        <v>7828.0695577616307</v>
      </c>
      <c r="AH20">
        <f t="shared" si="37"/>
        <v>-768865.63232189952</v>
      </c>
      <c r="AJ20">
        <f t="shared" si="20"/>
        <v>21000</v>
      </c>
      <c r="AK20">
        <f t="shared" si="21"/>
        <v>0.20227458436290002</v>
      </c>
      <c r="AL20">
        <v>1</v>
      </c>
      <c r="AM20">
        <f t="shared" si="22"/>
        <v>3.9680388620649005E-3</v>
      </c>
      <c r="AN20">
        <f t="shared" si="38"/>
        <v>20999.670155846288</v>
      </c>
      <c r="AO20">
        <f t="shared" si="39"/>
        <v>-83.125232684579672</v>
      </c>
      <c r="AQ20">
        <f t="shared" si="23"/>
        <v>9964.1291351135915</v>
      </c>
      <c r="AR20">
        <f t="shared" si="24"/>
        <v>-597.8477481068154</v>
      </c>
      <c r="AT20">
        <f t="shared" si="40"/>
        <v>-381664690.92818189</v>
      </c>
      <c r="AU20">
        <f t="shared" si="41"/>
        <v>-7665756441.7633047</v>
      </c>
      <c r="AV20">
        <f t="shared" si="42"/>
        <v>-1.6205435104155834</v>
      </c>
      <c r="AW20">
        <f t="shared" si="25"/>
        <v>209289539.89690569</v>
      </c>
      <c r="AX20">
        <f t="shared" si="26"/>
        <v>-24916208.412755061</v>
      </c>
      <c r="AY20">
        <f t="shared" si="50"/>
        <v>-0.11849366693254453</v>
      </c>
      <c r="BA20">
        <f t="shared" si="27"/>
        <v>36.415731290215653</v>
      </c>
      <c r="BB20">
        <f t="shared" si="43"/>
        <v>31.225780715088433</v>
      </c>
      <c r="BC20">
        <f t="shared" si="44"/>
        <v>-1.5020498434830389</v>
      </c>
      <c r="BD20">
        <f t="shared" si="28"/>
        <v>-266.06111674820318</v>
      </c>
      <c r="BF20">
        <f t="shared" si="29"/>
        <v>54.669877039709377</v>
      </c>
      <c r="BG20">
        <f t="shared" si="30"/>
        <v>-86.12213156656604</v>
      </c>
      <c r="BH20">
        <f t="shared" si="45"/>
        <v>93.87786843343396</v>
      </c>
      <c r="BI20">
        <f t="shared" si="46"/>
        <v>93.87786843343396</v>
      </c>
      <c r="BJ20">
        <f t="shared" si="31"/>
        <v>0</v>
      </c>
      <c r="BK20">
        <f t="shared" si="47"/>
        <v>0</v>
      </c>
      <c r="BM20">
        <f t="shared" si="48"/>
        <v>23.444096324620944</v>
      </c>
      <c r="BN20">
        <f t="shared" si="32"/>
        <v>-6.1014818362873535E-2</v>
      </c>
      <c r="BQ20" s="66">
        <f t="shared" si="49"/>
        <v>48.127741515373572</v>
      </c>
      <c r="BR20" s="70"/>
      <c r="BS20" s="70"/>
      <c r="BT20" s="70">
        <v>125.893</v>
      </c>
      <c r="BU20" s="70">
        <v>32.247199999999999</v>
      </c>
      <c r="BV20" s="70">
        <v>-266.37110000000001</v>
      </c>
      <c r="BW20" s="75"/>
      <c r="BY20" s="70"/>
      <c r="BZ20" s="70"/>
      <c r="CA20" s="70"/>
      <c r="CC20" s="70"/>
    </row>
    <row r="21" spans="1:81" ht="13" x14ac:dyDescent="0.3">
      <c r="A21">
        <f t="shared" si="51"/>
        <v>40</v>
      </c>
      <c r="B21">
        <f t="shared" si="33"/>
        <v>0.04</v>
      </c>
      <c r="C21">
        <f t="shared" si="0"/>
        <v>1.0000000000789568</v>
      </c>
      <c r="D21">
        <f t="shared" si="1"/>
        <v>1.2566370599338535E-5</v>
      </c>
      <c r="F21">
        <f t="shared" si="2"/>
        <v>0.99109984789566596</v>
      </c>
      <c r="G21">
        <f t="shared" si="3"/>
        <v>-1.4324585868627012E-3</v>
      </c>
      <c r="H21">
        <f t="shared" si="4"/>
        <v>-1.4324585868627012E-3</v>
      </c>
      <c r="J21">
        <f t="shared" si="5"/>
        <v>15</v>
      </c>
      <c r="M21">
        <f t="shared" si="6"/>
        <v>27.459445009274734</v>
      </c>
      <c r="N21">
        <f t="shared" si="7"/>
        <v>-1.5707963250000001</v>
      </c>
      <c r="O21">
        <f t="shared" si="8"/>
        <v>1.0000948674073953</v>
      </c>
      <c r="P21">
        <f t="shared" si="9"/>
        <v>1.3773881671354569E-2</v>
      </c>
      <c r="Q21">
        <f t="shared" si="10"/>
        <v>1.0000139957530914</v>
      </c>
      <c r="R21">
        <f t="shared" si="11"/>
        <v>5.2906691181771196E-3</v>
      </c>
      <c r="S21">
        <f t="shared" si="12"/>
        <v>0.99999999991753086</v>
      </c>
      <c r="T21">
        <f t="shared" si="13"/>
        <v>-1.2842830752493912E-5</v>
      </c>
      <c r="U21">
        <f t="shared" si="14"/>
        <v>0.99999998007311386</v>
      </c>
      <c r="V21">
        <f t="shared" si="15"/>
        <v>-1.9963409585368184E-4</v>
      </c>
      <c r="X21">
        <f t="shared" si="34"/>
        <v>52.218953837964364</v>
      </c>
      <c r="Y21">
        <f t="shared" si="16"/>
        <v>-89.001209562799545</v>
      </c>
      <c r="Z21">
        <f t="shared" si="35"/>
        <v>90.998790437200455</v>
      </c>
      <c r="AC21">
        <v>1</v>
      </c>
      <c r="AD21">
        <f t="shared" si="17"/>
        <v>1.3774752796896002E-2</v>
      </c>
      <c r="AE21">
        <f t="shared" si="18"/>
        <v>-3.4619729713836337E-10</v>
      </c>
      <c r="AF21">
        <f t="shared" si="19"/>
        <v>1.7341591428E-6</v>
      </c>
      <c r="AG21">
        <f t="shared" si="36"/>
        <v>7828.0694212712142</v>
      </c>
      <c r="AH21">
        <f t="shared" si="37"/>
        <v>-576649.90794435143</v>
      </c>
      <c r="AJ21">
        <f t="shared" si="20"/>
        <v>21000</v>
      </c>
      <c r="AK21">
        <f t="shared" si="21"/>
        <v>0.26969944581720007</v>
      </c>
      <c r="AL21">
        <v>1</v>
      </c>
      <c r="AM21">
        <f t="shared" si="22"/>
        <v>5.2907184827532001E-3</v>
      </c>
      <c r="AN21">
        <f t="shared" si="38"/>
        <v>20999.413617574344</v>
      </c>
      <c r="AO21">
        <f t="shared" si="39"/>
        <v>-110.83228630766263</v>
      </c>
      <c r="AQ21">
        <f t="shared" si="23"/>
        <v>9936.4069952305254</v>
      </c>
      <c r="AR21">
        <f t="shared" si="24"/>
        <v>-794.91255961844195</v>
      </c>
      <c r="AT21">
        <f t="shared" si="40"/>
        <v>-380603370.57111388</v>
      </c>
      <c r="AU21">
        <f t="shared" si="41"/>
        <v>-5736050809.7978258</v>
      </c>
      <c r="AV21">
        <f t="shared" si="42"/>
        <v>-1.6370520649316329</v>
      </c>
      <c r="AW21">
        <f t="shared" si="25"/>
        <v>208666428.1653184</v>
      </c>
      <c r="AX21">
        <f t="shared" si="26"/>
        <v>-26444184.762621857</v>
      </c>
      <c r="AY21">
        <f t="shared" si="50"/>
        <v>-0.12605748816037959</v>
      </c>
      <c r="BA21">
        <f t="shared" si="27"/>
        <v>27.330941343779315</v>
      </c>
      <c r="BB21">
        <f t="shared" si="43"/>
        <v>28.733091802070167</v>
      </c>
      <c r="BC21">
        <f t="shared" si="44"/>
        <v>-1.5109945767712534</v>
      </c>
      <c r="BD21">
        <f t="shared" si="28"/>
        <v>-266.57361221507364</v>
      </c>
      <c r="BF21">
        <f t="shared" si="29"/>
        <v>52.177265173589873</v>
      </c>
      <c r="BG21">
        <f t="shared" si="30"/>
        <v>-86.654966046521977</v>
      </c>
      <c r="BH21">
        <f t="shared" si="45"/>
        <v>93.345033953478023</v>
      </c>
      <c r="BI21">
        <f t="shared" si="46"/>
        <v>93.345033953478023</v>
      </c>
      <c r="BJ21">
        <f t="shared" si="31"/>
        <v>0</v>
      </c>
      <c r="BK21">
        <f t="shared" si="47"/>
        <v>0</v>
      </c>
      <c r="BM21">
        <f t="shared" si="48"/>
        <v>23.444173371519707</v>
      </c>
      <c r="BN21">
        <f t="shared" si="32"/>
        <v>-8.1353831448327724E-2</v>
      </c>
      <c r="BQ21" s="66">
        <f t="shared" si="49"/>
        <v>45.635052602355302</v>
      </c>
      <c r="BR21" s="70"/>
      <c r="BS21" s="70"/>
      <c r="BT21" s="70">
        <v>128.82499999999999</v>
      </c>
      <c r="BU21" s="70">
        <v>32.3142</v>
      </c>
      <c r="BV21" s="70">
        <v>-268.05959999999999</v>
      </c>
      <c r="BW21" s="75"/>
      <c r="BY21" s="70"/>
      <c r="BZ21" s="70"/>
      <c r="CA21" s="70"/>
      <c r="CC21" s="70"/>
    </row>
    <row r="22" spans="1:81" ht="13" x14ac:dyDescent="0.3">
      <c r="A22">
        <f t="shared" si="51"/>
        <v>50</v>
      </c>
      <c r="B22">
        <f t="shared" si="33"/>
        <v>0.05</v>
      </c>
      <c r="C22">
        <f t="shared" si="0"/>
        <v>1.0000000001233702</v>
      </c>
      <c r="D22">
        <f t="shared" si="1"/>
        <v>1.5707963248708072E-5</v>
      </c>
      <c r="F22">
        <f t="shared" si="2"/>
        <v>0.9911111512532168</v>
      </c>
      <c r="G22">
        <f t="shared" si="3"/>
        <v>-1.7905939992972797E-3</v>
      </c>
      <c r="H22">
        <f t="shared" si="4"/>
        <v>-1.7905939992972797E-3</v>
      </c>
      <c r="J22">
        <f t="shared" si="5"/>
        <v>15</v>
      </c>
      <c r="M22">
        <f t="shared" si="6"/>
        <v>21.967556007419791</v>
      </c>
      <c r="N22">
        <f t="shared" si="7"/>
        <v>-1.5707963250000001</v>
      </c>
      <c r="O22">
        <f t="shared" si="8"/>
        <v>1.0001482263696402</v>
      </c>
      <c r="P22">
        <f t="shared" si="9"/>
        <v>1.7216739687977725E-2</v>
      </c>
      <c r="Q22">
        <f t="shared" si="10"/>
        <v>1.0000218682781266</v>
      </c>
      <c r="R22">
        <f t="shared" si="11"/>
        <v>6.6133016891646648E-3</v>
      </c>
      <c r="S22">
        <f t="shared" si="12"/>
        <v>0.99999999987114196</v>
      </c>
      <c r="T22">
        <f t="shared" si="13"/>
        <v>-1.6053538440120917E-5</v>
      </c>
      <c r="U22">
        <f t="shared" si="14"/>
        <v>0.99999996886424103</v>
      </c>
      <c r="V22">
        <f t="shared" si="15"/>
        <v>-2.495426179523746E-4</v>
      </c>
      <c r="X22">
        <f t="shared" si="34"/>
        <v>50.281384333628047</v>
      </c>
      <c r="Y22">
        <f t="shared" si="16"/>
        <v>-88.751550219839515</v>
      </c>
      <c r="Z22">
        <f t="shared" si="35"/>
        <v>91.248449780160485</v>
      </c>
      <c r="AC22">
        <v>1</v>
      </c>
      <c r="AD22">
        <f t="shared" si="17"/>
        <v>1.7218440996120001E-2</v>
      </c>
      <c r="AE22">
        <f t="shared" si="18"/>
        <v>-5.409332767786927E-10</v>
      </c>
      <c r="AF22">
        <f t="shared" si="19"/>
        <v>2.1676989285000001E-6</v>
      </c>
      <c r="AG22">
        <f t="shared" si="36"/>
        <v>7828.0692457835394</v>
      </c>
      <c r="AH22">
        <f t="shared" si="37"/>
        <v>-461320.62959274917</v>
      </c>
      <c r="AJ22">
        <f t="shared" si="20"/>
        <v>21000</v>
      </c>
      <c r="AK22">
        <f t="shared" si="21"/>
        <v>0.33712430727150006</v>
      </c>
      <c r="AL22">
        <v>1</v>
      </c>
      <c r="AM22">
        <f t="shared" si="22"/>
        <v>6.6133981034414997E-3</v>
      </c>
      <c r="AN22">
        <f t="shared" si="38"/>
        <v>20999.083791885514</v>
      </c>
      <c r="AO22">
        <f t="shared" si="39"/>
        <v>-138.53817661599328</v>
      </c>
      <c r="AQ22">
        <f t="shared" si="23"/>
        <v>9900.9900990099013</v>
      </c>
      <c r="AR22">
        <f t="shared" si="24"/>
        <v>-990.09900990099004</v>
      </c>
      <c r="AT22">
        <f t="shared" ref="AT22:AT85" si="52">-AR22*AH22+AG22*AQ22</f>
        <v>-379247462.50981557</v>
      </c>
      <c r="AU22">
        <f t="shared" ref="AU22:AU85" si="53">AQ22*AH22+AG22*AR22</f>
        <v>-4575281549.6765108</v>
      </c>
      <c r="AV22">
        <f t="shared" si="42"/>
        <v>-1.6534977822160331</v>
      </c>
      <c r="AW22">
        <f t="shared" si="25"/>
        <v>207870362.52871564</v>
      </c>
      <c r="AX22">
        <f t="shared" si="26"/>
        <v>-29083226.382075146</v>
      </c>
      <c r="AY22">
        <f t="shared" si="50"/>
        <v>-0.1390080666358996</v>
      </c>
      <c r="BA22">
        <f t="shared" si="27"/>
        <v>21.872708247846884</v>
      </c>
      <c r="BB22">
        <f t="shared" si="43"/>
        <v>26.798051201928992</v>
      </c>
      <c r="BC22">
        <f t="shared" si="44"/>
        <v>-1.5144897155801336</v>
      </c>
      <c r="BD22">
        <f t="shared" si="28"/>
        <v>-266.77386891786369</v>
      </c>
      <c r="BF22">
        <f t="shared" si="29"/>
        <v>50.242323634647128</v>
      </c>
      <c r="BG22">
        <f t="shared" si="30"/>
        <v>-86.875562396962167</v>
      </c>
      <c r="BH22">
        <f t="shared" si="45"/>
        <v>93.124437603037833</v>
      </c>
      <c r="BI22">
        <f t="shared" si="46"/>
        <v>93.124437603037833</v>
      </c>
      <c r="BJ22">
        <f t="shared" si="31"/>
        <v>0</v>
      </c>
      <c r="BK22">
        <f t="shared" si="47"/>
        <v>0</v>
      </c>
      <c r="BM22">
        <f t="shared" si="48"/>
        <v>23.444272432718147</v>
      </c>
      <c r="BN22">
        <f t="shared" si="32"/>
        <v>-0.10169347909848939</v>
      </c>
      <c r="BQ22" s="66">
        <f t="shared" si="49"/>
        <v>43.70001200221413</v>
      </c>
      <c r="BR22" s="69"/>
      <c r="BS22" s="69"/>
      <c r="BT22" s="69">
        <v>131.82599999999999</v>
      </c>
      <c r="BU22" s="69">
        <v>32.155799999999999</v>
      </c>
      <c r="BV22" s="69">
        <v>-263.3605</v>
      </c>
      <c r="BW22" s="75"/>
      <c r="BY22" s="69"/>
      <c r="BZ22" s="69"/>
      <c r="CA22" s="69"/>
      <c r="CC22" s="69"/>
    </row>
    <row r="23" spans="1:81" ht="13" x14ac:dyDescent="0.3">
      <c r="A23">
        <f t="shared" si="51"/>
        <v>60</v>
      </c>
      <c r="B23">
        <f t="shared" si="33"/>
        <v>0.06</v>
      </c>
      <c r="C23">
        <f t="shared" si="0"/>
        <v>1.000000000177653</v>
      </c>
      <c r="D23">
        <f t="shared" si="1"/>
        <v>1.8849555897767548E-5</v>
      </c>
      <c r="F23">
        <f t="shared" si="2"/>
        <v>0.99112496679997308</v>
      </c>
      <c r="G23">
        <f t="shared" si="3"/>
        <v>-2.1487432563031682E-3</v>
      </c>
      <c r="H23">
        <f t="shared" si="4"/>
        <v>-2.1487432563031682E-3</v>
      </c>
      <c r="J23">
        <f t="shared" si="5"/>
        <v>15</v>
      </c>
      <c r="M23">
        <f t="shared" si="6"/>
        <v>18.306296672849825</v>
      </c>
      <c r="N23">
        <f t="shared" si="7"/>
        <v>-1.5707963250000001</v>
      </c>
      <c r="O23">
        <f t="shared" si="8"/>
        <v>1.0002134390133364</v>
      </c>
      <c r="P23">
        <f t="shared" si="9"/>
        <v>2.0659189564897106E-2</v>
      </c>
      <c r="Q23">
        <f t="shared" si="10"/>
        <v>1.0000314901690064</v>
      </c>
      <c r="R23">
        <f t="shared" si="11"/>
        <v>7.9359111221830366E-3</v>
      </c>
      <c r="S23">
        <f t="shared" si="12"/>
        <v>0.99999999981444443</v>
      </c>
      <c r="T23">
        <f t="shared" si="13"/>
        <v>-1.9264246127416944E-5</v>
      </c>
      <c r="U23">
        <f t="shared" si="14"/>
        <v>0.99999995516450801</v>
      </c>
      <c r="V23">
        <f t="shared" si="15"/>
        <v>-2.9945113880791558E-4</v>
      </c>
      <c r="X23">
        <f t="shared" si="34"/>
        <v>48.698530269230332</v>
      </c>
      <c r="Y23">
        <f t="shared" si="16"/>
        <v>-88.501916380434267</v>
      </c>
      <c r="Z23">
        <f t="shared" si="35"/>
        <v>91.498083619565733</v>
      </c>
      <c r="AC23">
        <v>1</v>
      </c>
      <c r="AD23">
        <f t="shared" si="17"/>
        <v>2.0662129195343999E-2</v>
      </c>
      <c r="AE23">
        <f t="shared" si="18"/>
        <v>-7.7894391856131773E-10</v>
      </c>
      <c r="AF23">
        <f t="shared" si="19"/>
        <v>2.6012387141999999E-6</v>
      </c>
      <c r="AG23">
        <f t="shared" si="36"/>
        <v>7828.0690312986189</v>
      </c>
      <c r="AH23">
        <f t="shared" si="37"/>
        <v>-384434.57425410254</v>
      </c>
      <c r="AJ23">
        <f t="shared" si="20"/>
        <v>21000</v>
      </c>
      <c r="AK23">
        <f t="shared" si="21"/>
        <v>0.40454916872580005</v>
      </c>
      <c r="AL23">
        <v>1</v>
      </c>
      <c r="AM23">
        <f t="shared" si="22"/>
        <v>7.936077724129801E-3</v>
      </c>
      <c r="AN23">
        <f t="shared" si="38"/>
        <v>20998.680685703304</v>
      </c>
      <c r="AO23">
        <f t="shared" si="39"/>
        <v>-166.24261285719891</v>
      </c>
      <c r="AQ23">
        <f t="shared" si="23"/>
        <v>9858.0441640378558</v>
      </c>
      <c r="AR23">
        <f t="shared" si="24"/>
        <v>-1182.9652996845425</v>
      </c>
      <c r="AT23">
        <f t="shared" si="52"/>
        <v>-377603311.11192513</v>
      </c>
      <c r="AU23">
        <f t="shared" si="53"/>
        <v>-3799033345.2075949</v>
      </c>
      <c r="AV23">
        <f t="shared" si="42"/>
        <v>-1.6698655143871457</v>
      </c>
      <c r="AW23">
        <f t="shared" si="25"/>
        <v>206905068.90282142</v>
      </c>
      <c r="AX23">
        <f t="shared" si="26"/>
        <v>-32246751.912005022</v>
      </c>
      <c r="AY23">
        <f t="shared" si="50"/>
        <v>-0.15460906760547413</v>
      </c>
      <c r="BA23">
        <f t="shared" si="27"/>
        <v>18.231618061324159</v>
      </c>
      <c r="BB23">
        <f t="shared" si="43"/>
        <v>25.216504282502115</v>
      </c>
      <c r="BC23">
        <f t="shared" si="44"/>
        <v>-1.5152564467816716</v>
      </c>
      <c r="BD23">
        <f t="shared" si="28"/>
        <v>-266.81779937978303</v>
      </c>
      <c r="BF23">
        <f t="shared" si="29"/>
        <v>48.660897791393403</v>
      </c>
      <c r="BG23">
        <f t="shared" si="30"/>
        <v>-86.939833299767187</v>
      </c>
      <c r="BH23">
        <f t="shared" si="45"/>
        <v>93.060166700232813</v>
      </c>
      <c r="BI23">
        <f t="shared" si="46"/>
        <v>93.060166700232813</v>
      </c>
      <c r="BJ23">
        <f t="shared" si="31"/>
        <v>0</v>
      </c>
      <c r="BK23">
        <f t="shared" si="47"/>
        <v>0</v>
      </c>
      <c r="BM23">
        <f t="shared" si="48"/>
        <v>23.444393508891292</v>
      </c>
      <c r="BN23">
        <f t="shared" si="32"/>
        <v>-0.12203391998417494</v>
      </c>
      <c r="BQ23" s="66">
        <f t="shared" si="49"/>
        <v>42.118465082787253</v>
      </c>
      <c r="BR23" s="68"/>
      <c r="BS23" s="68"/>
      <c r="BT23" s="68">
        <v>134.89599999999999</v>
      </c>
      <c r="BU23" s="68">
        <v>32.875300000000003</v>
      </c>
      <c r="BV23" s="68">
        <v>-269.46539999999999</v>
      </c>
      <c r="BW23" s="75"/>
      <c r="BY23" s="68"/>
      <c r="BZ23" s="68"/>
      <c r="CA23" s="68"/>
      <c r="CC23" s="68"/>
    </row>
    <row r="24" spans="1:81" ht="13" x14ac:dyDescent="0.3">
      <c r="A24">
        <f t="shared" si="51"/>
        <v>70</v>
      </c>
      <c r="B24">
        <f t="shared" si="33"/>
        <v>7.0000000000000007E-2</v>
      </c>
      <c r="C24">
        <f t="shared" si="0"/>
        <v>1.0000000002418052</v>
      </c>
      <c r="D24">
        <f t="shared" si="1"/>
        <v>2.1991148546454952E-5</v>
      </c>
      <c r="F24">
        <f t="shared" si="2"/>
        <v>0.99114129473513568</v>
      </c>
      <c r="G24">
        <f t="shared" si="3"/>
        <v>-2.5069091275533866E-3</v>
      </c>
      <c r="H24">
        <f t="shared" si="4"/>
        <v>-2.5069091275533866E-3</v>
      </c>
      <c r="J24">
        <f t="shared" si="5"/>
        <v>15</v>
      </c>
      <c r="M24">
        <f t="shared" si="6"/>
        <v>15.691111433871278</v>
      </c>
      <c r="N24">
        <f t="shared" si="7"/>
        <v>-1.5707963250000001</v>
      </c>
      <c r="O24">
        <f t="shared" si="8"/>
        <v>1.0002905030201279</v>
      </c>
      <c r="P24">
        <f t="shared" si="9"/>
        <v>2.4101149801886098E-2</v>
      </c>
      <c r="Q24">
        <f t="shared" si="10"/>
        <v>1.0000428613752363</v>
      </c>
      <c r="R24">
        <f t="shared" si="11"/>
        <v>9.2584927907069774E-3</v>
      </c>
      <c r="S24">
        <f t="shared" si="12"/>
        <v>0.99999999974743825</v>
      </c>
      <c r="T24">
        <f t="shared" si="13"/>
        <v>-2.2474953814315794E-5</v>
      </c>
      <c r="U24">
        <f t="shared" si="14"/>
        <v>0.99999993897391537</v>
      </c>
      <c r="V24">
        <f t="shared" si="15"/>
        <v>-3.4935965817167459E-4</v>
      </c>
      <c r="X24">
        <f t="shared" si="34"/>
        <v>47.36050539358915</v>
      </c>
      <c r="Y24">
        <f t="shared" si="16"/>
        <v>-88.252313137959476</v>
      </c>
      <c r="Z24">
        <f t="shared" si="35"/>
        <v>91.747686862040524</v>
      </c>
      <c r="AC24">
        <v>1</v>
      </c>
      <c r="AD24">
        <f t="shared" si="17"/>
        <v>2.4105817394568001E-2</v>
      </c>
      <c r="AE24">
        <f t="shared" si="18"/>
        <v>-1.060229222486238E-9</v>
      </c>
      <c r="AF24">
        <f t="shared" si="19"/>
        <v>3.0347784999000002E-6</v>
      </c>
      <c r="AG24">
        <f t="shared" si="36"/>
        <v>7828.0687778164529</v>
      </c>
      <c r="AH24">
        <f t="shared" si="37"/>
        <v>-329516.07492284046</v>
      </c>
      <c r="AJ24">
        <f t="shared" si="20"/>
        <v>21000</v>
      </c>
      <c r="AK24">
        <f t="shared" si="21"/>
        <v>0.47197403018010003</v>
      </c>
      <c r="AL24">
        <v>1</v>
      </c>
      <c r="AM24">
        <f t="shared" si="22"/>
        <v>9.2587573448181006E-3</v>
      </c>
      <c r="AN24">
        <f t="shared" si="38"/>
        <v>20998.204307489043</v>
      </c>
      <c r="AO24">
        <f t="shared" si="39"/>
        <v>-193.94530432977515</v>
      </c>
      <c r="AQ24">
        <f t="shared" si="23"/>
        <v>9807.7677520596299</v>
      </c>
      <c r="AR24">
        <f t="shared" si="24"/>
        <v>-1373.0874852883483</v>
      </c>
      <c r="AT24">
        <f t="shared" si="52"/>
        <v>-375678518.1579169</v>
      </c>
      <c r="AU24">
        <f t="shared" si="53"/>
        <v>-3242565756.6862955</v>
      </c>
      <c r="AV24">
        <f t="shared" si="42"/>
        <v>-1.6861404781332534</v>
      </c>
      <c r="AW24">
        <f t="shared" si="25"/>
        <v>205775011.65576178</v>
      </c>
      <c r="AX24">
        <f t="shared" si="26"/>
        <v>-35678094.790512621</v>
      </c>
      <c r="AY24">
        <f t="shared" si="50"/>
        <v>-0.17167725757757363</v>
      </c>
      <c r="BA24">
        <f t="shared" si="27"/>
        <v>15.630032700309497</v>
      </c>
      <c r="BB24">
        <f t="shared" si="43"/>
        <v>23.879197732551511</v>
      </c>
      <c r="BC24">
        <f t="shared" si="44"/>
        <v>-1.5144632205556798</v>
      </c>
      <c r="BD24">
        <f t="shared" si="28"/>
        <v>-266.77235086478265</v>
      </c>
      <c r="BF24">
        <f t="shared" si="29"/>
        <v>47.323734333415743</v>
      </c>
      <c r="BG24">
        <f t="shared" si="30"/>
        <v>-86.914726177578615</v>
      </c>
      <c r="BH24">
        <f t="shared" si="45"/>
        <v>93.085273822421385</v>
      </c>
      <c r="BI24">
        <f t="shared" si="46"/>
        <v>93.085273822421385</v>
      </c>
      <c r="BJ24">
        <f t="shared" si="31"/>
        <v>0</v>
      </c>
      <c r="BK24">
        <f t="shared" si="47"/>
        <v>0</v>
      </c>
      <c r="BM24">
        <f t="shared" si="48"/>
        <v>23.444536600864225</v>
      </c>
      <c r="BN24">
        <f t="shared" si="32"/>
        <v>-0.1423753127959628</v>
      </c>
      <c r="BQ24" s="66">
        <f t="shared" si="49"/>
        <v>40.781158532836642</v>
      </c>
      <c r="BR24" s="68"/>
      <c r="BS24" s="68"/>
      <c r="BT24" s="68">
        <v>138.03800000000001</v>
      </c>
      <c r="BU24" s="68">
        <v>32.538699999999999</v>
      </c>
      <c r="BV24" s="68">
        <v>-267.95069999999998</v>
      </c>
      <c r="BW24" s="75"/>
      <c r="BY24" s="68"/>
      <c r="BZ24" s="68"/>
      <c r="CA24" s="68"/>
      <c r="CC24" s="68"/>
    </row>
    <row r="25" spans="1:81" ht="13" x14ac:dyDescent="0.3">
      <c r="A25">
        <f t="shared" si="51"/>
        <v>80</v>
      </c>
      <c r="B25">
        <f t="shared" si="33"/>
        <v>0.08</v>
      </c>
      <c r="C25">
        <f t="shared" si="0"/>
        <v>1.0000000003158274</v>
      </c>
      <c r="D25">
        <f t="shared" si="1"/>
        <v>2.5132741194708266E-5</v>
      </c>
      <c r="F25">
        <f t="shared" si="2"/>
        <v>0.99116013529413982</v>
      </c>
      <c r="G25">
        <f t="shared" si="3"/>
        <v>-2.8650943831348857E-3</v>
      </c>
      <c r="H25">
        <f t="shared" si="4"/>
        <v>-2.8650943831348857E-3</v>
      </c>
      <c r="J25">
        <f t="shared" si="5"/>
        <v>15</v>
      </c>
      <c r="M25">
        <f t="shared" si="6"/>
        <v>13.729722504637367</v>
      </c>
      <c r="N25">
        <f t="shared" si="7"/>
        <v>-1.5707963250000001</v>
      </c>
      <c r="O25">
        <f t="shared" si="8"/>
        <v>1.000379415651113</v>
      </c>
      <c r="P25">
        <f t="shared" si="9"/>
        <v>2.7542538968305233E-2</v>
      </c>
      <c r="Q25">
        <f t="shared" si="10"/>
        <v>1.0000559818371444</v>
      </c>
      <c r="R25">
        <f t="shared" si="11"/>
        <v>1.0581042068793997E-2</v>
      </c>
      <c r="S25">
        <f t="shared" si="12"/>
        <v>0.99999999967012343</v>
      </c>
      <c r="T25">
        <f t="shared" si="13"/>
        <v>-2.5685661500751273E-5</v>
      </c>
      <c r="U25">
        <f t="shared" si="14"/>
        <v>0.99999992029246287</v>
      </c>
      <c r="V25">
        <f t="shared" si="15"/>
        <v>-3.9926817579502138E-4</v>
      </c>
      <c r="X25">
        <f t="shared" si="34"/>
        <v>46.201717383801991</v>
      </c>
      <c r="Y25">
        <f t="shared" si="16"/>
        <v>-88.002745581794187</v>
      </c>
      <c r="Z25">
        <f t="shared" si="35"/>
        <v>91.997254418205813</v>
      </c>
      <c r="AC25">
        <v>1</v>
      </c>
      <c r="AD25">
        <f t="shared" si="17"/>
        <v>2.7549505593792004E-2</v>
      </c>
      <c r="AE25">
        <f t="shared" si="18"/>
        <v>-1.3847891885534535E-9</v>
      </c>
      <c r="AF25">
        <f t="shared" si="19"/>
        <v>3.4683182856000001E-6</v>
      </c>
      <c r="AG25">
        <f t="shared" si="36"/>
        <v>7828.0684853370522</v>
      </c>
      <c r="AH25">
        <f t="shared" si="37"/>
        <v>-288327.29809617501</v>
      </c>
      <c r="AJ25">
        <f t="shared" si="20"/>
        <v>21000</v>
      </c>
      <c r="AK25">
        <f t="shared" si="21"/>
        <v>0.53939889163440013</v>
      </c>
      <c r="AL25">
        <v>1</v>
      </c>
      <c r="AM25">
        <f t="shared" si="22"/>
        <v>1.05814369655064E-2</v>
      </c>
      <c r="AN25">
        <f t="shared" si="38"/>
        <v>20997.654667241441</v>
      </c>
      <c r="AO25">
        <f t="shared" si="39"/>
        <v>-221.64596039325215</v>
      </c>
      <c r="AQ25">
        <f t="shared" si="23"/>
        <v>9750.3900156006239</v>
      </c>
      <c r="AR25">
        <f t="shared" si="24"/>
        <v>-1560.0624024960998</v>
      </c>
      <c r="AT25">
        <f t="shared" si="52"/>
        <v>-373481856.57225966</v>
      </c>
      <c r="AU25">
        <f t="shared" si="53"/>
        <v>-2823515883.9101887</v>
      </c>
      <c r="AV25">
        <f t="shared" si="42"/>
        <v>-1.7023083181887877</v>
      </c>
      <c r="AW25">
        <f t="shared" si="25"/>
        <v>204485342.9440937</v>
      </c>
      <c r="AX25">
        <f t="shared" si="26"/>
        <v>-39244623.154446416</v>
      </c>
      <c r="AY25">
        <f t="shared" si="50"/>
        <v>-0.18961343360655616</v>
      </c>
      <c r="BA25">
        <f t="shared" si="27"/>
        <v>13.678554050650037</v>
      </c>
      <c r="BB25">
        <f t="shared" si="43"/>
        <v>22.720803817545065</v>
      </c>
      <c r="BC25">
        <f t="shared" si="44"/>
        <v>-1.5126948845822314</v>
      </c>
      <c r="BD25">
        <f t="shared" si="28"/>
        <v>-266.67103267662714</v>
      </c>
      <c r="BF25">
        <f t="shared" si="29"/>
        <v>46.165505527157151</v>
      </c>
      <c r="BG25">
        <f t="shared" si="30"/>
        <v>-86.833750492875282</v>
      </c>
      <c r="BH25">
        <f t="shared" si="45"/>
        <v>93.166249507124718</v>
      </c>
      <c r="BI25">
        <f t="shared" si="46"/>
        <v>93.166249507124718</v>
      </c>
      <c r="BJ25">
        <f t="shared" si="31"/>
        <v>0</v>
      </c>
      <c r="BK25">
        <f t="shared" si="47"/>
        <v>0</v>
      </c>
      <c r="BM25">
        <f t="shared" si="48"/>
        <v>23.444701709612083</v>
      </c>
      <c r="BN25">
        <f t="shared" si="32"/>
        <v>-0.16271781624814788</v>
      </c>
      <c r="BQ25" s="66">
        <f t="shared" si="49"/>
        <v>39.622764617830207</v>
      </c>
      <c r="BR25" s="68"/>
      <c r="BS25" s="68"/>
      <c r="BT25" s="68">
        <v>141.25399999999999</v>
      </c>
      <c r="BU25" s="68">
        <v>32.377000000000002</v>
      </c>
      <c r="BV25" s="68">
        <v>-263.11430000000001</v>
      </c>
      <c r="BW25" s="75"/>
      <c r="BY25" s="68"/>
      <c r="BZ25" s="68"/>
      <c r="CA25" s="68"/>
      <c r="CC25" s="68"/>
    </row>
    <row r="26" spans="1:81" ht="13" x14ac:dyDescent="0.3">
      <c r="A26">
        <f t="shared" si="51"/>
        <v>90</v>
      </c>
      <c r="B26">
        <f t="shared" si="33"/>
        <v>0.09</v>
      </c>
      <c r="C26">
        <f t="shared" si="0"/>
        <v>1.0000000003997189</v>
      </c>
      <c r="D26">
        <f t="shared" si="1"/>
        <v>2.827433384246548E-5</v>
      </c>
      <c r="F26">
        <f t="shared" si="2"/>
        <v>0.99118148874866263</v>
      </c>
      <c r="G26">
        <f t="shared" si="3"/>
        <v>-3.2233017936175888E-3</v>
      </c>
      <c r="H26">
        <f t="shared" si="4"/>
        <v>-3.2233017936175888E-3</v>
      </c>
      <c r="J26">
        <f t="shared" si="5"/>
        <v>15</v>
      </c>
      <c r="M26">
        <f t="shared" si="6"/>
        <v>12.204197781899882</v>
      </c>
      <c r="N26">
        <f t="shared" si="7"/>
        <v>-1.5707963250000001</v>
      </c>
      <c r="O26">
        <f t="shared" si="8"/>
        <v>1.0004801737473319</v>
      </c>
      <c r="P26">
        <f t="shared" si="9"/>
        <v>3.0983275714637507E-2</v>
      </c>
      <c r="Q26">
        <f t="shared" si="10"/>
        <v>1.0000708514858823</v>
      </c>
      <c r="R26">
        <f t="shared" si="11"/>
        <v>1.1903554331181423E-2</v>
      </c>
      <c r="S26">
        <f t="shared" si="12"/>
        <v>0.99999999958249997</v>
      </c>
      <c r="T26">
        <f t="shared" si="13"/>
        <v>-2.889636918665718E-5</v>
      </c>
      <c r="U26">
        <f t="shared" si="14"/>
        <v>0.99999989912015153</v>
      </c>
      <c r="V26">
        <f t="shared" si="15"/>
        <v>-4.4917669142932576E-4</v>
      </c>
      <c r="X26">
        <f t="shared" si="34"/>
        <v>45.179857822499855</v>
      </c>
      <c r="Y26">
        <f t="shared" si="16"/>
        <v>-87.753218796658118</v>
      </c>
      <c r="Z26">
        <f t="shared" si="35"/>
        <v>92.246781203341882</v>
      </c>
      <c r="AC26">
        <v>1</v>
      </c>
      <c r="AD26">
        <f t="shared" si="17"/>
        <v>3.0993193793016002E-2</v>
      </c>
      <c r="AE26">
        <f t="shared" si="18"/>
        <v>-1.7526238167629643E-9</v>
      </c>
      <c r="AF26">
        <f t="shared" si="19"/>
        <v>3.9018580713000003E-6</v>
      </c>
      <c r="AG26">
        <f t="shared" si="36"/>
        <v>7828.0681538604213</v>
      </c>
      <c r="AH26">
        <f t="shared" si="37"/>
        <v>-256291.66960588764</v>
      </c>
      <c r="AJ26">
        <f t="shared" si="20"/>
        <v>21000</v>
      </c>
      <c r="AK26">
        <f t="shared" si="21"/>
        <v>0.60682375308870007</v>
      </c>
      <c r="AL26">
        <v>1</v>
      </c>
      <c r="AM26">
        <f t="shared" si="22"/>
        <v>1.19041165861947E-2</v>
      </c>
      <c r="AN26">
        <f t="shared" si="38"/>
        <v>20997.031776496042</v>
      </c>
      <c r="AO26">
        <f t="shared" si="39"/>
        <v>-249.34429047835502</v>
      </c>
      <c r="AQ26">
        <f t="shared" si="23"/>
        <v>9686.1681518791174</v>
      </c>
      <c r="AR26">
        <f t="shared" si="24"/>
        <v>-1743.510267338241</v>
      </c>
      <c r="AT26">
        <f t="shared" si="52"/>
        <v>-371023172.94846332</v>
      </c>
      <c r="AU26">
        <f t="shared" si="53"/>
        <v>-2496132524.9281535</v>
      </c>
      <c r="AV26">
        <f t="shared" si="42"/>
        <v>-1.7183551660028857</v>
      </c>
      <c r="AW26">
        <f t="shared" si="25"/>
        <v>203041845.46771014</v>
      </c>
      <c r="AX26">
        <f t="shared" si="26"/>
        <v>-42869149.701705977</v>
      </c>
      <c r="AY26">
        <f t="shared" si="50"/>
        <v>-0.20807858036731453</v>
      </c>
      <c r="BA26">
        <f t="shared" si="27"/>
        <v>12.160656716329367</v>
      </c>
      <c r="BB26">
        <f t="shared" si="43"/>
        <v>21.699140578630338</v>
      </c>
      <c r="BC26">
        <f t="shared" si="44"/>
        <v>-1.5102765856355713</v>
      </c>
      <c r="BD26">
        <f t="shared" si="28"/>
        <v>-266.53247435322425</v>
      </c>
      <c r="BF26">
        <f t="shared" si="29"/>
        <v>45.14402941489039</v>
      </c>
      <c r="BG26">
        <f t="shared" si="30"/>
        <v>-86.715535942306943</v>
      </c>
      <c r="BH26">
        <f t="shared" si="45"/>
        <v>93.284464057693057</v>
      </c>
      <c r="BI26">
        <f t="shared" si="46"/>
        <v>93.284464057693057</v>
      </c>
      <c r="BJ26">
        <f t="shared" si="31"/>
        <v>0</v>
      </c>
      <c r="BK26">
        <f t="shared" si="47"/>
        <v>0</v>
      </c>
      <c r="BM26">
        <f t="shared" si="48"/>
        <v>23.444888836260056</v>
      </c>
      <c r="BN26">
        <f t="shared" si="32"/>
        <v>-0.18306158908269732</v>
      </c>
      <c r="BQ26" s="66">
        <f t="shared" si="49"/>
        <v>38.601101378915473</v>
      </c>
      <c r="BR26" s="68"/>
      <c r="BS26" s="68"/>
      <c r="BT26" s="68">
        <v>144.54400000000001</v>
      </c>
      <c r="BU26" s="68">
        <v>31.499099999999999</v>
      </c>
      <c r="BV26" s="68">
        <v>-266.2885</v>
      </c>
      <c r="BW26" s="75"/>
      <c r="BY26" s="68"/>
      <c r="BZ26" s="68"/>
      <c r="CA26" s="68"/>
      <c r="CC26" s="68"/>
    </row>
    <row r="27" spans="1:81" ht="13" x14ac:dyDescent="0.3">
      <c r="A27">
        <f t="shared" si="51"/>
        <v>100</v>
      </c>
      <c r="B27">
        <f t="shared" si="33"/>
        <v>0.1</v>
      </c>
      <c r="C27">
        <f t="shared" si="0"/>
        <v>1.0000000004934801</v>
      </c>
      <c r="D27">
        <f t="shared" si="1"/>
        <v>3.1415926489664573E-5</v>
      </c>
      <c r="F27">
        <f t="shared" si="2"/>
        <v>0.99120535540663279</v>
      </c>
      <c r="G27">
        <f t="shared" si="3"/>
        <v>-3.5815341301234571E-3</v>
      </c>
      <c r="H27">
        <f t="shared" si="4"/>
        <v>-3.5815341301234571E-3</v>
      </c>
      <c r="J27">
        <f t="shared" si="5"/>
        <v>15</v>
      </c>
      <c r="M27">
        <f t="shared" si="6"/>
        <v>10.983778003709896</v>
      </c>
      <c r="N27">
        <f t="shared" si="7"/>
        <v>-1.5707963250000001</v>
      </c>
      <c r="O27">
        <f t="shared" si="8"/>
        <v>1.0005927737303262</v>
      </c>
      <c r="P27">
        <f t="shared" si="9"/>
        <v>3.4423278783994891E-2</v>
      </c>
      <c r="Q27">
        <f t="shared" si="10"/>
        <v>1.0000874702434275</v>
      </c>
      <c r="R27">
        <f t="shared" si="11"/>
        <v>1.3226024953383415E-2</v>
      </c>
      <c r="S27">
        <f t="shared" si="12"/>
        <v>0.99999999948456786</v>
      </c>
      <c r="T27">
        <f t="shared" si="13"/>
        <v>-3.2107076871967324E-5</v>
      </c>
      <c r="U27">
        <f t="shared" si="14"/>
        <v>0.99999987545698166</v>
      </c>
      <c r="V27">
        <f t="shared" si="15"/>
        <v>-4.9908520482595776E-4</v>
      </c>
      <c r="X27">
        <f t="shared" si="34"/>
        <v>44.26603879461144</v>
      </c>
      <c r="Y27">
        <f t="shared" si="16"/>
        <v>-87.503737861950881</v>
      </c>
      <c r="Z27">
        <f t="shared" si="35"/>
        <v>92.496262138049119</v>
      </c>
      <c r="AC27">
        <v>1</v>
      </c>
      <c r="AD27">
        <f t="shared" si="17"/>
        <v>3.4436881992240001E-2</v>
      </c>
      <c r="AE27">
        <f t="shared" si="18"/>
        <v>-2.1637331071147708E-9</v>
      </c>
      <c r="AF27">
        <f t="shared" si="19"/>
        <v>4.3353978570000002E-6</v>
      </c>
      <c r="AG27">
        <f t="shared" si="36"/>
        <v>7828.0677833865739</v>
      </c>
      <c r="AH27">
        <f t="shared" si="37"/>
        <v>-230663.24495104523</v>
      </c>
      <c r="AJ27">
        <f t="shared" si="20"/>
        <v>21000</v>
      </c>
      <c r="AK27">
        <f t="shared" si="21"/>
        <v>0.67424861454300011</v>
      </c>
      <c r="AL27">
        <v>1</v>
      </c>
      <c r="AM27">
        <f t="shared" si="22"/>
        <v>1.3226796206882999E-2</v>
      </c>
      <c r="AN27">
        <f t="shared" si="38"/>
        <v>20996.335648324653</v>
      </c>
      <c r="AO27">
        <f t="shared" si="39"/>
        <v>-277.04000409715985</v>
      </c>
      <c r="AQ27">
        <f t="shared" si="23"/>
        <v>9615.3846153846152</v>
      </c>
      <c r="AR27">
        <f t="shared" si="24"/>
        <v>-1923.0769230769231</v>
      </c>
      <c r="AT27">
        <f t="shared" si="52"/>
        <v>-368313280.83483148</v>
      </c>
      <c r="AU27">
        <f t="shared" si="53"/>
        <v>-2232969793.3434858</v>
      </c>
      <c r="AV27">
        <f t="shared" si="42"/>
        <v>-1.7342676930656082</v>
      </c>
      <c r="AW27">
        <f t="shared" si="25"/>
        <v>201450869.79869011</v>
      </c>
      <c r="AX27">
        <f t="shared" si="26"/>
        <v>-46502522.766437322</v>
      </c>
      <c r="AY27">
        <f t="shared" si="50"/>
        <v>-0.22686417164745853</v>
      </c>
      <c r="BA27">
        <f t="shared" si="27"/>
        <v>10.946350151096469</v>
      </c>
      <c r="BB27">
        <f t="shared" si="43"/>
        <v>20.785386724214547</v>
      </c>
      <c r="BC27">
        <f t="shared" si="44"/>
        <v>-1.5074035214181496</v>
      </c>
      <c r="BD27">
        <f t="shared" si="28"/>
        <v>-266.36785989910783</v>
      </c>
      <c r="BF27">
        <f t="shared" si="29"/>
        <v>44.230484706297986</v>
      </c>
      <c r="BG27">
        <f t="shared" si="30"/>
        <v>-86.57126668918103</v>
      </c>
      <c r="BH27">
        <f t="shared" si="45"/>
        <v>93.42873331081897</v>
      </c>
      <c r="BI27">
        <f t="shared" si="46"/>
        <v>93.42873331081897</v>
      </c>
      <c r="BJ27">
        <f t="shared" si="31"/>
        <v>0</v>
      </c>
      <c r="BK27">
        <f t="shared" si="47"/>
        <v>0</v>
      </c>
      <c r="BM27">
        <f t="shared" si="48"/>
        <v>23.445097982083443</v>
      </c>
      <c r="BN27">
        <f t="shared" si="32"/>
        <v>-0.20340679007320783</v>
      </c>
      <c r="BQ27" s="66">
        <f t="shared" si="49"/>
        <v>37.687347524499685</v>
      </c>
      <c r="BR27" s="68"/>
      <c r="BS27" s="68"/>
      <c r="BT27" s="68">
        <v>147.911</v>
      </c>
      <c r="BU27" s="68">
        <v>31.4819</v>
      </c>
      <c r="BV27" s="68">
        <v>-266.34629999999999</v>
      </c>
      <c r="BW27" s="75"/>
      <c r="BY27" s="68"/>
      <c r="BZ27" s="68"/>
      <c r="CA27" s="68"/>
      <c r="CC27" s="68"/>
    </row>
    <row r="28" spans="1:81" ht="13" x14ac:dyDescent="0.3">
      <c r="A28">
        <f t="shared" si="51"/>
        <v>200</v>
      </c>
      <c r="B28">
        <f t="shared" si="33"/>
        <v>0.2</v>
      </c>
      <c r="C28">
        <f t="shared" si="0"/>
        <v>1.0000000019739208</v>
      </c>
      <c r="D28">
        <f t="shared" si="1"/>
        <v>6.2831852917316603E-5</v>
      </c>
      <c r="F28">
        <f t="shared" si="2"/>
        <v>0.99158234186460736</v>
      </c>
      <c r="G28">
        <f t="shared" si="3"/>
        <v>-7.1658386064261791E-3</v>
      </c>
      <c r="H28">
        <f t="shared" si="4"/>
        <v>-7.1658386064261791E-3</v>
      </c>
      <c r="J28">
        <f t="shared" si="5"/>
        <v>15</v>
      </c>
      <c r="M28">
        <f t="shared" si="6"/>
        <v>5.4918890018549478</v>
      </c>
      <c r="N28">
        <f t="shared" si="7"/>
        <v>-1.5707963250000001</v>
      </c>
      <c r="O28">
        <f t="shared" si="8"/>
        <v>1.0023689916220422</v>
      </c>
      <c r="P28">
        <f t="shared" si="9"/>
        <v>6.8765169804225937E-2</v>
      </c>
      <c r="Q28">
        <f t="shared" si="10"/>
        <v>1.0003498350835041</v>
      </c>
      <c r="R28">
        <f t="shared" si="11"/>
        <v>2.6447424327742663E-2</v>
      </c>
      <c r="S28">
        <f t="shared" si="12"/>
        <v>0.99999999793827121</v>
      </c>
      <c r="T28">
        <f t="shared" si="13"/>
        <v>-6.4214153677738563E-5</v>
      </c>
      <c r="U28">
        <f t="shared" si="14"/>
        <v>0.99999950182820607</v>
      </c>
      <c r="V28">
        <f t="shared" si="15"/>
        <v>-9.9817016102172313E-4</v>
      </c>
      <c r="X28">
        <f t="shared" si="34"/>
        <v>38.266422120605583</v>
      </c>
      <c r="Y28">
        <f t="shared" si="16"/>
        <v>-85.012562640329307</v>
      </c>
      <c r="Z28">
        <f t="shared" si="35"/>
        <v>94.987437359670693</v>
      </c>
      <c r="AC28">
        <v>1</v>
      </c>
      <c r="AD28">
        <f t="shared" si="17"/>
        <v>6.8873763984480002E-2</v>
      </c>
      <c r="AE28">
        <f t="shared" si="18"/>
        <v>-8.6549324284590832E-9</v>
      </c>
      <c r="AF28">
        <f t="shared" si="19"/>
        <v>8.6707957140000004E-6</v>
      </c>
      <c r="AG28">
        <f t="shared" si="36"/>
        <v>7828.0619338041779</v>
      </c>
      <c r="AH28">
        <f t="shared" si="37"/>
        <v>-115337.48277938992</v>
      </c>
      <c r="AJ28">
        <f t="shared" si="20"/>
        <v>21000</v>
      </c>
      <c r="AK28">
        <f t="shared" si="21"/>
        <v>1.3484972290860002</v>
      </c>
      <c r="AL28">
        <v>1</v>
      </c>
      <c r="AM28">
        <f t="shared" si="22"/>
        <v>2.6453592413765999E-2</v>
      </c>
      <c r="AN28">
        <f t="shared" si="38"/>
        <v>20985.350280776998</v>
      </c>
      <c r="AO28">
        <f t="shared" si="39"/>
        <v>-553.78940575869854</v>
      </c>
      <c r="AQ28">
        <f t="shared" si="23"/>
        <v>8620.689655172413</v>
      </c>
      <c r="AR28">
        <f t="shared" si="24"/>
        <v>-3448.2758620689651</v>
      </c>
      <c r="AT28">
        <f t="shared" si="52"/>
        <v>-330232165.32717061</v>
      </c>
      <c r="AU28">
        <f t="shared" si="53"/>
        <v>-1021281961.6630309</v>
      </c>
      <c r="AV28">
        <f t="shared" si="42"/>
        <v>-1.8835357042640573</v>
      </c>
      <c r="AW28">
        <f t="shared" si="25"/>
        <v>179094321.47776473</v>
      </c>
      <c r="AX28">
        <f t="shared" si="26"/>
        <v>-78869703.086748838</v>
      </c>
      <c r="AY28">
        <f t="shared" si="50"/>
        <v>-0.41482587642832097</v>
      </c>
      <c r="BA28">
        <f t="shared" si="27"/>
        <v>5.4848815450046962</v>
      </c>
      <c r="BB28">
        <f t="shared" si="43"/>
        <v>14.7833450542353</v>
      </c>
      <c r="BC28">
        <f t="shared" si="44"/>
        <v>-1.4687098278357362</v>
      </c>
      <c r="BD28">
        <f t="shared" si="28"/>
        <v>-264.15087456052981</v>
      </c>
      <c r="BF28">
        <f t="shared" si="29"/>
        <v>38.231745937139898</v>
      </c>
      <c r="BG28">
        <f t="shared" si="30"/>
        <v>-84.557846869823848</v>
      </c>
      <c r="BH28">
        <f t="shared" si="45"/>
        <v>95.442153130176152</v>
      </c>
      <c r="BI28">
        <f t="shared" si="46"/>
        <v>95.442153130176152</v>
      </c>
      <c r="BJ28">
        <f t="shared" si="31"/>
        <v>0</v>
      </c>
      <c r="BK28">
        <f t="shared" si="47"/>
        <v>0</v>
      </c>
      <c r="BM28">
        <f t="shared" si="48"/>
        <v>23.4484008829046</v>
      </c>
      <c r="BN28">
        <f t="shared" si="32"/>
        <v>-0.40697230929401207</v>
      </c>
      <c r="BQ28" s="66">
        <f t="shared" si="49"/>
        <v>31.685305854520436</v>
      </c>
      <c r="BR28" s="68"/>
      <c r="BS28" s="68"/>
      <c r="BT28" s="68">
        <v>151.35599999999999</v>
      </c>
      <c r="BU28" s="68">
        <v>31.0519</v>
      </c>
      <c r="BV28" s="68">
        <v>-267.0283</v>
      </c>
      <c r="BW28" s="75"/>
      <c r="BY28" s="68"/>
      <c r="BZ28" s="68"/>
      <c r="CA28" s="68"/>
      <c r="CC28" s="68"/>
    </row>
    <row r="29" spans="1:81" ht="13" x14ac:dyDescent="0.3">
      <c r="A29">
        <f t="shared" si="51"/>
        <v>300</v>
      </c>
      <c r="B29">
        <f t="shared" si="33"/>
        <v>0.3</v>
      </c>
      <c r="C29">
        <f t="shared" si="0"/>
        <v>1.000000004441322</v>
      </c>
      <c r="D29">
        <f t="shared" si="1"/>
        <v>9.4247779220943528E-5</v>
      </c>
      <c r="F29">
        <f t="shared" si="2"/>
        <v>0.99221125711560998</v>
      </c>
      <c r="G29">
        <f t="shared" si="3"/>
        <v>-1.0755690683399703E-2</v>
      </c>
      <c r="H29">
        <f t="shared" si="4"/>
        <v>-1.0755690683399703E-2</v>
      </c>
      <c r="J29">
        <f t="shared" si="5"/>
        <v>15</v>
      </c>
      <c r="M29">
        <f t="shared" si="6"/>
        <v>3.6612593345699649</v>
      </c>
      <c r="N29">
        <f t="shared" si="7"/>
        <v>-1.5707963250000001</v>
      </c>
      <c r="O29">
        <f t="shared" si="8"/>
        <v>1.0053223809167522</v>
      </c>
      <c r="P29">
        <f t="shared" si="9"/>
        <v>0.10294543397753576</v>
      </c>
      <c r="Q29">
        <f t="shared" si="10"/>
        <v>1.0007869569699066</v>
      </c>
      <c r="R29">
        <f t="shared" si="11"/>
        <v>3.9659582243013906E-2</v>
      </c>
      <c r="S29">
        <f t="shared" si="12"/>
        <v>0.99999999536111028</v>
      </c>
      <c r="T29">
        <f t="shared" si="13"/>
        <v>-9.6321230351117644E-5</v>
      </c>
      <c r="U29">
        <f t="shared" si="14"/>
        <v>0.99999887911451102</v>
      </c>
      <c r="V29">
        <f t="shared" si="15"/>
        <v>-1.4972546199578465E-3</v>
      </c>
      <c r="X29">
        <f t="shared" si="34"/>
        <v>34.779448038073241</v>
      </c>
      <c r="Y29">
        <f t="shared" si="16"/>
        <v>-82.53149527711966</v>
      </c>
      <c r="Z29">
        <f t="shared" si="35"/>
        <v>97.46850472288034</v>
      </c>
      <c r="AC29">
        <v>1</v>
      </c>
      <c r="AD29">
        <f t="shared" si="17"/>
        <v>0.10331064597672</v>
      </c>
      <c r="AE29">
        <f t="shared" si="18"/>
        <v>-1.947359796403294E-8</v>
      </c>
      <c r="AF29">
        <f t="shared" si="19"/>
        <v>1.3006193571000001E-5</v>
      </c>
      <c r="AG29">
        <f t="shared" si="36"/>
        <v>7828.0521845196099</v>
      </c>
      <c r="AH29">
        <f t="shared" si="37"/>
        <v>-76898.16662202611</v>
      </c>
      <c r="AJ29">
        <f t="shared" si="20"/>
        <v>21000</v>
      </c>
      <c r="AK29">
        <f t="shared" si="21"/>
        <v>2.022745843629</v>
      </c>
      <c r="AL29">
        <v>1</v>
      </c>
      <c r="AM29">
        <f t="shared" si="22"/>
        <v>3.9680388620649001E-2</v>
      </c>
      <c r="AN29">
        <f t="shared" si="38"/>
        <v>20967.066919508325</v>
      </c>
      <c r="AO29">
        <f t="shared" si="39"/>
        <v>-829.95861775761512</v>
      </c>
      <c r="AQ29">
        <f t="shared" si="23"/>
        <v>7352.9411764705892</v>
      </c>
      <c r="AR29">
        <f t="shared" si="24"/>
        <v>-4411.7647058823532</v>
      </c>
      <c r="AT29">
        <f t="shared" si="52"/>
        <v>-281697410.21100044</v>
      </c>
      <c r="AU29">
        <f t="shared" si="53"/>
        <v>-599963220.09366095</v>
      </c>
      <c r="AV29">
        <f t="shared" si="42"/>
        <v>-2.0097676477079025</v>
      </c>
      <c r="AW29">
        <f t="shared" si="25"/>
        <v>150603695.3494882</v>
      </c>
      <c r="AX29">
        <f t="shared" si="26"/>
        <v>-99761348.151824847</v>
      </c>
      <c r="AY29">
        <f t="shared" si="50"/>
        <v>-0.58504967725197199</v>
      </c>
      <c r="BA29">
        <f t="shared" si="27"/>
        <v>3.6690309515315223</v>
      </c>
      <c r="BB29">
        <f t="shared" si="43"/>
        <v>11.291027508613906</v>
      </c>
      <c r="BC29">
        <f t="shared" si="44"/>
        <v>-1.4247179704559305</v>
      </c>
      <c r="BD29">
        <f t="shared" si="28"/>
        <v>-261.63032679684534</v>
      </c>
      <c r="BF29">
        <f t="shared" si="29"/>
        <v>34.744935728476982</v>
      </c>
      <c r="BG29">
        <f t="shared" si="30"/>
        <v>-82.241182479472513</v>
      </c>
      <c r="BH29">
        <f t="shared" si="45"/>
        <v>97.758817520527487</v>
      </c>
      <c r="BI29">
        <f t="shared" si="46"/>
        <v>97.758817520527487</v>
      </c>
      <c r="BJ29">
        <f t="shared" si="31"/>
        <v>0</v>
      </c>
      <c r="BK29">
        <f t="shared" si="47"/>
        <v>0</v>
      </c>
      <c r="BM29">
        <f t="shared" si="48"/>
        <v>23.45390821986307</v>
      </c>
      <c r="BN29">
        <f t="shared" si="32"/>
        <v>-0.61085568262714673</v>
      </c>
      <c r="BQ29" s="66">
        <f t="shared" si="49"/>
        <v>28.192988308899043</v>
      </c>
      <c r="BR29" s="68"/>
      <c r="BS29" s="68"/>
      <c r="BT29" s="68">
        <v>154.88200000000001</v>
      </c>
      <c r="BU29" s="68">
        <v>31.248699999999999</v>
      </c>
      <c r="BV29" s="68">
        <v>-260.69729999999998</v>
      </c>
      <c r="BW29" s="75"/>
      <c r="BY29" s="68"/>
      <c r="BZ29" s="68"/>
      <c r="CA29" s="68"/>
      <c r="CC29" s="68"/>
    </row>
    <row r="30" spans="1:81" ht="13" x14ac:dyDescent="0.3">
      <c r="A30">
        <f t="shared" si="51"/>
        <v>400</v>
      </c>
      <c r="B30">
        <f t="shared" si="33"/>
        <v>0.4</v>
      </c>
      <c r="C30">
        <f t="shared" si="0"/>
        <v>1.0000000078956834</v>
      </c>
      <c r="D30">
        <f t="shared" si="1"/>
        <v>1.2566370533853279E-4</v>
      </c>
      <c r="F30">
        <f t="shared" si="2"/>
        <v>0.99309301004331763</v>
      </c>
      <c r="G30">
        <f t="shared" si="3"/>
        <v>-1.4353881467051339E-2</v>
      </c>
      <c r="H30">
        <f t="shared" si="4"/>
        <v>-1.4353881467051339E-2</v>
      </c>
      <c r="J30">
        <f t="shared" si="5"/>
        <v>15</v>
      </c>
      <c r="M30">
        <f t="shared" si="6"/>
        <v>2.7459445009274739</v>
      </c>
      <c r="N30">
        <f t="shared" si="7"/>
        <v>-1.5707963250000001</v>
      </c>
      <c r="O30">
        <f t="shared" si="8"/>
        <v>1.0094426092956248</v>
      </c>
      <c r="P30">
        <f t="shared" si="9"/>
        <v>0.13688608935119018</v>
      </c>
      <c r="Q30">
        <f t="shared" si="10"/>
        <v>1.0013986070523437</v>
      </c>
      <c r="R30">
        <f t="shared" si="11"/>
        <v>5.2857902166267963E-2</v>
      </c>
      <c r="S30">
        <f t="shared" si="12"/>
        <v>0.99999999175308518</v>
      </c>
      <c r="T30">
        <f t="shared" si="13"/>
        <v>-1.2842830682590844E-4</v>
      </c>
      <c r="U30">
        <f t="shared" si="14"/>
        <v>0.99999800731729183</v>
      </c>
      <c r="V30">
        <f t="shared" si="15"/>
        <v>-1.9963383330063658E-3</v>
      </c>
      <c r="X30">
        <f t="shared" si="34"/>
        <v>32.329213790862781</v>
      </c>
      <c r="Y30">
        <f t="shared" si="16"/>
        <v>-80.06542707538344</v>
      </c>
      <c r="Z30">
        <f t="shared" si="35"/>
        <v>99.93457292461656</v>
      </c>
      <c r="AC30">
        <v>1</v>
      </c>
      <c r="AD30">
        <f t="shared" si="17"/>
        <v>0.13774752796896</v>
      </c>
      <c r="AE30">
        <f t="shared" si="18"/>
        <v>-3.4619729713836333E-8</v>
      </c>
      <c r="AF30">
        <f t="shared" si="19"/>
        <v>1.7341591428000001E-5</v>
      </c>
      <c r="AG30">
        <f t="shared" si="36"/>
        <v>7828.0385355620101</v>
      </c>
      <c r="AH30">
        <f t="shared" si="37"/>
        <v>-57680.461953638092</v>
      </c>
      <c r="AJ30">
        <f t="shared" si="20"/>
        <v>21000</v>
      </c>
      <c r="AK30">
        <f t="shared" si="21"/>
        <v>2.6969944581720005</v>
      </c>
      <c r="AL30">
        <v>1</v>
      </c>
      <c r="AM30">
        <f t="shared" si="22"/>
        <v>5.2907184827531997E-2</v>
      </c>
      <c r="AN30">
        <f t="shared" si="38"/>
        <v>20941.523800884759</v>
      </c>
      <c r="AO30">
        <f t="shared" si="39"/>
        <v>-1105.2600758453982</v>
      </c>
      <c r="AQ30">
        <f t="shared" si="23"/>
        <v>6097.5609756097556</v>
      </c>
      <c r="AR30">
        <f t="shared" si="24"/>
        <v>-4878.0487804878048</v>
      </c>
      <c r="AT30">
        <f t="shared" si="52"/>
        <v>-233636164.80090529</v>
      </c>
      <c r="AU30">
        <f t="shared" si="53"/>
        <v>-389895687.69565666</v>
      </c>
      <c r="AV30">
        <f t="shared" si="42"/>
        <v>-2.1106475180002655</v>
      </c>
      <c r="AW30">
        <f t="shared" si="25"/>
        <v>122396261.39101677</v>
      </c>
      <c r="AX30">
        <f t="shared" si="26"/>
        <v>-109762996.92374189</v>
      </c>
      <c r="AY30">
        <f t="shared" si="50"/>
        <v>-0.73103540811103829</v>
      </c>
      <c r="BA30">
        <f t="shared" si="27"/>
        <v>2.7647561317368545</v>
      </c>
      <c r="BB30">
        <f t="shared" si="43"/>
        <v>8.8331365984429961</v>
      </c>
      <c r="BC30">
        <f t="shared" si="44"/>
        <v>-1.3796121098892273</v>
      </c>
      <c r="BD30">
        <f t="shared" si="28"/>
        <v>-259.04595135211463</v>
      </c>
      <c r="BF30">
        <f t="shared" si="29"/>
        <v>32.294760349907072</v>
      </c>
      <c r="BG30">
        <f t="shared" si="30"/>
        <v>-79.86116818078537</v>
      </c>
      <c r="BH30">
        <f t="shared" si="45"/>
        <v>100.13883181921463</v>
      </c>
      <c r="BI30">
        <f t="shared" si="46"/>
        <v>100.13883181921463</v>
      </c>
      <c r="BJ30">
        <f t="shared" si="31"/>
        <v>0</v>
      </c>
      <c r="BK30">
        <f t="shared" si="47"/>
        <v>0</v>
      </c>
      <c r="BM30">
        <f t="shared" si="48"/>
        <v>23.461623751464078</v>
      </c>
      <c r="BN30">
        <f t="shared" si="32"/>
        <v>-0.81521682867073963</v>
      </c>
      <c r="BQ30" s="66">
        <f t="shared" si="49"/>
        <v>25.735097398728133</v>
      </c>
      <c r="BR30" s="68"/>
      <c r="BS30" s="68"/>
      <c r="BT30" s="68">
        <v>158.489</v>
      </c>
      <c r="BU30" s="68">
        <v>31.003699999999998</v>
      </c>
      <c r="BV30" s="68">
        <v>-259.86900000000003</v>
      </c>
      <c r="BW30" s="75"/>
      <c r="BY30" s="68"/>
      <c r="BZ30" s="68"/>
      <c r="CA30" s="68"/>
      <c r="CC30" s="68"/>
    </row>
    <row r="31" spans="1:81" ht="13" x14ac:dyDescent="0.3">
      <c r="A31">
        <f t="shared" si="51"/>
        <v>500</v>
      </c>
      <c r="B31">
        <f t="shared" si="33"/>
        <v>0.5</v>
      </c>
      <c r="C31">
        <f t="shared" si="0"/>
        <v>1.0000000123370054</v>
      </c>
      <c r="D31">
        <f t="shared" si="1"/>
        <v>1.5707963120807183E-4</v>
      </c>
      <c r="F31">
        <f t="shared" si="2"/>
        <v>0.99422887740200949</v>
      </c>
      <c r="G31">
        <f t="shared" si="3"/>
        <v>-1.7963222928179964E-2</v>
      </c>
      <c r="H31">
        <f t="shared" si="4"/>
        <v>-1.7963222928179964E-2</v>
      </c>
      <c r="J31">
        <f t="shared" si="5"/>
        <v>15</v>
      </c>
      <c r="M31">
        <f t="shared" si="6"/>
        <v>2.1967556007419788</v>
      </c>
      <c r="N31">
        <f t="shared" si="7"/>
        <v>-1.5707963250000001</v>
      </c>
      <c r="O31">
        <f t="shared" si="8"/>
        <v>1.0147154630898687</v>
      </c>
      <c r="P31">
        <f t="shared" si="9"/>
        <v>0.17051244169596841</v>
      </c>
      <c r="Q31">
        <f t="shared" si="10"/>
        <v>1.0021844657783618</v>
      </c>
      <c r="R31">
        <f t="shared" si="11"/>
        <v>6.6037816458808352E-2</v>
      </c>
      <c r="S31">
        <f t="shared" si="12"/>
        <v>0.99999998711419524</v>
      </c>
      <c r="T31">
        <f t="shared" si="13"/>
        <v>-1.6053538303591495E-4</v>
      </c>
      <c r="U31">
        <f t="shared" si="14"/>
        <v>0.99999688643850337</v>
      </c>
      <c r="V31">
        <f t="shared" si="15"/>
        <v>-2.4954210515415469E-3</v>
      </c>
      <c r="X31">
        <f t="shared" si="34"/>
        <v>30.452999346624278</v>
      </c>
      <c r="Y31">
        <f t="shared" si="16"/>
        <v>-77.619060505447464</v>
      </c>
      <c r="Z31">
        <f t="shared" si="35"/>
        <v>102.38093949455254</v>
      </c>
      <c r="AC31">
        <v>1</v>
      </c>
      <c r="AD31">
        <f t="shared" si="17"/>
        <v>0.17218440996120002</v>
      </c>
      <c r="AE31">
        <f t="shared" si="18"/>
        <v>-5.4093327677869273E-8</v>
      </c>
      <c r="AF31">
        <f t="shared" si="19"/>
        <v>2.1676989285000003E-5</v>
      </c>
      <c r="AG31">
        <f t="shared" si="36"/>
        <v>7828.0209869721793</v>
      </c>
      <c r="AH31">
        <f t="shared" si="37"/>
        <v>-46151.401864491789</v>
      </c>
      <c r="AJ31">
        <f t="shared" si="20"/>
        <v>21000</v>
      </c>
      <c r="AK31">
        <f t="shared" si="21"/>
        <v>3.371243072715</v>
      </c>
      <c r="AL31">
        <v>1</v>
      </c>
      <c r="AM31">
        <f t="shared" si="22"/>
        <v>6.6133981034415007E-2</v>
      </c>
      <c r="AN31">
        <f t="shared" si="38"/>
        <v>20908.774176029561</v>
      </c>
      <c r="AO31">
        <f t="shared" si="39"/>
        <v>-1379.4092317376903</v>
      </c>
      <c r="AQ31">
        <f t="shared" si="23"/>
        <v>5000</v>
      </c>
      <c r="AR31">
        <f t="shared" si="24"/>
        <v>-5000</v>
      </c>
      <c r="AT31">
        <f t="shared" si="52"/>
        <v>-191616904.38759804</v>
      </c>
      <c r="AU31">
        <f t="shared" si="53"/>
        <v>-269897114.25731987</v>
      </c>
      <c r="AV31">
        <f t="shared" si="42"/>
        <v>-2.1881774695479179</v>
      </c>
      <c r="AW31">
        <f t="shared" si="25"/>
        <v>97742236.618803889</v>
      </c>
      <c r="AX31">
        <f t="shared" si="26"/>
        <v>-112138959.37253749</v>
      </c>
      <c r="AY31">
        <f t="shared" si="50"/>
        <v>-0.85388551066861051</v>
      </c>
      <c r="BA31">
        <f t="shared" si="27"/>
        <v>2.225108040638899</v>
      </c>
      <c r="BB31">
        <f t="shared" si="43"/>
        <v>6.9470220619716887</v>
      </c>
      <c r="BC31">
        <f t="shared" si="44"/>
        <v>-1.3342919588793074</v>
      </c>
      <c r="BD31">
        <f t="shared" si="28"/>
        <v>-256.44929796938357</v>
      </c>
      <c r="BF31">
        <f t="shared" si="29"/>
        <v>30.418574811843154</v>
      </c>
      <c r="BG31">
        <f t="shared" si="30"/>
        <v>-77.469514830870963</v>
      </c>
      <c r="BH31">
        <f t="shared" si="45"/>
        <v>102.53048516912904</v>
      </c>
      <c r="BI31">
        <f t="shared" si="46"/>
        <v>102.53048516912904</v>
      </c>
      <c r="BJ31">
        <f t="shared" si="31"/>
        <v>0</v>
      </c>
      <c r="BK31">
        <f t="shared" si="47"/>
        <v>0</v>
      </c>
      <c r="BM31">
        <f t="shared" si="48"/>
        <v>23.471552749871464</v>
      </c>
      <c r="BN31">
        <f t="shared" si="32"/>
        <v>-1.0202168614874179</v>
      </c>
      <c r="BQ31" s="66">
        <f t="shared" si="49"/>
        <v>23.848982862256825</v>
      </c>
      <c r="BR31" s="68"/>
      <c r="BS31" s="68"/>
      <c r="BT31" s="68">
        <v>162.18100000000001</v>
      </c>
      <c r="BU31" s="68">
        <v>30.429300000000001</v>
      </c>
      <c r="BV31" s="68">
        <v>-262.39859999999999</v>
      </c>
      <c r="BW31" s="75"/>
      <c r="BY31" s="68"/>
      <c r="BZ31" s="68"/>
      <c r="CA31" s="68"/>
      <c r="CC31" s="68"/>
    </row>
    <row r="32" spans="1:81" ht="13" x14ac:dyDescent="0.3">
      <c r="A32">
        <f t="shared" si="51"/>
        <v>600</v>
      </c>
      <c r="B32">
        <f t="shared" si="33"/>
        <v>0.6</v>
      </c>
      <c r="C32">
        <f t="shared" si="0"/>
        <v>1.0000000177652877</v>
      </c>
      <c r="D32">
        <f t="shared" si="1"/>
        <v>1.8849555676754817E-4</v>
      </c>
      <c r="F32">
        <f t="shared" si="2"/>
        <v>0.99562050816393688</v>
      </c>
      <c r="G32">
        <f t="shared" si="3"/>
        <v>-2.1586555021488471E-2</v>
      </c>
      <c r="H32">
        <f t="shared" si="4"/>
        <v>-2.1586555021488471E-2</v>
      </c>
      <c r="J32">
        <f t="shared" si="5"/>
        <v>15</v>
      </c>
      <c r="M32">
        <f t="shared" si="6"/>
        <v>1.8306296672849824</v>
      </c>
      <c r="N32">
        <f t="shared" si="7"/>
        <v>-1.5707963250000001</v>
      </c>
      <c r="O32">
        <f t="shared" si="8"/>
        <v>1.0211230867473855</v>
      </c>
      <c r="P32">
        <f t="shared" si="9"/>
        <v>0.2037540045584357</v>
      </c>
      <c r="Q32">
        <f t="shared" si="10"/>
        <v>1.0031441237251719</v>
      </c>
      <c r="R32">
        <f t="shared" si="11"/>
        <v>7.9194795772886226E-2</v>
      </c>
      <c r="S32">
        <f t="shared" si="12"/>
        <v>0.99999998144444147</v>
      </c>
      <c r="T32">
        <f t="shared" si="13"/>
        <v>-1.9264245891494107E-4</v>
      </c>
      <c r="U32">
        <f t="shared" si="14"/>
        <v>0.99999551648065832</v>
      </c>
      <c r="V32">
        <f t="shared" si="15"/>
        <v>-2.9945025269406292E-3</v>
      </c>
      <c r="X32">
        <f t="shared" si="34"/>
        <v>28.944501408312004</v>
      </c>
      <c r="Y32">
        <f t="shared" si="16"/>
        <v>-75.196856359294657</v>
      </c>
      <c r="Z32">
        <f t="shared" si="35"/>
        <v>104.80314364070534</v>
      </c>
      <c r="AC32">
        <v>1</v>
      </c>
      <c r="AD32">
        <f t="shared" si="17"/>
        <v>0.20662129195344001</v>
      </c>
      <c r="AE32">
        <f t="shared" si="18"/>
        <v>-7.789439185613176E-8</v>
      </c>
      <c r="AF32">
        <f t="shared" si="19"/>
        <v>2.6012387142000001E-5</v>
      </c>
      <c r="AG32">
        <f t="shared" si="36"/>
        <v>7827.9995388025636</v>
      </c>
      <c r="AH32">
        <f t="shared" si="37"/>
        <v>-38466.664047450118</v>
      </c>
      <c r="AJ32">
        <f t="shared" si="20"/>
        <v>21000</v>
      </c>
      <c r="AK32">
        <f t="shared" si="21"/>
        <v>4.045491687258</v>
      </c>
      <c r="AL32">
        <v>1</v>
      </c>
      <c r="AM32">
        <f t="shared" si="22"/>
        <v>7.9360777241298003E-2</v>
      </c>
      <c r="AN32">
        <f t="shared" si="38"/>
        <v>20868.886034302865</v>
      </c>
      <c r="AO32">
        <f t="shared" si="39"/>
        <v>-1652.1255241550866</v>
      </c>
      <c r="AQ32">
        <f t="shared" si="23"/>
        <v>4098.3606557377052</v>
      </c>
      <c r="AR32">
        <f t="shared" si="24"/>
        <v>-4918.0327868852464</v>
      </c>
      <c r="AT32">
        <f t="shared" si="52"/>
        <v>-157098349.6644983</v>
      </c>
      <c r="AU32">
        <f t="shared" si="53"/>
        <v>-196148620.87710327</v>
      </c>
      <c r="AV32">
        <f t="shared" si="42"/>
        <v>-2.246094875361595</v>
      </c>
      <c r="AW32">
        <f t="shared" si="25"/>
        <v>77498250.756955981</v>
      </c>
      <c r="AX32">
        <f t="shared" si="26"/>
        <v>-109988783.62256008</v>
      </c>
      <c r="AY32">
        <f t="shared" si="50"/>
        <v>-0.95698884669249495</v>
      </c>
      <c r="BA32">
        <f t="shared" si="27"/>
        <v>1.8677537463239617</v>
      </c>
      <c r="BB32">
        <f t="shared" si="43"/>
        <v>5.4263923237217373</v>
      </c>
      <c r="BC32">
        <f t="shared" si="44"/>
        <v>-1.2891060286691001</v>
      </c>
      <c r="BD32">
        <f t="shared" si="28"/>
        <v>-253.86033487200768</v>
      </c>
      <c r="BF32">
        <f t="shared" si="29"/>
        <v>28.910094334922828</v>
      </c>
      <c r="BG32">
        <f t="shared" si="30"/>
        <v>-75.086353370507069</v>
      </c>
      <c r="BH32">
        <f t="shared" si="45"/>
        <v>104.91364662949293</v>
      </c>
      <c r="BI32">
        <f t="shared" si="46"/>
        <v>104.91364662949293</v>
      </c>
      <c r="BJ32">
        <f t="shared" si="31"/>
        <v>0</v>
      </c>
      <c r="BK32">
        <f t="shared" si="47"/>
        <v>0</v>
      </c>
      <c r="BM32">
        <f t="shared" si="48"/>
        <v>23.483702011201089</v>
      </c>
      <c r="BN32">
        <f t="shared" si="32"/>
        <v>-1.2260184984994047</v>
      </c>
      <c r="BQ32" s="66">
        <f t="shared" si="49"/>
        <v>22.328353124006874</v>
      </c>
      <c r="BR32" s="68"/>
      <c r="BS32" s="68"/>
      <c r="BT32" s="68">
        <v>165.959</v>
      </c>
      <c r="BU32" s="68">
        <v>29.9194</v>
      </c>
      <c r="BV32" s="68">
        <v>-264.8295</v>
      </c>
      <c r="BW32" s="75"/>
      <c r="BY32" s="68"/>
      <c r="BZ32" s="68"/>
      <c r="CA32" s="68"/>
      <c r="CC32" s="68"/>
    </row>
    <row r="33" spans="1:81" ht="13" x14ac:dyDescent="0.3">
      <c r="A33">
        <f t="shared" si="51"/>
        <v>700</v>
      </c>
      <c r="B33">
        <f t="shared" si="33"/>
        <v>0.7</v>
      </c>
      <c r="C33">
        <f t="shared" si="0"/>
        <v>1.0000000241805305</v>
      </c>
      <c r="D33">
        <f t="shared" si="1"/>
        <v>2.1991148195494916E-4</v>
      </c>
      <c r="F33">
        <f t="shared" si="2"/>
        <v>0.99726992915227441</v>
      </c>
      <c r="G33">
        <f t="shared" si="3"/>
        <v>-2.5226752947180828E-2</v>
      </c>
      <c r="H33">
        <f t="shared" si="4"/>
        <v>-2.5226752947180828E-2</v>
      </c>
      <c r="J33">
        <f t="shared" si="5"/>
        <v>15</v>
      </c>
      <c r="M33">
        <f t="shared" si="6"/>
        <v>1.5691111433871279</v>
      </c>
      <c r="N33">
        <f t="shared" si="7"/>
        <v>-1.5707963250000001</v>
      </c>
      <c r="O33">
        <f t="shared" si="8"/>
        <v>1.0286442743854776</v>
      </c>
      <c r="P33">
        <f t="shared" si="9"/>
        <v>0.236545282871261</v>
      </c>
      <c r="Q33">
        <f t="shared" si="10"/>
        <v>1.004277082660469</v>
      </c>
      <c r="R33">
        <f t="shared" si="11"/>
        <v>9.2324358250181787E-2</v>
      </c>
      <c r="S33">
        <f t="shared" si="12"/>
        <v>0.99999997474382352</v>
      </c>
      <c r="T33">
        <f t="shared" si="13"/>
        <v>-2.2474953439679068E-4</v>
      </c>
      <c r="U33">
        <f t="shared" si="14"/>
        <v>0.99999389744682776</v>
      </c>
      <c r="V33">
        <f t="shared" si="15"/>
        <v>-3.4935825105845675E-3</v>
      </c>
      <c r="X33">
        <f t="shared" si="34"/>
        <v>27.693476084020368</v>
      </c>
      <c r="Y33">
        <f t="shared" si="16"/>
        <v>-72.802988742024709</v>
      </c>
      <c r="Z33">
        <f t="shared" si="35"/>
        <v>107.19701125797529</v>
      </c>
      <c r="AC33">
        <v>1</v>
      </c>
      <c r="AD33">
        <f t="shared" si="17"/>
        <v>0.24105817394568002</v>
      </c>
      <c r="AE33">
        <f t="shared" si="18"/>
        <v>-1.060229222486238E-7</v>
      </c>
      <c r="AF33">
        <f t="shared" si="19"/>
        <v>3.0347784999E-5</v>
      </c>
      <c r="AG33">
        <f t="shared" si="36"/>
        <v>7827.9741911172778</v>
      </c>
      <c r="AH33">
        <f t="shared" si="37"/>
        <v>-32978.681796118159</v>
      </c>
      <c r="AJ33">
        <f t="shared" si="20"/>
        <v>21000</v>
      </c>
      <c r="AK33">
        <f t="shared" si="21"/>
        <v>4.719740301801</v>
      </c>
      <c r="AL33">
        <v>1</v>
      </c>
      <c r="AM33">
        <f t="shared" si="22"/>
        <v>9.2587573448180999E-2</v>
      </c>
      <c r="AN33">
        <f t="shared" si="38"/>
        <v>20821.941752388375</v>
      </c>
      <c r="AO33">
        <f t="shared" si="39"/>
        <v>-1923.1333210312046</v>
      </c>
      <c r="AQ33">
        <f t="shared" si="23"/>
        <v>3378.3783783783783</v>
      </c>
      <c r="AR33">
        <f t="shared" si="24"/>
        <v>-4729.72972972973</v>
      </c>
      <c r="AT33">
        <f t="shared" si="52"/>
        <v>-129534392.98462212</v>
      </c>
      <c r="AU33">
        <f t="shared" si="53"/>
        <v>-148438667.78271064</v>
      </c>
      <c r="AV33">
        <f t="shared" si="42"/>
        <v>-2.2882914672462951</v>
      </c>
      <c r="AW33">
        <f t="shared" si="25"/>
        <v>61343527.699218459</v>
      </c>
      <c r="AX33">
        <f t="shared" si="26"/>
        <v>-105481953.73555498</v>
      </c>
      <c r="AY33">
        <f t="shared" si="50"/>
        <v>-1.044049956581925</v>
      </c>
      <c r="BA33">
        <f t="shared" si="27"/>
        <v>1.6145447068874554</v>
      </c>
      <c r="BB33">
        <f t="shared" si="43"/>
        <v>4.1610015034551564</v>
      </c>
      <c r="BC33">
        <f t="shared" si="44"/>
        <v>-1.2442415106643701</v>
      </c>
      <c r="BD33">
        <f t="shared" si="28"/>
        <v>-251.28978733751066</v>
      </c>
      <c r="BF33">
        <f t="shared" si="29"/>
        <v>27.659081372262925</v>
      </c>
      <c r="BG33">
        <f t="shared" si="30"/>
        <v>-72.722573814058052</v>
      </c>
      <c r="BH33">
        <f t="shared" si="45"/>
        <v>107.27742618594195</v>
      </c>
      <c r="BI33">
        <f t="shared" si="46"/>
        <v>107.27742618594195</v>
      </c>
      <c r="BJ33">
        <f t="shared" si="31"/>
        <v>0</v>
      </c>
      <c r="BK33">
        <f t="shared" si="47"/>
        <v>0</v>
      </c>
      <c r="BM33">
        <f t="shared" si="48"/>
        <v>23.498079868807768</v>
      </c>
      <c r="BN33">
        <f t="shared" si="32"/>
        <v>-1.4327864765473837</v>
      </c>
      <c r="BQ33" s="66">
        <f t="shared" si="49"/>
        <v>21.062962303740292</v>
      </c>
      <c r="BR33" s="68"/>
      <c r="BS33" s="68"/>
      <c r="BT33" s="68">
        <v>169.82400000000001</v>
      </c>
      <c r="BU33" s="68">
        <v>29.808900000000001</v>
      </c>
      <c r="BV33" s="68">
        <v>-267.72770000000003</v>
      </c>
      <c r="BW33" s="75"/>
      <c r="BY33" s="68"/>
      <c r="BZ33" s="68"/>
      <c r="CA33" s="68"/>
      <c r="CC33" s="68"/>
    </row>
    <row r="34" spans="1:81" ht="13" x14ac:dyDescent="0.3">
      <c r="A34">
        <f t="shared" si="51"/>
        <v>800</v>
      </c>
      <c r="B34">
        <f t="shared" si="33"/>
        <v>0.8</v>
      </c>
      <c r="C34">
        <f t="shared" si="0"/>
        <v>1.0000000315827335</v>
      </c>
      <c r="D34">
        <f t="shared" si="1"/>
        <v>2.5132740670826237E-4</v>
      </c>
      <c r="F34">
        <f t="shared" si="2"/>
        <v>0.99917955199275743</v>
      </c>
      <c r="G34">
        <f t="shared" si="3"/>
        <v>-2.8886734592886484E-2</v>
      </c>
      <c r="H34">
        <f t="shared" si="4"/>
        <v>-2.8886734592886484E-2</v>
      </c>
      <c r="J34">
        <f t="shared" si="5"/>
        <v>15</v>
      </c>
      <c r="M34">
        <f t="shared" si="6"/>
        <v>1.3729722504637369</v>
      </c>
      <c r="N34">
        <f t="shared" si="7"/>
        <v>-1.5707963250000001</v>
      </c>
      <c r="O34">
        <f t="shared" si="8"/>
        <v>1.0372548027588195</v>
      </c>
      <c r="P34">
        <f t="shared" si="9"/>
        <v>0.26882640219223347</v>
      </c>
      <c r="Q34">
        <f t="shared" si="10"/>
        <v>1.0055827568258611</v>
      </c>
      <c r="R34">
        <f t="shared" si="11"/>
        <v>0.10542207847610761</v>
      </c>
      <c r="S34">
        <f t="shared" si="12"/>
        <v>0.99999996701234117</v>
      </c>
      <c r="T34">
        <f t="shared" si="13"/>
        <v>-2.5685660941526773E-4</v>
      </c>
      <c r="U34">
        <f t="shared" si="14"/>
        <v>0.99999202934064091</v>
      </c>
      <c r="V34">
        <f t="shared" si="15"/>
        <v>-3.9926607538587761E-3</v>
      </c>
      <c r="X34">
        <f t="shared" si="34"/>
        <v>26.633927326098373</v>
      </c>
      <c r="Y34">
        <f t="shared" si="16"/>
        <v>-70.441308932461382</v>
      </c>
      <c r="Z34">
        <f t="shared" si="35"/>
        <v>109.55869106753862</v>
      </c>
      <c r="AC34">
        <v>1</v>
      </c>
      <c r="AD34">
        <f t="shared" si="17"/>
        <v>0.27549505593792001</v>
      </c>
      <c r="AE34">
        <f t="shared" si="18"/>
        <v>-1.3847891885534533E-7</v>
      </c>
      <c r="AF34">
        <f t="shared" si="19"/>
        <v>3.4683182856000002E-5</v>
      </c>
      <c r="AG34">
        <f t="shared" si="36"/>
        <v>7827.9449439920791</v>
      </c>
      <c r="AH34">
        <f t="shared" si="37"/>
        <v>-28863.6717543794</v>
      </c>
      <c r="AJ34">
        <f t="shared" si="20"/>
        <v>21000</v>
      </c>
      <c r="AK34">
        <f t="shared" si="21"/>
        <v>5.3939889163440009</v>
      </c>
      <c r="AL34">
        <v>1</v>
      </c>
      <c r="AM34">
        <f t="shared" si="22"/>
        <v>0.10581436965506399</v>
      </c>
      <c r="AN34">
        <f t="shared" si="38"/>
        <v>20768.037672347898</v>
      </c>
      <c r="AO34">
        <f t="shared" si="39"/>
        <v>-2192.1628263557714</v>
      </c>
      <c r="AQ34">
        <f t="shared" si="23"/>
        <v>2808.9887640449433</v>
      </c>
      <c r="AR34">
        <f t="shared" si="24"/>
        <v>-4494.3820224719093</v>
      </c>
      <c r="AT34">
        <f t="shared" si="52"/>
        <v>-107735758.04217684</v>
      </c>
      <c r="AU34">
        <f t="shared" si="53"/>
        <v>-116259504.676311</v>
      </c>
      <c r="AV34">
        <f t="shared" si="42"/>
        <v>-2.3181595968078561</v>
      </c>
      <c r="AW34">
        <f t="shared" si="25"/>
        <v>48579561.383226968</v>
      </c>
      <c r="AX34">
        <f t="shared" si="26"/>
        <v>-99939379.707571</v>
      </c>
      <c r="AY34">
        <f t="shared" si="50"/>
        <v>-1.1183382843012435</v>
      </c>
      <c r="BA34">
        <f t="shared" si="27"/>
        <v>1.4264032373878064</v>
      </c>
      <c r="BB34">
        <f t="shared" si="43"/>
        <v>3.0848463170036271</v>
      </c>
      <c r="BC34">
        <f t="shared" si="44"/>
        <v>-1.1998213125066126</v>
      </c>
      <c r="BD34">
        <f t="shared" si="28"/>
        <v>-248.74469745502819</v>
      </c>
      <c r="BF34">
        <f t="shared" si="29"/>
        <v>26.599542526608865</v>
      </c>
      <c r="BG34">
        <f t="shared" si="30"/>
        <v>-70.385385433309551</v>
      </c>
      <c r="BH34">
        <f t="shared" si="45"/>
        <v>109.61461456669045</v>
      </c>
      <c r="BI34">
        <f t="shared" si="46"/>
        <v>109.61461456669045</v>
      </c>
      <c r="BJ34">
        <f t="shared" si="31"/>
        <v>0</v>
      </c>
      <c r="BK34">
        <f t="shared" si="47"/>
        <v>0</v>
      </c>
      <c r="BM34">
        <f t="shared" si="48"/>
        <v>23.514696209605233</v>
      </c>
      <c r="BN34">
        <f t="shared" si="32"/>
        <v>-1.6406879782813599</v>
      </c>
      <c r="BQ34" s="66">
        <f t="shared" si="49"/>
        <v>19.986807117288766</v>
      </c>
      <c r="BR34" s="68"/>
      <c r="BS34" s="68"/>
      <c r="BT34" s="68">
        <v>173.78</v>
      </c>
      <c r="BU34" s="68">
        <v>30.070900000000002</v>
      </c>
      <c r="BV34" s="68">
        <v>-269.952</v>
      </c>
      <c r="BW34" s="75"/>
      <c r="BY34" s="68"/>
      <c r="BZ34" s="68"/>
      <c r="CA34" s="68"/>
      <c r="CC34" s="68"/>
    </row>
    <row r="35" spans="1:81" ht="13" x14ac:dyDescent="0.3">
      <c r="A35">
        <f t="shared" si="51"/>
        <v>900</v>
      </c>
      <c r="B35">
        <f t="shared" si="33"/>
        <v>0.9</v>
      </c>
      <c r="C35">
        <f t="shared" si="0"/>
        <v>1.0000000399718969</v>
      </c>
      <c r="D35">
        <f t="shared" si="1"/>
        <v>2.8274333096547515E-4</v>
      </c>
      <c r="F35">
        <f t="shared" si="2"/>
        <v>1.0013521814250155</v>
      </c>
      <c r="G35">
        <f t="shared" si="3"/>
        <v>-3.2569468195275446E-2</v>
      </c>
      <c r="H35">
        <f t="shared" si="4"/>
        <v>-3.2569468195275446E-2</v>
      </c>
      <c r="J35">
        <f t="shared" si="5"/>
        <v>15</v>
      </c>
      <c r="M35">
        <f t="shared" si="6"/>
        <v>1.2204197781899884</v>
      </c>
      <c r="N35">
        <f t="shared" si="7"/>
        <v>-1.5707963250000001</v>
      </c>
      <c r="O35">
        <f t="shared" si="8"/>
        <v>1.046927794143008</v>
      </c>
      <c r="P35">
        <f t="shared" si="9"/>
        <v>0.30054357408406118</v>
      </c>
      <c r="Q35">
        <f t="shared" si="10"/>
        <v>1.0070604744352603</v>
      </c>
      <c r="R35">
        <f t="shared" si="11"/>
        <v>0.1184835961463165</v>
      </c>
      <c r="S35">
        <f t="shared" si="12"/>
        <v>0.99999995824999499</v>
      </c>
      <c r="T35">
        <f t="shared" si="13"/>
        <v>-2.8896368390417623E-4</v>
      </c>
      <c r="U35">
        <f t="shared" si="14"/>
        <v>0.99998991216628552</v>
      </c>
      <c r="V35">
        <f t="shared" si="15"/>
        <v>-4.4917370081538682E-3</v>
      </c>
      <c r="X35">
        <f t="shared" si="34"/>
        <v>25.72310486612534</v>
      </c>
      <c r="Y35">
        <f t="shared" si="16"/>
        <v>-68.115318661277826</v>
      </c>
      <c r="Z35">
        <f t="shared" si="35"/>
        <v>111.88468133872217</v>
      </c>
      <c r="AC35">
        <v>1</v>
      </c>
      <c r="AD35">
        <f t="shared" si="17"/>
        <v>0.30993193793016005</v>
      </c>
      <c r="AE35">
        <f t="shared" si="18"/>
        <v>-1.7526238167629647E-7</v>
      </c>
      <c r="AF35">
        <f t="shared" si="19"/>
        <v>3.9018580713000003E-5</v>
      </c>
      <c r="AG35">
        <f t="shared" si="36"/>
        <v>7827.911797514389</v>
      </c>
      <c r="AH35">
        <f t="shared" si="37"/>
        <v>-25663.976499574532</v>
      </c>
      <c r="AJ35">
        <f t="shared" si="20"/>
        <v>21000</v>
      </c>
      <c r="AK35">
        <f t="shared" si="21"/>
        <v>6.0682375308870009</v>
      </c>
      <c r="AL35">
        <v>1</v>
      </c>
      <c r="AM35">
        <f t="shared" si="22"/>
        <v>0.119041165861947</v>
      </c>
      <c r="AN35">
        <f t="shared" si="38"/>
        <v>20707.283612644125</v>
      </c>
      <c r="AO35">
        <f t="shared" si="39"/>
        <v>-2458.9509455522593</v>
      </c>
      <c r="AQ35">
        <f t="shared" si="23"/>
        <v>2358.4905660377358</v>
      </c>
      <c r="AR35">
        <f t="shared" si="24"/>
        <v>-4245.2830188679245</v>
      </c>
      <c r="AT35">
        <f t="shared" si="52"/>
        <v>-90488787.504056066</v>
      </c>
      <c r="AU35">
        <f t="shared" si="53"/>
        <v>-93759947.488444418</v>
      </c>
      <c r="AV35">
        <f t="shared" si="42"/>
        <v>-2.3384423121215487</v>
      </c>
      <c r="AW35">
        <f t="shared" si="25"/>
        <v>38493517.770987317</v>
      </c>
      <c r="AX35">
        <f t="shared" si="26"/>
        <v>-94102934.816600606</v>
      </c>
      <c r="AY35">
        <f t="shared" si="50"/>
        <v>-1.1825061691429133</v>
      </c>
      <c r="BA35">
        <f t="shared" si="27"/>
        <v>1.2816171641872427</v>
      </c>
      <c r="BB35">
        <f t="shared" si="43"/>
        <v>2.1551663022359784</v>
      </c>
      <c r="BC35">
        <f t="shared" si="44"/>
        <v>-1.1559361429786355</v>
      </c>
      <c r="BD35">
        <f t="shared" si="28"/>
        <v>-246.23026245498579</v>
      </c>
      <c r="BF35">
        <f t="shared" si="29"/>
        <v>25.688728795703376</v>
      </c>
      <c r="BG35">
        <f t="shared" si="30"/>
        <v>-68.08015552612467</v>
      </c>
      <c r="BH35">
        <f t="shared" si="45"/>
        <v>111.91984447387533</v>
      </c>
      <c r="BI35">
        <f t="shared" si="46"/>
        <v>111.91984447387533</v>
      </c>
      <c r="BJ35">
        <f t="shared" si="31"/>
        <v>0</v>
      </c>
      <c r="BK35">
        <f t="shared" si="47"/>
        <v>0</v>
      </c>
      <c r="BM35">
        <f t="shared" si="48"/>
        <v>23.5335624934674</v>
      </c>
      <c r="BN35">
        <f t="shared" si="32"/>
        <v>-1.8498930711388681</v>
      </c>
      <c r="BQ35" s="66">
        <f t="shared" si="49"/>
        <v>19.057127102521115</v>
      </c>
      <c r="BR35" s="68"/>
      <c r="BS35" s="68"/>
      <c r="BT35" s="68">
        <v>177.828</v>
      </c>
      <c r="BU35" s="68">
        <v>29.720099999999999</v>
      </c>
      <c r="BV35" s="68">
        <v>-271.56010000000003</v>
      </c>
      <c r="BW35" s="75"/>
      <c r="BY35" s="68"/>
      <c r="BZ35" s="68"/>
      <c r="CA35" s="68"/>
      <c r="CC35" s="68"/>
    </row>
    <row r="36" spans="1:81" ht="13" x14ac:dyDescent="0.3">
      <c r="A36">
        <f t="shared" si="51"/>
        <v>1000</v>
      </c>
      <c r="B36">
        <f t="shared" si="33"/>
        <v>1</v>
      </c>
      <c r="C36">
        <f t="shared" si="0"/>
        <v>1.0000000493480208</v>
      </c>
      <c r="D36">
        <f t="shared" si="1"/>
        <v>3.1415925466457513E-4</v>
      </c>
      <c r="F36">
        <f t="shared" si="2"/>
        <v>1.0037910250228648</v>
      </c>
      <c r="G36">
        <f t="shared" si="3"/>
        <v>-3.6277980262592061E-2</v>
      </c>
      <c r="H36">
        <f t="shared" si="4"/>
        <v>-3.6277980262592061E-2</v>
      </c>
      <c r="J36">
        <f t="shared" si="5"/>
        <v>15</v>
      </c>
      <c r="M36">
        <f t="shared" si="6"/>
        <v>1.0983778003709894</v>
      </c>
      <c r="N36">
        <f t="shared" si="7"/>
        <v>-1.5707963250000001</v>
      </c>
      <c r="O36">
        <f t="shared" si="8"/>
        <v>1.0576340974716854</v>
      </c>
      <c r="P36">
        <f t="shared" si="9"/>
        <v>0.3316493963628469</v>
      </c>
      <c r="Q36">
        <f t="shared" si="10"/>
        <v>1.0087094793793907</v>
      </c>
      <c r="R36">
        <f t="shared" si="11"/>
        <v>0.13150462440450816</v>
      </c>
      <c r="S36">
        <f t="shared" si="12"/>
        <v>0.99999994845678475</v>
      </c>
      <c r="T36">
        <f t="shared" si="13"/>
        <v>-3.2107075779732003E-4</v>
      </c>
      <c r="U36">
        <f t="shared" si="14"/>
        <v>0.9999875459285078</v>
      </c>
      <c r="V36">
        <f t="shared" si="15"/>
        <v>-4.9908110248664062E-3</v>
      </c>
      <c r="X36">
        <f t="shared" si="34"/>
        <v>24.931649003992533</v>
      </c>
      <c r="Y36">
        <f t="shared" si="16"/>
        <v>-65.828152884232949</v>
      </c>
      <c r="Z36">
        <f t="shared" si="35"/>
        <v>114.17184711576705</v>
      </c>
      <c r="AC36">
        <v>1</v>
      </c>
      <c r="AD36">
        <f t="shared" si="17"/>
        <v>0.34436881992240004</v>
      </c>
      <c r="AE36">
        <f t="shared" si="18"/>
        <v>-2.1637331071147709E-7</v>
      </c>
      <c r="AF36">
        <f t="shared" si="19"/>
        <v>4.3353978570000005E-5</v>
      </c>
      <c r="AG36">
        <f t="shared" si="36"/>
        <v>7827.8747517832753</v>
      </c>
      <c r="AH36">
        <f t="shared" si="37"/>
        <v>-23105.001575772985</v>
      </c>
      <c r="AJ36">
        <f t="shared" si="20"/>
        <v>21000</v>
      </c>
      <c r="AK36">
        <f t="shared" si="21"/>
        <v>6.74248614543</v>
      </c>
      <c r="AL36">
        <v>1</v>
      </c>
      <c r="AM36">
        <f t="shared" si="22"/>
        <v>0.13226796206883001</v>
      </c>
      <c r="AN36">
        <f t="shared" si="38"/>
        <v>20639.802316711724</v>
      </c>
      <c r="AO36">
        <f t="shared" si="39"/>
        <v>-2723.2421037895465</v>
      </c>
      <c r="AQ36">
        <f t="shared" si="23"/>
        <v>2000</v>
      </c>
      <c r="AR36">
        <f t="shared" si="24"/>
        <v>-4000</v>
      </c>
      <c r="AT36">
        <f t="shared" si="52"/>
        <v>-76764256.799525395</v>
      </c>
      <c r="AU36">
        <f t="shared" si="53"/>
        <v>-77521502.158679068</v>
      </c>
      <c r="AV36">
        <f t="shared" si="42"/>
        <v>-2.3512864592510065</v>
      </c>
      <c r="AW36">
        <f t="shared" si="25"/>
        <v>30480867.41155877</v>
      </c>
      <c r="AX36">
        <f t="shared" si="26"/>
        <v>-88363654.960211232</v>
      </c>
      <c r="AY36">
        <f t="shared" si="50"/>
        <v>-1.23862923205983</v>
      </c>
      <c r="BA36">
        <f t="shared" si="27"/>
        <v>1.1671575092119948</v>
      </c>
      <c r="BB36">
        <f t="shared" si="43"/>
        <v>1.3425893705341254</v>
      </c>
      <c r="BC36">
        <f t="shared" si="44"/>
        <v>-1.1126572271911765</v>
      </c>
      <c r="BD36">
        <f t="shared" si="28"/>
        <v>-243.75056323562885</v>
      </c>
      <c r="BF36">
        <f t="shared" si="29"/>
        <v>24.897281146301971</v>
      </c>
      <c r="BG36">
        <f t="shared" si="30"/>
        <v>-65.811138396901541</v>
      </c>
      <c r="BH36">
        <f t="shared" si="45"/>
        <v>114.18886160309846</v>
      </c>
      <c r="BI36">
        <f t="shared" si="46"/>
        <v>114.18886160309846</v>
      </c>
      <c r="BJ36">
        <f t="shared" si="31"/>
        <v>0</v>
      </c>
      <c r="BK36">
        <f t="shared" si="47"/>
        <v>0</v>
      </c>
      <c r="BM36">
        <f t="shared" si="48"/>
        <v>23.554691775767846</v>
      </c>
      <c r="BN36">
        <f t="shared" si="32"/>
        <v>-2.0605751612727219</v>
      </c>
      <c r="BQ36" s="66">
        <f t="shared" si="49"/>
        <v>18.244550170819263</v>
      </c>
      <c r="BR36" s="68"/>
      <c r="BS36" s="68"/>
      <c r="BT36" s="68">
        <v>181.97</v>
      </c>
      <c r="BU36" s="68">
        <v>30.042100000000001</v>
      </c>
      <c r="BV36" s="68">
        <v>-268.84590000000003</v>
      </c>
      <c r="BW36" s="75"/>
      <c r="BY36" s="68"/>
      <c r="BZ36" s="68"/>
      <c r="CA36" s="68"/>
      <c r="CC36" s="68"/>
    </row>
    <row r="37" spans="1:81" ht="13" x14ac:dyDescent="0.3">
      <c r="A37">
        <f>A36+500</f>
        <v>1500</v>
      </c>
      <c r="B37">
        <f t="shared" si="33"/>
        <v>1.5</v>
      </c>
      <c r="C37">
        <f t="shared" si="0"/>
        <v>1.0000001110330432</v>
      </c>
      <c r="D37">
        <f t="shared" si="1"/>
        <v>4.7123886261794356E-4</v>
      </c>
      <c r="F37">
        <f t="shared" si="2"/>
        <v>1.0201204602665288</v>
      </c>
      <c r="G37">
        <f t="shared" si="3"/>
        <v>-5.5318292203399143E-2</v>
      </c>
      <c r="H37">
        <f t="shared" si="4"/>
        <v>-5.5318292203399143E-2</v>
      </c>
      <c r="J37">
        <f t="shared" si="5"/>
        <v>15</v>
      </c>
      <c r="M37">
        <f t="shared" si="6"/>
        <v>0.73225186691399302</v>
      </c>
      <c r="N37">
        <f t="shared" si="7"/>
        <v>-1.5707963250000001</v>
      </c>
      <c r="O37">
        <f t="shared" si="8"/>
        <v>1.1255342017474099</v>
      </c>
      <c r="P37">
        <f t="shared" si="9"/>
        <v>0.4768023278036233</v>
      </c>
      <c r="Q37">
        <f t="shared" si="10"/>
        <v>1.019491702284596</v>
      </c>
      <c r="R37">
        <f t="shared" si="11"/>
        <v>0.1958584955215158</v>
      </c>
      <c r="S37">
        <f t="shared" si="12"/>
        <v>0.99999988402777673</v>
      </c>
      <c r="T37">
        <f t="shared" si="13"/>
        <v>-4.8160611600970795E-4</v>
      </c>
      <c r="U37">
        <f t="shared" si="14"/>
        <v>0.99997197899346735</v>
      </c>
      <c r="V37">
        <f t="shared" si="15"/>
        <v>-7.4861388440801355E-3</v>
      </c>
      <c r="X37">
        <f t="shared" si="34"/>
        <v>22.182668500578451</v>
      </c>
      <c r="Y37">
        <f t="shared" si="16"/>
        <v>-55.058396573353242</v>
      </c>
      <c r="Z37">
        <f t="shared" si="35"/>
        <v>124.94160342664676</v>
      </c>
      <c r="AC37">
        <v>1</v>
      </c>
      <c r="AD37">
        <f t="shared" si="17"/>
        <v>0.51655322988360008</v>
      </c>
      <c r="AE37">
        <f t="shared" si="18"/>
        <v>-4.8683994910082361E-7</v>
      </c>
      <c r="AF37">
        <f t="shared" si="19"/>
        <v>6.5030967854999994E-5</v>
      </c>
      <c r="AG37">
        <f t="shared" si="36"/>
        <v>7827.6310386094719</v>
      </c>
      <c r="AH37">
        <f t="shared" si="37"/>
        <v>-15435.889032662417</v>
      </c>
      <c r="AJ37">
        <f t="shared" si="20"/>
        <v>21000</v>
      </c>
      <c r="AK37">
        <f t="shared" si="21"/>
        <v>10.113729218145</v>
      </c>
      <c r="AL37">
        <v>1</v>
      </c>
      <c r="AM37">
        <f t="shared" si="22"/>
        <v>0.19840194310324499</v>
      </c>
      <c r="AN37">
        <f t="shared" si="38"/>
        <v>20206.607214797368</v>
      </c>
      <c r="AO37">
        <f t="shared" si="39"/>
        <v>-3998.9164057217022</v>
      </c>
      <c r="AQ37">
        <f t="shared" si="23"/>
        <v>1000</v>
      </c>
      <c r="AR37">
        <f t="shared" si="24"/>
        <v>-3000</v>
      </c>
      <c r="AT37">
        <f t="shared" si="52"/>
        <v>-38480036.059377775</v>
      </c>
      <c r="AU37">
        <f t="shared" si="53"/>
        <v>-38918782.148490831</v>
      </c>
      <c r="AV37">
        <f t="shared" si="42"/>
        <v>-2.3505259102336078</v>
      </c>
      <c r="AW37">
        <f t="shared" si="25"/>
        <v>8302187.593172282</v>
      </c>
      <c r="AX37">
        <f t="shared" si="26"/>
        <v>-64866978.848133817</v>
      </c>
      <c r="AY37">
        <f t="shared" si="50"/>
        <v>-1.4435005021613283</v>
      </c>
      <c r="BA37">
        <f t="shared" si="27"/>
        <v>0.83690158537524129</v>
      </c>
      <c r="BB37">
        <f t="shared" si="43"/>
        <v>-1.5465121887945772</v>
      </c>
      <c r="BC37">
        <f t="shared" si="44"/>
        <v>-0.90702540807227949</v>
      </c>
      <c r="BD37">
        <f t="shared" si="28"/>
        <v>-231.96872785305578</v>
      </c>
      <c r="BF37">
        <f t="shared" si="29"/>
        <v>22.14834312021566</v>
      </c>
      <c r="BG37">
        <f t="shared" si="30"/>
        <v>-55.111232531802273</v>
      </c>
      <c r="BH37">
        <f t="shared" si="45"/>
        <v>124.88876746819773</v>
      </c>
      <c r="BI37">
        <f t="shared" si="46"/>
        <v>124.88876746819773</v>
      </c>
      <c r="BJ37">
        <f t="shared" si="31"/>
        <v>0</v>
      </c>
      <c r="BK37">
        <f t="shared" si="47"/>
        <v>0</v>
      </c>
      <c r="BM37">
        <f t="shared" si="48"/>
        <v>23.69485530901024</v>
      </c>
      <c r="BN37">
        <f t="shared" si="32"/>
        <v>-3.1425046787465001</v>
      </c>
      <c r="BQ37" s="66">
        <f t="shared" si="49"/>
        <v>15.35544861149056</v>
      </c>
      <c r="BR37" s="68"/>
      <c r="BS37" s="68"/>
      <c r="BT37" s="68">
        <v>186.209</v>
      </c>
      <c r="BU37" s="68">
        <v>29.901800000000001</v>
      </c>
      <c r="BV37" s="68">
        <v>-265.37959999999998</v>
      </c>
      <c r="BW37" s="75"/>
      <c r="BY37" s="68"/>
      <c r="BZ37" s="68"/>
      <c r="CA37" s="68"/>
      <c r="CC37" s="68"/>
    </row>
    <row r="38" spans="1:81" ht="13" x14ac:dyDescent="0.3">
      <c r="A38">
        <f t="shared" ref="A38:A101" si="54">A37+500</f>
        <v>2000</v>
      </c>
      <c r="B38">
        <f t="shared" si="33"/>
        <v>2</v>
      </c>
      <c r="C38">
        <f t="shared" si="0"/>
        <v>1.000000197392068</v>
      </c>
      <c r="D38">
        <f t="shared" si="1"/>
        <v>6.2831844731661539E-4</v>
      </c>
      <c r="F38">
        <f t="shared" si="2"/>
        <v>1.043842232079941</v>
      </c>
      <c r="G38">
        <f t="shared" si="3"/>
        <v>-7.5506115542428073E-2</v>
      </c>
      <c r="H38">
        <f t="shared" si="4"/>
        <v>-7.5506115542428073E-2</v>
      </c>
      <c r="J38">
        <f t="shared" si="5"/>
        <v>15</v>
      </c>
      <c r="M38">
        <f t="shared" si="6"/>
        <v>0.54918890018549471</v>
      </c>
      <c r="N38">
        <f t="shared" si="7"/>
        <v>-1.5707963250000001</v>
      </c>
      <c r="O38">
        <f t="shared" si="8"/>
        <v>1.2142320768860397</v>
      </c>
      <c r="P38">
        <f t="shared" si="9"/>
        <v>0.60312727390372001</v>
      </c>
      <c r="Q38">
        <f t="shared" si="10"/>
        <v>1.0343980158330572</v>
      </c>
      <c r="R38">
        <f t="shared" si="11"/>
        <v>0.25861205610612031</v>
      </c>
      <c r="S38">
        <f t="shared" si="12"/>
        <v>0.99999979382718662</v>
      </c>
      <c r="T38">
        <f t="shared" si="13"/>
        <v>-6.4214144939857634E-4</v>
      </c>
      <c r="U38">
        <f t="shared" si="14"/>
        <v>0.99995018650571577</v>
      </c>
      <c r="V38">
        <f t="shared" si="15"/>
        <v>-9.9813734379323466E-3</v>
      </c>
      <c r="X38">
        <f t="shared" si="34"/>
        <v>20.668312322355888</v>
      </c>
      <c r="Y38">
        <f t="shared" si="16"/>
        <v>-45.524837618609908</v>
      </c>
      <c r="Z38">
        <f t="shared" si="35"/>
        <v>134.47516238139008</v>
      </c>
      <c r="AC38">
        <v>1</v>
      </c>
      <c r="AD38">
        <f t="shared" si="17"/>
        <v>0.68873763984480008</v>
      </c>
      <c r="AE38">
        <f t="shared" si="18"/>
        <v>-8.6549324284590836E-7</v>
      </c>
      <c r="AF38">
        <f t="shared" si="19"/>
        <v>8.6707957140000011E-5</v>
      </c>
      <c r="AG38">
        <f t="shared" si="36"/>
        <v>7827.2898656599391</v>
      </c>
      <c r="AH38">
        <f t="shared" si="37"/>
        <v>-11611.096601699095</v>
      </c>
      <c r="AJ38">
        <f t="shared" si="20"/>
        <v>21000</v>
      </c>
      <c r="AK38">
        <f t="shared" si="21"/>
        <v>13.48497229086</v>
      </c>
      <c r="AL38">
        <v>1</v>
      </c>
      <c r="AM38">
        <f t="shared" si="22"/>
        <v>0.26453592413766003</v>
      </c>
      <c r="AN38">
        <f t="shared" si="38"/>
        <v>19629.882690088791</v>
      </c>
      <c r="AO38">
        <f t="shared" si="39"/>
        <v>-5179.324185845634</v>
      </c>
      <c r="AQ38">
        <f t="shared" si="23"/>
        <v>588.23529411764707</v>
      </c>
      <c r="AR38">
        <f t="shared" si="24"/>
        <v>-2352.9411764705883</v>
      </c>
      <c r="AT38">
        <f t="shared" si="52"/>
        <v>-22715939.141844966</v>
      </c>
      <c r="AU38">
        <f t="shared" si="53"/>
        <v>-25247209.44961109</v>
      </c>
      <c r="AV38">
        <f t="shared" si="42"/>
        <v>-2.3034680899971414</v>
      </c>
      <c r="AW38">
        <f t="shared" si="25"/>
        <v>-549857.387317257</v>
      </c>
      <c r="AX38">
        <f t="shared" si="26"/>
        <v>-49430387.334646568</v>
      </c>
      <c r="AY38">
        <f t="shared" si="50"/>
        <v>-1.5819197417378199</v>
      </c>
      <c r="BA38">
        <f t="shared" si="27"/>
        <v>0.68703010930355024</v>
      </c>
      <c r="BB38">
        <f t="shared" si="43"/>
        <v>-3.2604845887116078</v>
      </c>
      <c r="BC38">
        <f t="shared" si="44"/>
        <v>-0.72154834825932146</v>
      </c>
      <c r="BD38">
        <f t="shared" si="28"/>
        <v>-221.34167511713457</v>
      </c>
      <c r="BF38">
        <f t="shared" si="29"/>
        <v>20.634039580735571</v>
      </c>
      <c r="BG38">
        <f t="shared" si="30"/>
        <v>-45.631856874823633</v>
      </c>
      <c r="BH38">
        <f t="shared" si="45"/>
        <v>134.36814312517637</v>
      </c>
      <c r="BI38">
        <f t="shared" si="46"/>
        <v>134.36814312517637</v>
      </c>
      <c r="BJ38">
        <f t="shared" si="31"/>
        <v>0</v>
      </c>
      <c r="BK38">
        <f t="shared" si="47"/>
        <v>0</v>
      </c>
      <c r="BM38">
        <f t="shared" si="48"/>
        <v>23.894524169447177</v>
      </c>
      <c r="BN38">
        <f t="shared" si="32"/>
        <v>-4.2901817576890693</v>
      </c>
      <c r="BQ38" s="66">
        <f t="shared" si="49"/>
        <v>13.641476211573529</v>
      </c>
      <c r="BR38" s="68"/>
      <c r="BS38" s="68"/>
      <c r="BT38" s="68">
        <v>190.54599999999999</v>
      </c>
      <c r="BU38" s="68">
        <v>29.566700000000001</v>
      </c>
      <c r="BV38" s="68">
        <v>-265.89449999999999</v>
      </c>
      <c r="BW38" s="75"/>
      <c r="BY38" s="68"/>
      <c r="BZ38" s="68"/>
      <c r="CA38" s="68"/>
      <c r="CC38" s="68"/>
    </row>
    <row r="39" spans="1:81" ht="13" x14ac:dyDescent="0.3">
      <c r="A39">
        <f t="shared" si="54"/>
        <v>2500</v>
      </c>
      <c r="B39">
        <f t="shared" si="33"/>
        <v>2.5</v>
      </c>
      <c r="C39">
        <f t="shared" si="0"/>
        <v>1.0000003084250892</v>
      </c>
      <c r="D39">
        <f t="shared" si="1"/>
        <v>7.8539800100903604E-4</v>
      </c>
      <c r="F39">
        <f t="shared" si="2"/>
        <v>1.0759096321099069</v>
      </c>
      <c r="G39">
        <f t="shared" si="3"/>
        <v>-9.7343380301681895E-2</v>
      </c>
      <c r="H39">
        <f t="shared" si="4"/>
        <v>-9.7343380301681895E-2</v>
      </c>
      <c r="J39">
        <f t="shared" si="5"/>
        <v>15</v>
      </c>
      <c r="M39">
        <f t="shared" si="6"/>
        <v>0.43935112014839578</v>
      </c>
      <c r="N39">
        <f t="shared" si="7"/>
        <v>-1.5707963250000001</v>
      </c>
      <c r="O39">
        <f t="shared" si="8"/>
        <v>1.3195403653705198</v>
      </c>
      <c r="P39">
        <f t="shared" si="9"/>
        <v>0.71080080146966784</v>
      </c>
      <c r="Q39">
        <f t="shared" si="10"/>
        <v>1.0532533342869175</v>
      </c>
      <c r="R39">
        <f t="shared" si="11"/>
        <v>0.31935155678273058</v>
      </c>
      <c r="S39">
        <f t="shared" si="12"/>
        <v>0.99999967785503519</v>
      </c>
      <c r="T39">
        <f t="shared" si="13"/>
        <v>-8.0267674968943087E-4</v>
      </c>
      <c r="U39">
        <f t="shared" si="14"/>
        <v>0.99992216968632985</v>
      </c>
      <c r="V39">
        <f t="shared" si="15"/>
        <v>-1.2476483742137646E-2</v>
      </c>
      <c r="X39">
        <f t="shared" si="34"/>
        <v>19.872010134973387</v>
      </c>
      <c r="Y39">
        <f t="shared" si="16"/>
        <v>-37.269822272221795</v>
      </c>
      <c r="Z39">
        <f t="shared" si="35"/>
        <v>142.7301777277782</v>
      </c>
      <c r="AC39">
        <v>1</v>
      </c>
      <c r="AD39">
        <f t="shared" si="17"/>
        <v>0.86092204980600007</v>
      </c>
      <c r="AE39">
        <f t="shared" si="18"/>
        <v>-1.3523331919467321E-6</v>
      </c>
      <c r="AF39">
        <f t="shared" si="19"/>
        <v>1.08384946425E-4</v>
      </c>
      <c r="AG39">
        <f t="shared" si="36"/>
        <v>7826.8512584227619</v>
      </c>
      <c r="AH39">
        <f t="shared" si="37"/>
        <v>-9324.0301728109189</v>
      </c>
      <c r="AJ39">
        <f t="shared" si="20"/>
        <v>21000</v>
      </c>
      <c r="AK39">
        <f t="shared" si="21"/>
        <v>16.856215363575</v>
      </c>
      <c r="AL39">
        <v>1</v>
      </c>
      <c r="AM39">
        <f t="shared" si="22"/>
        <v>0.33066990517207501</v>
      </c>
      <c r="AN39">
        <f t="shared" si="38"/>
        <v>18935.155023070802</v>
      </c>
      <c r="AO39">
        <f t="shared" si="39"/>
        <v>-6244.4297005337867</v>
      </c>
      <c r="AQ39">
        <f t="shared" si="23"/>
        <v>384.61538461538464</v>
      </c>
      <c r="AR39">
        <f t="shared" si="24"/>
        <v>-1923.0769230769231</v>
      </c>
      <c r="AT39">
        <f t="shared" si="52"/>
        <v>-14920499.848319935</v>
      </c>
      <c r="AU39">
        <f t="shared" si="53"/>
        <v>-18637802.486509509</v>
      </c>
      <c r="AV39">
        <f t="shared" si="42"/>
        <v>-2.2458727760123822</v>
      </c>
      <c r="AW39">
        <f t="shared" si="25"/>
        <v>-4639018.4559868798</v>
      </c>
      <c r="AX39">
        <f t="shared" si="26"/>
        <v>-38981315.970080569</v>
      </c>
      <c r="AY39">
        <f t="shared" si="50"/>
        <v>-1.6892454498438252</v>
      </c>
      <c r="BA39">
        <f t="shared" si="27"/>
        <v>0.60816716782030489</v>
      </c>
      <c r="BB39">
        <f t="shared" si="43"/>
        <v>-4.3195405828626701</v>
      </c>
      <c r="BC39">
        <f t="shared" si="44"/>
        <v>-0.55662732616855704</v>
      </c>
      <c r="BD39">
        <f t="shared" si="28"/>
        <v>-211.89239658755258</v>
      </c>
      <c r="BF39">
        <f t="shared" si="29"/>
        <v>19.837803188485449</v>
      </c>
      <c r="BG39">
        <f t="shared" si="30"/>
        <v>-37.424761458001676</v>
      </c>
      <c r="BH39">
        <f t="shared" si="45"/>
        <v>142.57523854199832</v>
      </c>
      <c r="BI39">
        <f t="shared" si="46"/>
        <v>142.57523854199832</v>
      </c>
      <c r="BJ39">
        <f t="shared" si="31"/>
        <v>0</v>
      </c>
      <c r="BK39">
        <f t="shared" si="47"/>
        <v>0</v>
      </c>
      <c r="BM39">
        <f t="shared" si="48"/>
        <v>24.157343771348117</v>
      </c>
      <c r="BN39">
        <f t="shared" si="32"/>
        <v>-5.532364870449106</v>
      </c>
      <c r="BQ39" s="66">
        <f t="shared" si="49"/>
        <v>12.582420217422465</v>
      </c>
      <c r="BR39" s="68"/>
      <c r="BS39" s="68"/>
      <c r="BT39" s="68">
        <v>194.98400000000001</v>
      </c>
      <c r="BU39" s="68">
        <v>29.685600000000001</v>
      </c>
      <c r="BV39" s="68">
        <v>-265.6327</v>
      </c>
      <c r="BW39" s="75"/>
      <c r="BY39" s="68"/>
      <c r="BZ39" s="68"/>
      <c r="CA39" s="68"/>
      <c r="CC39" s="68"/>
    </row>
    <row r="40" spans="1:81" ht="13" x14ac:dyDescent="0.3">
      <c r="A40">
        <f t="shared" si="54"/>
        <v>3000</v>
      </c>
      <c r="B40">
        <f t="shared" si="33"/>
        <v>3</v>
      </c>
      <c r="C40">
        <f t="shared" si="0"/>
        <v>1.0000004441320984</v>
      </c>
      <c r="D40">
        <f t="shared" si="1"/>
        <v>9.424775159436597E-4</v>
      </c>
      <c r="F40">
        <f t="shared" si="2"/>
        <v>1.1176969283128482</v>
      </c>
      <c r="G40">
        <f t="shared" si="3"/>
        <v>-0.1214557591069319</v>
      </c>
      <c r="H40">
        <f t="shared" si="4"/>
        <v>-0.1214557591069319</v>
      </c>
      <c r="J40">
        <f t="shared" si="5"/>
        <v>15</v>
      </c>
      <c r="M40">
        <f t="shared" si="6"/>
        <v>0.36612593345699651</v>
      </c>
      <c r="N40">
        <f t="shared" si="7"/>
        <v>-1.5707963250000001</v>
      </c>
      <c r="O40">
        <f t="shared" si="8"/>
        <v>1.4378139508339449</v>
      </c>
      <c r="P40">
        <f t="shared" si="9"/>
        <v>0.80168040672151708</v>
      </c>
      <c r="Q40">
        <f t="shared" si="10"/>
        <v>1.0758500472224617</v>
      </c>
      <c r="R40">
        <f t="shared" si="11"/>
        <v>0.37774807363941809</v>
      </c>
      <c r="S40">
        <f t="shared" si="12"/>
        <v>0.99999953611134917</v>
      </c>
      <c r="T40">
        <f t="shared" si="13"/>
        <v>-9.6321200860778719E-4</v>
      </c>
      <c r="U40">
        <f t="shared" si="14"/>
        <v>0.99988793010494015</v>
      </c>
      <c r="V40">
        <f t="shared" si="15"/>
        <v>-1.4971438701695284E-2</v>
      </c>
      <c r="X40">
        <f t="shared" si="34"/>
        <v>19.549031243683547</v>
      </c>
      <c r="Y40">
        <f t="shared" si="16"/>
        <v>-30.241616413656971</v>
      </c>
      <c r="Z40">
        <f t="shared" si="35"/>
        <v>149.75838358634303</v>
      </c>
      <c r="AA40">
        <f>20*LOG(7)</f>
        <v>16.901960800285135</v>
      </c>
      <c r="AC40">
        <v>1</v>
      </c>
      <c r="AD40">
        <f t="shared" si="17"/>
        <v>1.0331064597672002</v>
      </c>
      <c r="AE40">
        <f t="shared" si="18"/>
        <v>-1.9473597964032945E-6</v>
      </c>
      <c r="AF40">
        <f t="shared" si="19"/>
        <v>1.3006193570999999E-4</v>
      </c>
      <c r="AG40">
        <f t="shared" si="36"/>
        <v>7826.3152496601715</v>
      </c>
      <c r="AH40">
        <f t="shared" si="37"/>
        <v>-7805.8245568084994</v>
      </c>
      <c r="AJ40">
        <f t="shared" si="20"/>
        <v>21000</v>
      </c>
      <c r="AK40">
        <f t="shared" si="21"/>
        <v>20.22745843629</v>
      </c>
      <c r="AL40">
        <v>1</v>
      </c>
      <c r="AM40">
        <f t="shared" si="22"/>
        <v>0.39680388620648999</v>
      </c>
      <c r="AN40">
        <f t="shared" si="38"/>
        <v>18150.21469681742</v>
      </c>
      <c r="AO40">
        <f t="shared" si="39"/>
        <v>-7181.8482687430114</v>
      </c>
      <c r="AQ40">
        <f t="shared" si="23"/>
        <v>270.27027027027026</v>
      </c>
      <c r="AR40">
        <f t="shared" si="24"/>
        <v>-1621.6216216216217</v>
      </c>
      <c r="AT40">
        <f t="shared" si="52"/>
        <v>-10542873.538159683</v>
      </c>
      <c r="AU40">
        <f t="shared" si="53"/>
        <v>-14801004.3391269</v>
      </c>
      <c r="AV40">
        <f t="shared" si="42"/>
        <v>-2.1897350081553446</v>
      </c>
      <c r="AW40">
        <f t="shared" si="25"/>
        <v>-6657474.4379561376</v>
      </c>
      <c r="AX40">
        <f t="shared" si="26"/>
        <v>-31520731.535037901</v>
      </c>
      <c r="AY40">
        <f t="shared" si="50"/>
        <v>-1.7789465461312608</v>
      </c>
      <c r="BA40">
        <f t="shared" si="27"/>
        <v>0.56406569736355294</v>
      </c>
      <c r="BB40">
        <f t="shared" si="43"/>
        <v>-4.9734062061195026</v>
      </c>
      <c r="BC40">
        <f t="shared" si="44"/>
        <v>-0.41078846202408381</v>
      </c>
      <c r="BD40">
        <f t="shared" si="28"/>
        <v>-203.53644517354439</v>
      </c>
      <c r="BF40">
        <f t="shared" si="29"/>
        <v>19.514903980518795</v>
      </c>
      <c r="BG40">
        <f t="shared" si="30"/>
        <v>-30.441347591869672</v>
      </c>
      <c r="BH40">
        <f t="shared" si="45"/>
        <v>149.55865240813034</v>
      </c>
      <c r="BI40">
        <f t="shared" si="46"/>
        <v>149.55865240813034</v>
      </c>
      <c r="BJ40">
        <f t="shared" si="31"/>
        <v>0</v>
      </c>
      <c r="BK40">
        <f t="shared" si="47"/>
        <v>0</v>
      </c>
      <c r="BM40">
        <f t="shared" si="48"/>
        <v>24.488310186638298</v>
      </c>
      <c r="BN40">
        <f t="shared" si="32"/>
        <v>-6.9049024183252667</v>
      </c>
      <c r="BQ40" s="66">
        <f t="shared" si="49"/>
        <v>11.928554594165634</v>
      </c>
      <c r="BR40" s="68"/>
      <c r="BS40" s="68"/>
      <c r="BT40" s="68">
        <v>199.52600000000001</v>
      </c>
      <c r="BU40" s="68">
        <v>29.050999999999998</v>
      </c>
      <c r="BV40" s="68">
        <v>-267.80150000000003</v>
      </c>
      <c r="BW40" s="75"/>
      <c r="BY40" s="68"/>
      <c r="BZ40" s="68"/>
      <c r="CA40" s="68"/>
      <c r="CC40" s="68"/>
    </row>
    <row r="41" spans="1:81" ht="13" x14ac:dyDescent="0.3">
      <c r="A41">
        <f t="shared" si="54"/>
        <v>3500</v>
      </c>
      <c r="B41">
        <f t="shared" si="33"/>
        <v>3.5</v>
      </c>
      <c r="C41">
        <f t="shared" si="0"/>
        <v>1.0000006045130856</v>
      </c>
      <c r="D41">
        <f t="shared" si="1"/>
        <v>1.0995569843689523E-3</v>
      </c>
      <c r="F41">
        <f t="shared" si="2"/>
        <v>1.1711427173644657</v>
      </c>
      <c r="G41">
        <f t="shared" si="3"/>
        <v>-0.14865623446560788</v>
      </c>
      <c r="H41">
        <f t="shared" si="4"/>
        <v>-0.14865623446560788</v>
      </c>
      <c r="J41">
        <f t="shared" si="5"/>
        <v>15</v>
      </c>
      <c r="M41">
        <f t="shared" si="6"/>
        <v>0.31382222867742554</v>
      </c>
      <c r="N41">
        <f t="shared" si="7"/>
        <v>-1.5707963250000001</v>
      </c>
      <c r="O41">
        <f t="shared" si="8"/>
        <v>1.566118156669746</v>
      </c>
      <c r="P41">
        <f t="shared" si="9"/>
        <v>0.87822080880830677</v>
      </c>
      <c r="Q41">
        <f t="shared" si="10"/>
        <v>1.1019580159541278</v>
      </c>
      <c r="R41">
        <f t="shared" si="11"/>
        <v>0.4335608175225969</v>
      </c>
      <c r="S41">
        <f t="shared" si="12"/>
        <v>0.99999936859616156</v>
      </c>
      <c r="T41">
        <f t="shared" si="13"/>
        <v>-1.1237472178791735E-3</v>
      </c>
      <c r="U41">
        <f t="shared" si="14"/>
        <v>0.99984746967948557</v>
      </c>
      <c r="V41">
        <f t="shared" si="15"/>
        <v>-1.7466207273207059E-2</v>
      </c>
      <c r="X41">
        <f t="shared" si="34"/>
        <v>19.566161933546841</v>
      </c>
      <c r="Y41">
        <f t="shared" si="16"/>
        <v>-24.359949885754883</v>
      </c>
      <c r="Z41">
        <f t="shared" si="35"/>
        <v>155.64005011424513</v>
      </c>
      <c r="AC41">
        <v>1</v>
      </c>
      <c r="AD41">
        <f t="shared" si="17"/>
        <v>1.2052908697284002</v>
      </c>
      <c r="AE41">
        <f t="shared" si="18"/>
        <v>-2.6505730562155946E-6</v>
      </c>
      <c r="AF41">
        <f t="shared" si="19"/>
        <v>1.5173892499500001E-4</v>
      </c>
      <c r="AG41">
        <f t="shared" si="36"/>
        <v>7825.6818794024202</v>
      </c>
      <c r="AH41">
        <f t="shared" si="37"/>
        <v>-6726.9656851048176</v>
      </c>
      <c r="AJ41">
        <f t="shared" si="20"/>
        <v>21000</v>
      </c>
      <c r="AK41">
        <f t="shared" si="21"/>
        <v>23.598701509005004</v>
      </c>
      <c r="AL41">
        <v>1</v>
      </c>
      <c r="AM41">
        <f t="shared" si="22"/>
        <v>0.46293786724090497</v>
      </c>
      <c r="AN41">
        <f t="shared" si="38"/>
        <v>17302.74749948383</v>
      </c>
      <c r="AO41">
        <f t="shared" si="39"/>
        <v>-7986.498323309942</v>
      </c>
      <c r="AQ41">
        <f t="shared" si="23"/>
        <v>200</v>
      </c>
      <c r="AR41">
        <f t="shared" si="24"/>
        <v>-1400</v>
      </c>
      <c r="AT41">
        <f t="shared" si="52"/>
        <v>-7852615.583266262</v>
      </c>
      <c r="AU41">
        <f t="shared" si="53"/>
        <v>-12301347.768184353</v>
      </c>
      <c r="AV41">
        <f t="shared" si="42"/>
        <v>-2.1389409974505296</v>
      </c>
      <c r="AW41">
        <f t="shared" si="25"/>
        <v>-7640965.7917545773</v>
      </c>
      <c r="AX41">
        <f t="shared" si="26"/>
        <v>-25955122.817211542</v>
      </c>
      <c r="AY41">
        <f t="shared" si="50"/>
        <v>-1.8570997372428732</v>
      </c>
      <c r="BA41">
        <f t="shared" si="27"/>
        <v>0.53939271985487347</v>
      </c>
      <c r="BB41">
        <f t="shared" si="43"/>
        <v>-5.3618983897052885</v>
      </c>
      <c r="BC41">
        <f t="shared" si="44"/>
        <v>-0.28184126020765632</v>
      </c>
      <c r="BD41">
        <f t="shared" si="28"/>
        <v>-196.14831472099928</v>
      </c>
      <c r="BF41">
        <f t="shared" si="29"/>
        <v>19.532128484785748</v>
      </c>
      <c r="BG41">
        <f t="shared" si="30"/>
        <v>-24.602689589307872</v>
      </c>
      <c r="BH41">
        <f t="shared" si="45"/>
        <v>155.39731041069211</v>
      </c>
      <c r="BI41">
        <f t="shared" si="46"/>
        <v>155.39731041069211</v>
      </c>
      <c r="BJ41">
        <f t="shared" si="31"/>
        <v>0</v>
      </c>
      <c r="BK41">
        <f t="shared" si="47"/>
        <v>0</v>
      </c>
      <c r="BM41">
        <f t="shared" si="48"/>
        <v>24.89402687449104</v>
      </c>
      <c r="BN41">
        <f t="shared" si="32"/>
        <v>-8.4543748683085962</v>
      </c>
      <c r="BQ41" s="66">
        <f t="shared" si="49"/>
        <v>11.540062410579848</v>
      </c>
      <c r="BR41" s="68"/>
      <c r="BS41" s="68"/>
      <c r="BT41" s="68">
        <v>204.17400000000001</v>
      </c>
      <c r="BU41" s="68">
        <v>28.424299999999999</v>
      </c>
      <c r="BV41" s="68">
        <v>-264.16840000000002</v>
      </c>
      <c r="BW41" s="75"/>
      <c r="BY41" s="68"/>
      <c r="BZ41" s="68"/>
      <c r="CA41" s="68"/>
      <c r="CC41" s="68"/>
    </row>
    <row r="42" spans="1:81" ht="13" x14ac:dyDescent="0.3">
      <c r="A42">
        <f t="shared" si="54"/>
        <v>4000</v>
      </c>
      <c r="B42">
        <f t="shared" si="33"/>
        <v>4</v>
      </c>
      <c r="C42">
        <f t="shared" si="0"/>
        <v>1.0000007895680385</v>
      </c>
      <c r="D42">
        <f t="shared" si="1"/>
        <v>1.2566363985333933E-3</v>
      </c>
      <c r="F42">
        <f t="shared" si="2"/>
        <v>1.2389684664563319</v>
      </c>
      <c r="G42">
        <f t="shared" si="3"/>
        <v>-0.18004190222825991</v>
      </c>
      <c r="H42">
        <f t="shared" si="4"/>
        <v>-0.18004190222825991</v>
      </c>
      <c r="J42">
        <f t="shared" si="5"/>
        <v>15</v>
      </c>
      <c r="M42">
        <f t="shared" si="6"/>
        <v>0.27459445009274736</v>
      </c>
      <c r="N42">
        <f t="shared" si="7"/>
        <v>-1.5707963250000001</v>
      </c>
      <c r="O42">
        <f t="shared" si="8"/>
        <v>1.7021862842109681</v>
      </c>
      <c r="P42">
        <f t="shared" si="9"/>
        <v>0.94285534608146937</v>
      </c>
      <c r="Q42">
        <f t="shared" si="10"/>
        <v>1.1313341772603986</v>
      </c>
      <c r="R42">
        <f t="shared" si="11"/>
        <v>0.48663369220019081</v>
      </c>
      <c r="S42">
        <f t="shared" si="12"/>
        <v>0.99999917530951143</v>
      </c>
      <c r="T42">
        <f t="shared" si="13"/>
        <v>-1.2842823692291343E-3</v>
      </c>
      <c r="U42">
        <f t="shared" si="14"/>
        <v>0.99980079067591632</v>
      </c>
      <c r="V42">
        <f t="shared" si="15"/>
        <v>-1.9960758427193054E-2</v>
      </c>
      <c r="X42">
        <f t="shared" si="34"/>
        <v>19.847094441798458</v>
      </c>
      <c r="Y42">
        <f t="shared" si="16"/>
        <v>-19.557203510139335</v>
      </c>
      <c r="Z42">
        <f t="shared" si="35"/>
        <v>160.44279648986065</v>
      </c>
      <c r="AC42">
        <v>1</v>
      </c>
      <c r="AD42">
        <f t="shared" si="17"/>
        <v>1.3774752796896002</v>
      </c>
      <c r="AE42">
        <f t="shared" si="18"/>
        <v>-3.4619729713836335E-6</v>
      </c>
      <c r="AF42">
        <f t="shared" si="19"/>
        <v>1.7341591428000002E-4</v>
      </c>
      <c r="AG42">
        <f t="shared" si="36"/>
        <v>7824.9511949403304</v>
      </c>
      <c r="AH42">
        <f t="shared" si="37"/>
        <v>-5922.6961597130257</v>
      </c>
      <c r="AJ42">
        <f t="shared" si="20"/>
        <v>21000</v>
      </c>
      <c r="AK42">
        <f t="shared" si="21"/>
        <v>26.96994458172</v>
      </c>
      <c r="AL42">
        <v>1</v>
      </c>
      <c r="AM42">
        <f t="shared" si="22"/>
        <v>0.52907184827532006</v>
      </c>
      <c r="AN42">
        <f t="shared" si="38"/>
        <v>16418.462056205462</v>
      </c>
      <c r="AO42">
        <f t="shared" si="39"/>
        <v>-8659.5761213331152</v>
      </c>
      <c r="AQ42">
        <f t="shared" si="23"/>
        <v>153.84615384615384</v>
      </c>
      <c r="AR42">
        <f t="shared" si="24"/>
        <v>-1230.7692307692307</v>
      </c>
      <c r="AT42">
        <f t="shared" si="52"/>
        <v>-6085633.5511944424</v>
      </c>
      <c r="AU42">
        <f t="shared" si="53"/>
        <v>-10541893.187574718</v>
      </c>
      <c r="AV42">
        <f t="shared" si="42"/>
        <v>-2.0943430713887556</v>
      </c>
      <c r="AW42">
        <f t="shared" si="25"/>
        <v>-8056322.1049419027</v>
      </c>
      <c r="AX42">
        <f t="shared" si="26"/>
        <v>-21664164.21627393</v>
      </c>
      <c r="AY42">
        <f t="shared" si="50"/>
        <v>-1.9268228802316867</v>
      </c>
      <c r="BA42">
        <f t="shared" si="27"/>
        <v>0.52663121387105938</v>
      </c>
      <c r="BB42">
        <f t="shared" si="43"/>
        <v>-5.5698680694218794</v>
      </c>
      <c r="BC42">
        <f t="shared" si="44"/>
        <v>-0.16752019115706895</v>
      </c>
      <c r="BD42">
        <f t="shared" si="28"/>
        <v>-189.59819994749236</v>
      </c>
      <c r="BF42">
        <f t="shared" si="29"/>
        <v>19.813169031640687</v>
      </c>
      <c r="BG42">
        <f t="shared" si="30"/>
        <v>-19.841841130365257</v>
      </c>
      <c r="BH42">
        <f t="shared" si="45"/>
        <v>160.15815886963475</v>
      </c>
      <c r="BI42">
        <f t="shared" si="46"/>
        <v>160.15815886963475</v>
      </c>
      <c r="BJ42">
        <f t="shared" si="31"/>
        <v>0</v>
      </c>
      <c r="BK42">
        <f t="shared" si="47"/>
        <v>0</v>
      </c>
      <c r="BM42">
        <f t="shared" si="48"/>
        <v>25.383037101062563</v>
      </c>
      <c r="BN42">
        <f t="shared" si="32"/>
        <v>-10.243641182872887</v>
      </c>
      <c r="BQ42" s="66">
        <f t="shared" si="49"/>
        <v>11.332092730863257</v>
      </c>
      <c r="BR42" s="68"/>
      <c r="BS42" s="68"/>
      <c r="BT42" s="68">
        <v>208.93</v>
      </c>
      <c r="BU42" s="68">
        <v>28.510899999999999</v>
      </c>
      <c r="BV42" s="68">
        <v>-267.69110000000001</v>
      </c>
      <c r="BW42" s="75"/>
      <c r="BY42" s="68"/>
      <c r="BZ42" s="68"/>
      <c r="CA42" s="68"/>
      <c r="CC42" s="68"/>
    </row>
    <row r="43" spans="1:81" ht="13" x14ac:dyDescent="0.3">
      <c r="A43">
        <f t="shared" si="54"/>
        <v>4500</v>
      </c>
      <c r="B43">
        <f t="shared" si="33"/>
        <v>4.5</v>
      </c>
      <c r="C43">
        <f t="shared" si="0"/>
        <v>1.0000009992969441</v>
      </c>
      <c r="D43">
        <f t="shared" si="1"/>
        <v>1.4137157506854785E-3</v>
      </c>
      <c r="F43">
        <f t="shared" si="2"/>
        <v>1.3250098045648027</v>
      </c>
      <c r="G43">
        <f t="shared" si="3"/>
        <v>-0.21714736232465479</v>
      </c>
      <c r="H43">
        <f t="shared" si="4"/>
        <v>-0.21714736232465479</v>
      </c>
      <c r="J43">
        <f t="shared" si="5"/>
        <v>15</v>
      </c>
      <c r="M43">
        <f t="shared" si="6"/>
        <v>0.24408395563799762</v>
      </c>
      <c r="N43">
        <f t="shared" si="7"/>
        <v>-1.5707963250000001</v>
      </c>
      <c r="O43">
        <f t="shared" si="8"/>
        <v>1.8443007221515189</v>
      </c>
      <c r="P43">
        <f t="shared" si="9"/>
        <v>0.99773015066189819</v>
      </c>
      <c r="Q43">
        <f t="shared" si="10"/>
        <v>1.1637310596715591</v>
      </c>
      <c r="R43">
        <f t="shared" si="11"/>
        <v>0.53688691774850572</v>
      </c>
      <c r="S43">
        <f t="shared" si="12"/>
        <v>0.99999895625144342</v>
      </c>
      <c r="T43">
        <f t="shared" si="13"/>
        <v>-1.4448174543832308E-3</v>
      </c>
      <c r="U43">
        <f t="shared" si="14"/>
        <v>0.99974789570784039</v>
      </c>
      <c r="V43">
        <f t="shared" si="15"/>
        <v>-2.2455061150404791E-2</v>
      </c>
      <c r="X43">
        <f t="shared" si="34"/>
        <v>20.348488504361157</v>
      </c>
      <c r="Y43">
        <f t="shared" si="16"/>
        <v>-15.802908349146938</v>
      </c>
      <c r="Z43">
        <f t="shared" si="35"/>
        <v>164.19709165085305</v>
      </c>
      <c r="AC43">
        <v>1</v>
      </c>
      <c r="AD43">
        <f t="shared" si="17"/>
        <v>1.5496596896508001</v>
      </c>
      <c r="AE43">
        <f t="shared" si="18"/>
        <v>-4.3815595419074122E-6</v>
      </c>
      <c r="AF43">
        <f t="shared" si="19"/>
        <v>1.9509290356499998E-4</v>
      </c>
      <c r="AG43">
        <f t="shared" si="36"/>
        <v>7824.1232508164585</v>
      </c>
      <c r="AH43">
        <f t="shared" si="37"/>
        <v>-5301.4837699725867</v>
      </c>
      <c r="AJ43">
        <f t="shared" si="20"/>
        <v>21000</v>
      </c>
      <c r="AK43">
        <f t="shared" si="21"/>
        <v>30.341187654435</v>
      </c>
      <c r="AL43">
        <v>1</v>
      </c>
      <c r="AM43">
        <f t="shared" si="22"/>
        <v>0.59520582930973498</v>
      </c>
      <c r="AN43">
        <f t="shared" si="38"/>
        <v>15519.844324902344</v>
      </c>
      <c r="AO43">
        <f t="shared" si="39"/>
        <v>-9207.1606245070489</v>
      </c>
      <c r="AQ43">
        <f t="shared" si="23"/>
        <v>121.95121951219512</v>
      </c>
      <c r="AR43">
        <f t="shared" si="24"/>
        <v>-1097.560975609756</v>
      </c>
      <c r="AT43">
        <f t="shared" si="52"/>
        <v>-4864540.3266996127</v>
      </c>
      <c r="AU43">
        <f t="shared" si="53"/>
        <v>-9233974.7594293561</v>
      </c>
      <c r="AV43">
        <f t="shared" si="42"/>
        <v>-2.055660342904404</v>
      </c>
      <c r="AW43">
        <f t="shared" si="25"/>
        <v>-8141000.5798505964</v>
      </c>
      <c r="AX43">
        <f t="shared" si="26"/>
        <v>-18274186.030893914</v>
      </c>
      <c r="AY43">
        <f t="shared" si="50"/>
        <v>-1.9898949373738319</v>
      </c>
      <c r="BA43">
        <f t="shared" si="27"/>
        <v>0.52170318091177403</v>
      </c>
      <c r="BB43">
        <f t="shared" si="43"/>
        <v>-5.6515303060654629</v>
      </c>
      <c r="BC43">
        <f t="shared" si="44"/>
        <v>-6.5765405530572085E-2</v>
      </c>
      <c r="BD43">
        <f t="shared" si="28"/>
        <v>-183.76808017917375</v>
      </c>
      <c r="BF43">
        <f t="shared" si="29"/>
        <v>20.314685392775967</v>
      </c>
      <c r="BG43">
        <f t="shared" si="30"/>
        <v>-16.128707640953213</v>
      </c>
      <c r="BH43">
        <f t="shared" si="45"/>
        <v>163.87129235904678</v>
      </c>
      <c r="BI43">
        <f t="shared" si="46"/>
        <v>163.87129235904678</v>
      </c>
      <c r="BJ43">
        <f t="shared" si="31"/>
        <v>0</v>
      </c>
      <c r="BK43">
        <f t="shared" si="47"/>
        <v>0</v>
      </c>
      <c r="BM43">
        <f t="shared" si="48"/>
        <v>25.966215698841427</v>
      </c>
      <c r="BN43">
        <f t="shared" si="32"/>
        <v>-12.360627461779451</v>
      </c>
      <c r="BQ43" s="66">
        <f t="shared" si="49"/>
        <v>11.250430494219675</v>
      </c>
      <c r="BR43" s="68"/>
      <c r="BS43" s="68"/>
      <c r="BT43" s="68">
        <v>213.79599999999999</v>
      </c>
      <c r="BU43" s="68">
        <v>28.178999999999998</v>
      </c>
      <c r="BV43" s="68">
        <v>-266.9667</v>
      </c>
      <c r="BW43" s="75"/>
      <c r="BY43" s="68"/>
      <c r="BZ43" s="68"/>
      <c r="CA43" s="68"/>
      <c r="CC43" s="68"/>
    </row>
    <row r="44" spans="1:81" ht="13" x14ac:dyDescent="0.3">
      <c r="A44">
        <f t="shared" si="54"/>
        <v>5000</v>
      </c>
      <c r="B44">
        <f t="shared" si="33"/>
        <v>5</v>
      </c>
      <c r="C44">
        <f t="shared" si="0"/>
        <v>1.0000012336997863</v>
      </c>
      <c r="D44">
        <f t="shared" si="1"/>
        <v>1.5707950330737222E-3</v>
      </c>
      <c r="F44">
        <f t="shared" si="2"/>
        <v>1.4347123740855841</v>
      </c>
      <c r="G44">
        <f t="shared" si="3"/>
        <v>-0.26219650693330138</v>
      </c>
      <c r="H44">
        <f t="shared" si="4"/>
        <v>-0.26219650693330138</v>
      </c>
      <c r="J44">
        <f t="shared" si="5"/>
        <v>15</v>
      </c>
      <c r="M44">
        <f t="shared" si="6"/>
        <v>0.21967556007419789</v>
      </c>
      <c r="N44">
        <f t="shared" si="7"/>
        <v>-1.5707963250000001</v>
      </c>
      <c r="O44">
        <f t="shared" si="8"/>
        <v>1.9911672715692821</v>
      </c>
      <c r="P44">
        <f t="shared" si="9"/>
        <v>1.0446345522770184</v>
      </c>
      <c r="Q44">
        <f t="shared" si="10"/>
        <v>1.1989038096302957</v>
      </c>
      <c r="R44">
        <f t="shared" si="11"/>
        <v>0.58430570774047375</v>
      </c>
      <c r="S44">
        <f t="shared" si="12"/>
        <v>0.99999871142200814</v>
      </c>
      <c r="T44">
        <f t="shared" si="13"/>
        <v>-1.6053524650670454E-3</v>
      </c>
      <c r="U44">
        <f t="shared" si="14"/>
        <v>0.99968878773611858</v>
      </c>
      <c r="V44">
        <f t="shared" si="15"/>
        <v>-2.4949084448135355E-2</v>
      </c>
      <c r="X44">
        <f t="shared" si="34"/>
        <v>21.047894564462855</v>
      </c>
      <c r="Y44">
        <f t="shared" si="16"/>
        <v>-13.122808421158235</v>
      </c>
      <c r="Z44">
        <f t="shared" si="35"/>
        <v>166.87719157884177</v>
      </c>
      <c r="AC44">
        <v>1</v>
      </c>
      <c r="AD44">
        <f t="shared" si="17"/>
        <v>1.7218440996120001</v>
      </c>
      <c r="AE44">
        <f t="shared" si="18"/>
        <v>-5.4093327677869283E-6</v>
      </c>
      <c r="AF44">
        <f t="shared" si="19"/>
        <v>2.1676989285E-4</v>
      </c>
      <c r="AG44">
        <f t="shared" si="36"/>
        <v>7823.198108814915</v>
      </c>
      <c r="AH44">
        <f t="shared" si="37"/>
        <v>-4808.4088992937895</v>
      </c>
      <c r="AJ44">
        <f t="shared" si="20"/>
        <v>21000</v>
      </c>
      <c r="AK44">
        <f t="shared" si="21"/>
        <v>33.71243072715</v>
      </c>
      <c r="AL44">
        <v>1</v>
      </c>
      <c r="AM44">
        <f t="shared" si="22"/>
        <v>0.66133981034415001</v>
      </c>
      <c r="AN44">
        <f t="shared" si="38"/>
        <v>14625.524625149887</v>
      </c>
      <c r="AO44">
        <f t="shared" si="39"/>
        <v>-9638.7292510531734</v>
      </c>
      <c r="AQ44">
        <f t="shared" si="23"/>
        <v>99.009900990099013</v>
      </c>
      <c r="AR44">
        <f t="shared" si="24"/>
        <v>-990.09900990099015</v>
      </c>
      <c r="AT44">
        <f t="shared" si="52"/>
        <v>-3986226.820210197</v>
      </c>
      <c r="AU44">
        <f t="shared" si="53"/>
        <v>-8221820.7908359356</v>
      </c>
      <c r="AV44">
        <f t="shared" si="42"/>
        <v>-2.0222385332697481</v>
      </c>
      <c r="AW44">
        <f t="shared" si="25"/>
        <v>-8027394.8703203155</v>
      </c>
      <c r="AX44">
        <f t="shared" si="26"/>
        <v>-15546648.345086033</v>
      </c>
      <c r="AY44">
        <f t="shared" si="50"/>
        <v>-2.0474322752394909</v>
      </c>
      <c r="BA44">
        <f t="shared" si="27"/>
        <v>0.52222151722213339</v>
      </c>
      <c r="BB44">
        <f t="shared" si="43"/>
        <v>-5.6429047560325518</v>
      </c>
      <c r="BC44">
        <f t="shared" si="44"/>
        <v>2.5193741969742778E-2</v>
      </c>
      <c r="BD44">
        <f t="shared" si="28"/>
        <v>-178.55650491334271</v>
      </c>
      <c r="BF44">
        <f t="shared" si="29"/>
        <v>21.014228021239777</v>
      </c>
      <c r="BG44">
        <f t="shared" si="30"/>
        <v>-13.489258254881413</v>
      </c>
      <c r="BH44">
        <f t="shared" si="45"/>
        <v>166.51074174511859</v>
      </c>
      <c r="BI44">
        <f t="shared" si="46"/>
        <v>166.51074174511859</v>
      </c>
      <c r="BJ44">
        <f t="shared" si="31"/>
        <v>0</v>
      </c>
      <c r="BK44">
        <f t="shared" si="47"/>
        <v>0</v>
      </c>
      <c r="BM44">
        <f t="shared" si="48"/>
        <v>26.657132777272324</v>
      </c>
      <c r="BN44">
        <f t="shared" si="32"/>
        <v>-14.932753341538717</v>
      </c>
      <c r="BQ44" s="66">
        <f t="shared" si="49"/>
        <v>11.259056044252585</v>
      </c>
      <c r="BR44" s="68"/>
      <c r="BS44" s="68"/>
      <c r="BT44" s="68">
        <v>218.77600000000001</v>
      </c>
      <c r="BU44" s="68">
        <v>27.706399999999999</v>
      </c>
      <c r="BV44" s="68">
        <v>-263.5369</v>
      </c>
      <c r="BW44" s="75"/>
      <c r="BY44" s="68"/>
      <c r="BZ44" s="68"/>
      <c r="CA44" s="68"/>
      <c r="CC44" s="68"/>
    </row>
    <row r="45" spans="1:81" ht="13" x14ac:dyDescent="0.3">
      <c r="A45">
        <f t="shared" si="54"/>
        <v>5500</v>
      </c>
      <c r="B45">
        <f t="shared" si="33"/>
        <v>5.5</v>
      </c>
      <c r="C45">
        <f t="shared" si="0"/>
        <v>1.0000014927765482</v>
      </c>
      <c r="D45">
        <f t="shared" si="1"/>
        <v>1.7278742379466588E-3</v>
      </c>
      <c r="F45">
        <f t="shared" si="2"/>
        <v>1.5758412147964509</v>
      </c>
      <c r="G45">
        <f t="shared" si="3"/>
        <v>-0.31852874398500897</v>
      </c>
      <c r="H45">
        <f t="shared" si="4"/>
        <v>-0.31852874398500897</v>
      </c>
      <c r="J45">
        <f t="shared" si="5"/>
        <v>15</v>
      </c>
      <c r="M45">
        <f t="shared" si="6"/>
        <v>0.19970505461290716</v>
      </c>
      <c r="N45">
        <f t="shared" si="7"/>
        <v>-1.5707963250000001</v>
      </c>
      <c r="O45">
        <f t="shared" si="8"/>
        <v>2.1418085804002369</v>
      </c>
      <c r="P45">
        <f t="shared" si="9"/>
        <v>1.0850198684812484</v>
      </c>
      <c r="Q45">
        <f t="shared" si="10"/>
        <v>1.2366155898834139</v>
      </c>
      <c r="R45">
        <f t="shared" si="11"/>
        <v>0.62892778063194454</v>
      </c>
      <c r="S45">
        <f t="shared" si="12"/>
        <v>0.99999844082126288</v>
      </c>
      <c r="T45">
        <f t="shared" si="13"/>
        <v>-1.7658873930061834E-3</v>
      </c>
      <c r="U45">
        <f t="shared" si="14"/>
        <v>0.99962347006840313</v>
      </c>
      <c r="V45">
        <f t="shared" si="15"/>
        <v>-2.7442797346526021E-2</v>
      </c>
      <c r="X45">
        <f t="shared" si="34"/>
        <v>21.936891160112797</v>
      </c>
      <c r="Y45">
        <f t="shared" si="16"/>
        <v>-11.622920453169604</v>
      </c>
      <c r="Z45">
        <f t="shared" si="35"/>
        <v>168.3770795468304</v>
      </c>
      <c r="AC45">
        <v>1</v>
      </c>
      <c r="AD45">
        <f t="shared" si="17"/>
        <v>1.8940285095732001</v>
      </c>
      <c r="AE45">
        <f t="shared" si="18"/>
        <v>-6.5452926490221827E-6</v>
      </c>
      <c r="AF45">
        <f t="shared" si="19"/>
        <v>2.3844688213500002E-4</v>
      </c>
      <c r="AG45">
        <f t="shared" si="36"/>
        <v>7822.1758379498642</v>
      </c>
      <c r="AH45">
        <f t="shared" si="37"/>
        <v>-4408.5224373633937</v>
      </c>
      <c r="AJ45">
        <f t="shared" si="20"/>
        <v>21000</v>
      </c>
      <c r="AK45">
        <f t="shared" si="21"/>
        <v>37.083673799865004</v>
      </c>
      <c r="AL45">
        <v>1</v>
      </c>
      <c r="AM45">
        <f t="shared" si="22"/>
        <v>0.72747379137856505</v>
      </c>
      <c r="AN45">
        <f t="shared" si="38"/>
        <v>13750.149285483016</v>
      </c>
      <c r="AO45">
        <f t="shared" si="39"/>
        <v>-9965.7895589317322</v>
      </c>
      <c r="AQ45">
        <f t="shared" si="23"/>
        <v>81.967213114754102</v>
      </c>
      <c r="AR45">
        <f t="shared" si="24"/>
        <v>-901.63934426229503</v>
      </c>
      <c r="AT45">
        <f t="shared" si="52"/>
        <v>-3333735.325659628</v>
      </c>
      <c r="AU45">
        <f t="shared" si="53"/>
        <v>-7414135.791378024</v>
      </c>
      <c r="AV45">
        <f t="shared" si="42"/>
        <v>-1.9933556952543254</v>
      </c>
      <c r="AW45">
        <f t="shared" si="25"/>
        <v>-7794499.7685832512</v>
      </c>
      <c r="AX45">
        <f t="shared" si="26"/>
        <v>-13321299.227192359</v>
      </c>
      <c r="AY45">
        <f t="shared" si="50"/>
        <v>-2.1001995054366152</v>
      </c>
      <c r="BA45">
        <f t="shared" si="27"/>
        <v>0.5267013242908537</v>
      </c>
      <c r="BB45">
        <f t="shared" si="43"/>
        <v>-5.5687117937963793</v>
      </c>
      <c r="BC45">
        <f t="shared" si="44"/>
        <v>0.10684381018228972</v>
      </c>
      <c r="BD45">
        <f t="shared" si="28"/>
        <v>-173.87830060246284</v>
      </c>
      <c r="BF45">
        <f t="shared" si="29"/>
        <v>21.903375451345653</v>
      </c>
      <c r="BG45">
        <f t="shared" si="30"/>
        <v>-12.029653405784183</v>
      </c>
      <c r="BH45">
        <f t="shared" si="45"/>
        <v>167.97034659421581</v>
      </c>
      <c r="BI45">
        <f t="shared" si="46"/>
        <v>167.97034659421581</v>
      </c>
      <c r="BJ45">
        <f t="shared" si="31"/>
        <v>0</v>
      </c>
      <c r="BK45">
        <f t="shared" si="47"/>
        <v>0</v>
      </c>
      <c r="BM45">
        <f t="shared" si="48"/>
        <v>27.472087245142035</v>
      </c>
      <c r="BN45">
        <f t="shared" si="32"/>
        <v>-18.151352803321338</v>
      </c>
      <c r="BQ45" s="66">
        <f t="shared" si="49"/>
        <v>11.333249006488757</v>
      </c>
      <c r="BR45" s="68"/>
      <c r="BS45" s="68"/>
      <c r="BT45" s="68">
        <v>223.87200000000001</v>
      </c>
      <c r="BU45" s="68">
        <v>27.937100000000001</v>
      </c>
      <c r="BV45" s="68">
        <v>-265.19450000000001</v>
      </c>
      <c r="BW45" s="75"/>
      <c r="BY45" s="68"/>
      <c r="BZ45" s="68"/>
      <c r="CA45" s="68"/>
      <c r="CC45" s="68"/>
    </row>
    <row r="46" spans="1:81" ht="13" x14ac:dyDescent="0.3">
      <c r="A46">
        <f t="shared" si="54"/>
        <v>6000</v>
      </c>
      <c r="B46">
        <f t="shared" si="33"/>
        <v>6</v>
      </c>
      <c r="C46">
        <f t="shared" si="0"/>
        <v>1.0000017765272102</v>
      </c>
      <c r="D46">
        <f t="shared" si="1"/>
        <v>1.884953357552846E-3</v>
      </c>
      <c r="F46">
        <f t="shared" si="2"/>
        <v>1.7593476082963038</v>
      </c>
      <c r="G46">
        <f t="shared" si="3"/>
        <v>-0.39133571020800995</v>
      </c>
      <c r="H46">
        <f t="shared" si="4"/>
        <v>-0.39133571020800995</v>
      </c>
      <c r="J46">
        <f t="shared" si="5"/>
        <v>15</v>
      </c>
      <c r="M46">
        <f t="shared" si="6"/>
        <v>0.18306296672849826</v>
      </c>
      <c r="N46">
        <f t="shared" si="7"/>
        <v>-1.5707963250000001</v>
      </c>
      <c r="O46">
        <f t="shared" si="8"/>
        <v>2.295481611525318</v>
      </c>
      <c r="P46">
        <f t="shared" si="9"/>
        <v>1.1200489035217147</v>
      </c>
      <c r="Q46">
        <f t="shared" si="10"/>
        <v>1.2766414126270118</v>
      </c>
      <c r="R46">
        <f t="shared" si="11"/>
        <v>0.67083107073279225</v>
      </c>
      <c r="S46">
        <f t="shared" si="12"/>
        <v>0.99999814444926982</v>
      </c>
      <c r="T46">
        <f t="shared" si="13"/>
        <v>-1.9264222299262758E-3</v>
      </c>
      <c r="U46">
        <f t="shared" si="14"/>
        <v>0.99955194635862477</v>
      </c>
      <c r="V46">
        <f t="shared" si="15"/>
        <v>-2.993616889486907E-2</v>
      </c>
      <c r="X46">
        <f t="shared" si="34"/>
        <v>23.015829830470217</v>
      </c>
      <c r="Y46">
        <f t="shared" si="16"/>
        <v>-11.529612462562323</v>
      </c>
      <c r="Z46">
        <f t="shared" si="35"/>
        <v>168.47038753743769</v>
      </c>
      <c r="AC46">
        <v>1</v>
      </c>
      <c r="AD46">
        <f t="shared" si="17"/>
        <v>2.0662129195344003</v>
      </c>
      <c r="AE46">
        <f t="shared" si="18"/>
        <v>-7.7894391856131778E-6</v>
      </c>
      <c r="AF46">
        <f t="shared" si="19"/>
        <v>2.6012387141999998E-4</v>
      </c>
      <c r="AG46">
        <f t="shared" si="36"/>
        <v>7821.0565144526445</v>
      </c>
      <c r="AH46">
        <f t="shared" si="37"/>
        <v>-4078.5247362922423</v>
      </c>
      <c r="AJ46">
        <f t="shared" si="20"/>
        <v>21000</v>
      </c>
      <c r="AK46">
        <f t="shared" si="21"/>
        <v>40.45491687258</v>
      </c>
      <c r="AL46">
        <v>1</v>
      </c>
      <c r="AM46">
        <f t="shared" si="22"/>
        <v>0.79360777241297997</v>
      </c>
      <c r="AN46">
        <f t="shared" si="38"/>
        <v>12904.610228960868</v>
      </c>
      <c r="AO46">
        <f t="shared" si="39"/>
        <v>-10200.74406079081</v>
      </c>
      <c r="AQ46">
        <f t="shared" si="23"/>
        <v>68.965517241379317</v>
      </c>
      <c r="AR46">
        <f t="shared" si="24"/>
        <v>-827.58620689655174</v>
      </c>
      <c r="AT46">
        <f t="shared" si="52"/>
        <v>-2835947.6083485698</v>
      </c>
      <c r="AU46">
        <f t="shared" si="53"/>
        <v>-6753876.0627395846</v>
      </c>
      <c r="AV46">
        <f t="shared" si="42"/>
        <v>-1.9683386870745063</v>
      </c>
      <c r="AW46">
        <f t="shared" si="25"/>
        <v>-7491747.1661988571</v>
      </c>
      <c r="AX46">
        <f t="shared" si="26"/>
        <v>-11485731.201940576</v>
      </c>
      <c r="AY46">
        <f t="shared" si="50"/>
        <v>-2.1487625763861162</v>
      </c>
      <c r="BA46">
        <f t="shared" si="27"/>
        <v>0.53417096112391282</v>
      </c>
      <c r="BB46">
        <f t="shared" si="43"/>
        <v>-5.4463945002514915</v>
      </c>
      <c r="BC46">
        <f t="shared" si="44"/>
        <v>0.18042388931160991</v>
      </c>
      <c r="BD46">
        <f t="shared" si="28"/>
        <v>-169.66247260729688</v>
      </c>
      <c r="BF46">
        <f t="shared" si="29"/>
        <v>22.982479210556068</v>
      </c>
      <c r="BG46">
        <f t="shared" si="30"/>
        <v>-11.976357328501036</v>
      </c>
      <c r="BH46">
        <f t="shared" si="45"/>
        <v>168.02364267149898</v>
      </c>
      <c r="BI46">
        <f t="shared" si="46"/>
        <v>168.02364267149898</v>
      </c>
      <c r="BJ46">
        <f t="shared" si="31"/>
        <v>0</v>
      </c>
      <c r="BK46">
        <f t="shared" si="47"/>
        <v>0</v>
      </c>
      <c r="BM46">
        <f t="shared" si="48"/>
        <v>28.428873710807558</v>
      </c>
      <c r="BN46">
        <f t="shared" si="32"/>
        <v>-22.313884721204154</v>
      </c>
      <c r="BQ46" s="66">
        <f t="shared" si="49"/>
        <v>11.455566300033643</v>
      </c>
      <c r="BR46" s="68"/>
      <c r="BS46" s="68"/>
      <c r="BT46" s="68">
        <v>229.08699999999999</v>
      </c>
      <c r="BU46" s="68">
        <v>27.676300000000001</v>
      </c>
      <c r="BV46" s="68">
        <v>-266.75440000000003</v>
      </c>
      <c r="BW46" s="75"/>
      <c r="BY46" s="68"/>
      <c r="BZ46" s="68"/>
      <c r="CA46" s="68"/>
      <c r="CC46" s="68"/>
    </row>
    <row r="47" spans="1:81" ht="13" x14ac:dyDescent="0.3">
      <c r="A47">
        <f t="shared" si="54"/>
        <v>6500</v>
      </c>
      <c r="B47">
        <f t="shared" si="33"/>
        <v>6.5</v>
      </c>
      <c r="C47">
        <f t="shared" si="0"/>
        <v>1.0000020849517515</v>
      </c>
      <c r="D47">
        <f t="shared" si="1"/>
        <v>2.0420323841408667E-3</v>
      </c>
      <c r="F47">
        <f t="shared" si="2"/>
        <v>1.999779234575227</v>
      </c>
      <c r="G47">
        <f t="shared" si="3"/>
        <v>-0.48892566524696501</v>
      </c>
      <c r="H47">
        <f t="shared" si="4"/>
        <v>-0.48892566524696501</v>
      </c>
      <c r="J47">
        <f t="shared" si="5"/>
        <v>15</v>
      </c>
      <c r="M47">
        <f t="shared" si="6"/>
        <v>0.16898120005707529</v>
      </c>
      <c r="N47">
        <f t="shared" si="7"/>
        <v>-1.5707963250000001</v>
      </c>
      <c r="O47">
        <f t="shared" si="8"/>
        <v>2.4516163249360683</v>
      </c>
      <c r="P47">
        <f t="shared" si="9"/>
        <v>1.150649880098698</v>
      </c>
      <c r="Q47">
        <f t="shared" si="10"/>
        <v>1.3187705951456461</v>
      </c>
      <c r="R47">
        <f t="shared" si="11"/>
        <v>0.71012253684696802</v>
      </c>
      <c r="S47">
        <f t="shared" si="12"/>
        <v>0.99999782230609802</v>
      </c>
      <c r="T47">
        <f t="shared" si="13"/>
        <v>-2.0869569675529814E-3</v>
      </c>
      <c r="U47">
        <f t="shared" si="14"/>
        <v>0.99947422060642499</v>
      </c>
      <c r="V47">
        <f t="shared" si="15"/>
        <v>-3.2429168167906218E-2</v>
      </c>
      <c r="X47">
        <f t="shared" si="34"/>
        <v>24.286100394128187</v>
      </c>
      <c r="Y47">
        <f t="shared" si="16"/>
        <v>-13.259599359411276</v>
      </c>
      <c r="Z47">
        <f t="shared" si="35"/>
        <v>166.74040064058872</v>
      </c>
      <c r="AC47">
        <v>1</v>
      </c>
      <c r="AD47">
        <f t="shared" si="17"/>
        <v>2.2383973294956001</v>
      </c>
      <c r="AE47">
        <f t="shared" si="18"/>
        <v>-9.1417723775599095E-6</v>
      </c>
      <c r="AF47">
        <f t="shared" si="19"/>
        <v>2.8180086070500002E-4</v>
      </c>
      <c r="AG47">
        <f t="shared" si="36"/>
        <v>7819.8402217575749</v>
      </c>
      <c r="AH47">
        <f t="shared" si="37"/>
        <v>-3802.2850485821241</v>
      </c>
      <c r="AJ47">
        <f t="shared" si="20"/>
        <v>21000</v>
      </c>
      <c r="AK47">
        <f t="shared" si="21"/>
        <v>43.826159945295004</v>
      </c>
      <c r="AL47">
        <v>1</v>
      </c>
      <c r="AM47">
        <f t="shared" si="22"/>
        <v>0.85974175344739501</v>
      </c>
      <c r="AN47">
        <f t="shared" si="38"/>
        <v>12096.488526316421</v>
      </c>
      <c r="AO47">
        <f t="shared" si="39"/>
        <v>-10356.030096226281</v>
      </c>
      <c r="AQ47">
        <f t="shared" si="23"/>
        <v>58.823529411764703</v>
      </c>
      <c r="AR47">
        <f t="shared" si="24"/>
        <v>-764.70588235294122</v>
      </c>
      <c r="AT47">
        <f t="shared" si="52"/>
        <v>-2447639.141753532</v>
      </c>
      <c r="AU47">
        <f t="shared" si="53"/>
        <v>-6203541.6430253293</v>
      </c>
      <c r="AV47">
        <f t="shared" si="42"/>
        <v>-1.9466000503892233</v>
      </c>
      <c r="AW47">
        <f t="shared" si="25"/>
        <v>-7151031.9689716976</v>
      </c>
      <c r="AX47">
        <f t="shared" si="26"/>
        <v>-9958243.6867537647</v>
      </c>
      <c r="AY47">
        <f t="shared" si="50"/>
        <v>-2.1935680729429179</v>
      </c>
      <c r="BA47">
        <f t="shared" si="27"/>
        <v>0.54396660199562508</v>
      </c>
      <c r="BB47">
        <f t="shared" si="43"/>
        <v>-5.2885552786197536</v>
      </c>
      <c r="BC47">
        <f t="shared" si="44"/>
        <v>0.24696802255369454</v>
      </c>
      <c r="BD47">
        <f t="shared" si="28"/>
        <v>-165.8497746168126</v>
      </c>
      <c r="BF47">
        <f t="shared" si="29"/>
        <v>24.252929100437868</v>
      </c>
      <c r="BG47">
        <f t="shared" si="30"/>
        <v>-13.746151925725739</v>
      </c>
      <c r="BH47">
        <f t="shared" si="45"/>
        <v>166.25384807427426</v>
      </c>
      <c r="BI47">
        <f t="shared" si="46"/>
        <v>166.25384807427426</v>
      </c>
      <c r="BJ47">
        <f t="shared" si="31"/>
        <v>0</v>
      </c>
      <c r="BK47">
        <f t="shared" si="47"/>
        <v>0</v>
      </c>
      <c r="BM47">
        <f t="shared" si="48"/>
        <v>29.541484379057618</v>
      </c>
      <c r="BN47">
        <f t="shared" si="32"/>
        <v>-27.896377308913156</v>
      </c>
      <c r="BQ47" s="66">
        <f t="shared" si="49"/>
        <v>11.613405521665383</v>
      </c>
      <c r="BR47" s="68"/>
      <c r="BS47" s="68"/>
      <c r="BT47" s="68">
        <v>234.423</v>
      </c>
      <c r="BU47" s="68">
        <v>27.670300000000001</v>
      </c>
      <c r="BV47" s="68">
        <v>-266.76120000000003</v>
      </c>
      <c r="BW47" s="75"/>
      <c r="BY47" s="68"/>
      <c r="BZ47" s="68"/>
      <c r="CA47" s="68"/>
      <c r="CC47" s="68"/>
    </row>
    <row r="48" spans="1:81" ht="13" x14ac:dyDescent="0.3">
      <c r="A48">
        <f t="shared" si="54"/>
        <v>7000</v>
      </c>
      <c r="B48">
        <f t="shared" si="33"/>
        <v>7</v>
      </c>
      <c r="C48">
        <f t="shared" si="0"/>
        <v>1.0000024180501492</v>
      </c>
      <c r="D48">
        <f t="shared" si="1"/>
        <v>2.1991113099593318E-3</v>
      </c>
      <c r="F48">
        <f t="shared" si="2"/>
        <v>2.3122847575622036</v>
      </c>
      <c r="G48">
        <f t="shared" si="3"/>
        <v>-0.62469410466166986</v>
      </c>
      <c r="H48">
        <f t="shared" si="4"/>
        <v>-0.62469410466166986</v>
      </c>
      <c r="J48">
        <f t="shared" si="5"/>
        <v>15</v>
      </c>
      <c r="M48">
        <f t="shared" si="6"/>
        <v>0.15691111433871277</v>
      </c>
      <c r="N48">
        <f t="shared" si="7"/>
        <v>-1.5707963250000001</v>
      </c>
      <c r="O48">
        <f t="shared" si="8"/>
        <v>2.6097709329752625</v>
      </c>
      <c r="P48">
        <f t="shared" si="9"/>
        <v>1.1775646931746668</v>
      </c>
      <c r="Q48">
        <f t="shared" si="10"/>
        <v>1.3628080846921298</v>
      </c>
      <c r="R48">
        <f t="shared" si="11"/>
        <v>0.74692854938933029</v>
      </c>
      <c r="S48">
        <f t="shared" si="12"/>
        <v>0.99999747439182252</v>
      </c>
      <c r="T48">
        <f t="shared" si="13"/>
        <v>-2.2474915976119893E-3</v>
      </c>
      <c r="U48">
        <f t="shared" si="14"/>
        <v>0.9993902971565356</v>
      </c>
      <c r="V48">
        <f t="shared" si="15"/>
        <v>-3.4921764268122352E-2</v>
      </c>
      <c r="X48">
        <f t="shared" si="34"/>
        <v>25.731169101182033</v>
      </c>
      <c r="Y48">
        <f t="shared" si="16"/>
        <v>-17.530636792653759</v>
      </c>
      <c r="Z48">
        <f t="shared" si="35"/>
        <v>162.46936320734625</v>
      </c>
      <c r="AC48">
        <v>1</v>
      </c>
      <c r="AD48">
        <f t="shared" si="17"/>
        <v>2.4105817394568003</v>
      </c>
      <c r="AE48">
        <f t="shared" si="18"/>
        <v>-1.0602292224862379E-5</v>
      </c>
      <c r="AF48">
        <f t="shared" si="19"/>
        <v>3.0347784999000001E-4</v>
      </c>
      <c r="AG48">
        <f t="shared" si="36"/>
        <v>7818.527050486442</v>
      </c>
      <c r="AH48">
        <f t="shared" si="37"/>
        <v>-3568.2812060021233</v>
      </c>
      <c r="AJ48">
        <f t="shared" si="20"/>
        <v>21000</v>
      </c>
      <c r="AK48">
        <f t="shared" si="21"/>
        <v>47.197403018010007</v>
      </c>
      <c r="AL48">
        <v>1</v>
      </c>
      <c r="AM48">
        <f t="shared" si="22"/>
        <v>0.92587573448180993</v>
      </c>
      <c r="AN48">
        <f t="shared" si="38"/>
        <v>11330.593975462856</v>
      </c>
      <c r="AO48">
        <f t="shared" si="39"/>
        <v>-10443.524616128832</v>
      </c>
      <c r="AQ48">
        <f t="shared" si="23"/>
        <v>50.761421319796952</v>
      </c>
      <c r="AR48">
        <f t="shared" si="24"/>
        <v>-710.65989847715741</v>
      </c>
      <c r="AT48">
        <f t="shared" si="52"/>
        <v>-2138954.8138854462</v>
      </c>
      <c r="AU48">
        <f t="shared" si="53"/>
        <v>-5737444.6656249911</v>
      </c>
      <c r="AV48">
        <f t="shared" si="42"/>
        <v>-1.9276422598979583</v>
      </c>
      <c r="AW48">
        <f t="shared" si="25"/>
        <v>-6793272.5525684506</v>
      </c>
      <c r="AX48">
        <f t="shared" si="26"/>
        <v>-8677727.8733795155</v>
      </c>
      <c r="AY48">
        <f t="shared" si="50"/>
        <v>-2.234985924762662</v>
      </c>
      <c r="BA48">
        <f t="shared" si="27"/>
        <v>0.55561753316568696</v>
      </c>
      <c r="BB48">
        <f t="shared" si="43"/>
        <v>-5.1044811608855714</v>
      </c>
      <c r="BC48">
        <f t="shared" si="44"/>
        <v>0.30734366486470366</v>
      </c>
      <c r="BD48">
        <f t="shared" si="28"/>
        <v>-162.39050512304749</v>
      </c>
      <c r="BF48">
        <f t="shared" si="29"/>
        <v>25.698191350119885</v>
      </c>
      <c r="BG48">
        <f t="shared" si="30"/>
        <v>-18.056841050879473</v>
      </c>
      <c r="BH48">
        <f t="shared" si="45"/>
        <v>161.94315894912052</v>
      </c>
      <c r="BI48">
        <f t="shared" si="46"/>
        <v>161.94315894912052</v>
      </c>
      <c r="BJ48">
        <f t="shared" si="31"/>
        <v>0</v>
      </c>
      <c r="BK48">
        <f t="shared" si="47"/>
        <v>0</v>
      </c>
      <c r="BM48">
        <f t="shared" si="48"/>
        <v>30.802672511005458</v>
      </c>
      <c r="BN48">
        <f t="shared" si="32"/>
        <v>-35.666335927831987</v>
      </c>
      <c r="BQ48" s="66">
        <f t="shared" si="49"/>
        <v>11.797479639399565</v>
      </c>
      <c r="BR48" s="68"/>
      <c r="BS48" s="68"/>
      <c r="BT48" s="68">
        <v>239.88300000000001</v>
      </c>
      <c r="BU48" s="68">
        <v>27.2761</v>
      </c>
      <c r="BV48" s="68">
        <v>-267.59569999999997</v>
      </c>
      <c r="BW48" s="75"/>
      <c r="BY48" s="68"/>
      <c r="BZ48" s="68"/>
      <c r="CA48" s="68"/>
      <c r="CC48" s="68"/>
    </row>
    <row r="49" spans="1:81" ht="13" x14ac:dyDescent="0.3">
      <c r="A49">
        <f t="shared" si="54"/>
        <v>7500</v>
      </c>
      <c r="B49">
        <f t="shared" si="33"/>
        <v>7.5</v>
      </c>
      <c r="C49">
        <f t="shared" si="0"/>
        <v>1.0000027758223788</v>
      </c>
      <c r="D49">
        <f t="shared" si="1"/>
        <v>2.356190127256881E-3</v>
      </c>
      <c r="F49">
        <f t="shared" si="2"/>
        <v>2.6952690840985309</v>
      </c>
      <c r="G49">
        <f t="shared" si="3"/>
        <v>-0.81892501889374558</v>
      </c>
      <c r="H49">
        <f t="shared" si="4"/>
        <v>-0.81892501889374558</v>
      </c>
      <c r="J49">
        <f t="shared" si="5"/>
        <v>15</v>
      </c>
      <c r="M49">
        <f t="shared" si="6"/>
        <v>0.14645037338279859</v>
      </c>
      <c r="N49">
        <f t="shared" si="7"/>
        <v>-1.5707963250000001</v>
      </c>
      <c r="O49">
        <f t="shared" si="8"/>
        <v>2.7695994263754971</v>
      </c>
      <c r="P49">
        <f t="shared" si="9"/>
        <v>1.2013887414453994</v>
      </c>
      <c r="Q49">
        <f t="shared" si="10"/>
        <v>1.4085749095020053</v>
      </c>
      <c r="R49">
        <f t="shared" si="11"/>
        <v>0.78138701748344053</v>
      </c>
      <c r="S49">
        <f t="shared" si="12"/>
        <v>0.99999710070652337</v>
      </c>
      <c r="T49">
        <f t="shared" si="13"/>
        <v>-2.4080261118290241E-3</v>
      </c>
      <c r="U49">
        <f t="shared" si="14"/>
        <v>0.99930018069810556</v>
      </c>
      <c r="V49">
        <f t="shared" si="15"/>
        <v>-3.7413926328034079E-2</v>
      </c>
      <c r="X49">
        <f t="shared" si="34"/>
        <v>27.2655338637827</v>
      </c>
      <c r="Y49">
        <f t="shared" si="16"/>
        <v>-25.46289459581978</v>
      </c>
      <c r="Z49">
        <f t="shared" si="35"/>
        <v>154.53710540418021</v>
      </c>
      <c r="AC49">
        <v>1</v>
      </c>
      <c r="AD49">
        <f t="shared" si="17"/>
        <v>2.5827661494180001</v>
      </c>
      <c r="AE49">
        <f t="shared" si="18"/>
        <v>-1.2170998727520587E-5</v>
      </c>
      <c r="AF49">
        <f t="shared" si="19"/>
        <v>3.25154839275E-4</v>
      </c>
      <c r="AG49">
        <f t="shared" si="36"/>
        <v>7817.1170984316104</v>
      </c>
      <c r="AH49">
        <f t="shared" si="37"/>
        <v>-3368.0634269498696</v>
      </c>
      <c r="AJ49">
        <f t="shared" si="20"/>
        <v>21000</v>
      </c>
      <c r="AK49">
        <f t="shared" si="21"/>
        <v>50.568646090724997</v>
      </c>
      <c r="AL49">
        <v>1</v>
      </c>
      <c r="AM49">
        <f t="shared" si="22"/>
        <v>0.99200971551622508</v>
      </c>
      <c r="AN49">
        <f t="shared" si="38"/>
        <v>10609.516670122162</v>
      </c>
      <c r="AO49">
        <f t="shared" si="39"/>
        <v>-10474.174967601808</v>
      </c>
      <c r="AQ49">
        <f t="shared" si="23"/>
        <v>44.247787610619469</v>
      </c>
      <c r="AR49">
        <f t="shared" si="24"/>
        <v>-663.71681415929208</v>
      </c>
      <c r="AT49">
        <f t="shared" si="52"/>
        <v>-1889550.1905228512</v>
      </c>
      <c r="AU49">
        <f t="shared" si="53"/>
        <v>-5337381.4116559308</v>
      </c>
      <c r="AV49">
        <f t="shared" si="42"/>
        <v>-1.9110496746966039</v>
      </c>
      <c r="AW49">
        <f t="shared" si="25"/>
        <v>-6432239.6673827292</v>
      </c>
      <c r="AX49">
        <f t="shared" si="26"/>
        <v>-7597423.4966911515</v>
      </c>
      <c r="AY49">
        <f t="shared" si="50"/>
        <v>-2.2733332069323144</v>
      </c>
      <c r="BA49">
        <f t="shared" si="27"/>
        <v>0.56877905850390031</v>
      </c>
      <c r="BB49">
        <f t="shared" si="43"/>
        <v>-4.9011280396454113</v>
      </c>
      <c r="BC49">
        <f t="shared" si="44"/>
        <v>0.36228353223571053</v>
      </c>
      <c r="BD49">
        <f t="shared" si="28"/>
        <v>-159.24268259208338</v>
      </c>
      <c r="BF49">
        <f t="shared" si="29"/>
        <v>27.232763847612201</v>
      </c>
      <c r="BG49">
        <f t="shared" si="30"/>
        <v>-26.028630215804736</v>
      </c>
      <c r="BH49">
        <f t="shared" si="45"/>
        <v>153.97136978419528</v>
      </c>
      <c r="BI49">
        <f t="shared" si="46"/>
        <v>153.97136978419528</v>
      </c>
      <c r="BJ49">
        <f t="shared" si="31"/>
        <v>0</v>
      </c>
      <c r="BK49">
        <f t="shared" si="47"/>
        <v>0</v>
      </c>
      <c r="BM49">
        <f t="shared" si="48"/>
        <v>32.133891887257612</v>
      </c>
      <c r="BN49">
        <f t="shared" si="32"/>
        <v>-46.785947623721349</v>
      </c>
      <c r="BQ49" s="66">
        <f t="shared" si="49"/>
        <v>12.000832760639726</v>
      </c>
      <c r="BR49" s="68"/>
      <c r="BS49" s="68"/>
      <c r="BT49" s="68">
        <v>245.471</v>
      </c>
      <c r="BU49" s="68">
        <v>27.075500000000002</v>
      </c>
      <c r="BV49" s="68">
        <v>-266.80959999999999</v>
      </c>
      <c r="BW49" s="75"/>
      <c r="BY49" s="68"/>
      <c r="BZ49" s="68"/>
      <c r="CA49" s="68"/>
      <c r="CC49" s="68"/>
    </row>
    <row r="50" spans="1:81" ht="13" x14ac:dyDescent="0.3">
      <c r="A50">
        <f t="shared" si="54"/>
        <v>8000</v>
      </c>
      <c r="B50">
        <f t="shared" si="33"/>
        <v>8</v>
      </c>
      <c r="C50">
        <f t="shared" si="0"/>
        <v>1.0000031582684139</v>
      </c>
      <c r="D50">
        <f t="shared" si="1"/>
        <v>2.5132688282821867E-3</v>
      </c>
      <c r="F50">
        <f t="shared" si="2"/>
        <v>3.0736449387944051</v>
      </c>
      <c r="G50">
        <f t="shared" si="3"/>
        <v>-1.0940247866899868</v>
      </c>
      <c r="H50">
        <f t="shared" si="4"/>
        <v>-1.0940247866899868</v>
      </c>
      <c r="J50">
        <f t="shared" si="5"/>
        <v>15</v>
      </c>
      <c r="M50">
        <f t="shared" si="6"/>
        <v>0.13729722504637368</v>
      </c>
      <c r="N50">
        <f t="shared" si="7"/>
        <v>-1.5707963250000001</v>
      </c>
      <c r="O50">
        <f t="shared" si="8"/>
        <v>2.9308279691281385</v>
      </c>
      <c r="P50">
        <f t="shared" si="9"/>
        <v>1.2226025728612655</v>
      </c>
      <c r="Q50">
        <f t="shared" si="10"/>
        <v>1.4559079924740619</v>
      </c>
      <c r="R50">
        <f t="shared" si="11"/>
        <v>0.8136412039641413</v>
      </c>
      <c r="S50">
        <f t="shared" si="12"/>
        <v>0.9999967012502875</v>
      </c>
      <c r="T50">
        <f t="shared" si="13"/>
        <v>-2.5685605019298433E-3</v>
      </c>
      <c r="U50">
        <f t="shared" si="14"/>
        <v>0.99920387626397311</v>
      </c>
      <c r="V50">
        <f t="shared" si="15"/>
        <v>-3.9905623512472725E-2</v>
      </c>
      <c r="X50">
        <f t="shared" si="34"/>
        <v>28.623700453765572</v>
      </c>
      <c r="Y50">
        <f t="shared" si="16"/>
        <v>-38.304420214736005</v>
      </c>
      <c r="Z50">
        <f t="shared" si="35"/>
        <v>141.69557978526399</v>
      </c>
      <c r="AC50">
        <v>1</v>
      </c>
      <c r="AD50">
        <f t="shared" si="17"/>
        <v>2.7549505593792003</v>
      </c>
      <c r="AE50">
        <f t="shared" si="18"/>
        <v>-1.3847891885534534E-5</v>
      </c>
      <c r="AF50">
        <f t="shared" si="19"/>
        <v>3.4683182856000004E-4</v>
      </c>
      <c r="AG50">
        <f t="shared" si="36"/>
        <v>7815.6104705378757</v>
      </c>
      <c r="AH50">
        <f t="shared" si="37"/>
        <v>-3195.2941960854164</v>
      </c>
      <c r="AJ50">
        <f t="shared" si="20"/>
        <v>21000</v>
      </c>
      <c r="AK50">
        <f t="shared" si="21"/>
        <v>53.93988916344</v>
      </c>
      <c r="AL50">
        <v>1</v>
      </c>
      <c r="AM50">
        <f t="shared" si="22"/>
        <v>1.0581436965506401</v>
      </c>
      <c r="AN50">
        <f t="shared" si="38"/>
        <v>9934.1384281166993</v>
      </c>
      <c r="AO50">
        <f t="shared" si="39"/>
        <v>-10457.80606920973</v>
      </c>
      <c r="AQ50">
        <f t="shared" si="23"/>
        <v>38.910505836575872</v>
      </c>
      <c r="AR50">
        <f t="shared" si="24"/>
        <v>-622.56809338521396</v>
      </c>
      <c r="AT50">
        <f t="shared" si="52"/>
        <v>-1685178.8586314702</v>
      </c>
      <c r="AU50">
        <f t="shared" si="53"/>
        <v>-4990080.2227506386</v>
      </c>
      <c r="AV50">
        <f t="shared" si="42"/>
        <v>-1.8964768942450432</v>
      </c>
      <c r="AW50">
        <f t="shared" si="25"/>
        <v>-6076920.5591277592</v>
      </c>
      <c r="AX50">
        <f t="shared" si="26"/>
        <v>-6680900.3339603525</v>
      </c>
      <c r="AY50">
        <f t="shared" si="50"/>
        <v>-2.3088878881528494</v>
      </c>
      <c r="BA50">
        <f t="shared" si="27"/>
        <v>0.58319163891638681</v>
      </c>
      <c r="BB50">
        <f t="shared" si="43"/>
        <v>-4.6837742204993535</v>
      </c>
      <c r="BC50">
        <f t="shared" si="44"/>
        <v>0.41241099390780622</v>
      </c>
      <c r="BD50">
        <f t="shared" si="28"/>
        <v>-156.37059059728665</v>
      </c>
      <c r="BF50">
        <f t="shared" si="29"/>
        <v>28.591152337878796</v>
      </c>
      <c r="BG50">
        <f t="shared" si="30"/>
        <v>-38.909593932141931</v>
      </c>
      <c r="BH50">
        <f t="shared" si="45"/>
        <v>141.09040606785805</v>
      </c>
      <c r="BI50">
        <f t="shared" si="46"/>
        <v>141.09040606785805</v>
      </c>
      <c r="BJ50">
        <f t="shared" si="31"/>
        <v>0</v>
      </c>
      <c r="BK50">
        <f t="shared" si="47"/>
        <v>0</v>
      </c>
      <c r="BM50">
        <f t="shared" si="48"/>
        <v>33.274926558378148</v>
      </c>
      <c r="BN50">
        <f t="shared" si="32"/>
        <v>-62.539003334855266</v>
      </c>
      <c r="BQ50" s="66">
        <f t="shared" si="49"/>
        <v>12.218186579785783</v>
      </c>
      <c r="BR50" s="68"/>
      <c r="BS50" s="68"/>
      <c r="BT50" s="68">
        <v>251.18899999999999</v>
      </c>
      <c r="BU50" s="68">
        <v>27.043399999999998</v>
      </c>
      <c r="BV50" s="68">
        <v>-265.9205</v>
      </c>
      <c r="BW50" s="75"/>
      <c r="BY50" s="68"/>
      <c r="BZ50" s="68"/>
      <c r="CA50" s="68"/>
      <c r="CC50" s="68"/>
    </row>
    <row r="51" spans="1:81" ht="13" x14ac:dyDescent="0.3">
      <c r="A51">
        <f t="shared" si="54"/>
        <v>8500</v>
      </c>
      <c r="B51">
        <f t="shared" si="33"/>
        <v>8.5</v>
      </c>
      <c r="C51">
        <f t="shared" si="0"/>
        <v>1.0000035653882258</v>
      </c>
      <c r="D51">
        <f t="shared" si="1"/>
        <v>2.6703474052839561E-3</v>
      </c>
      <c r="F51">
        <f t="shared" si="2"/>
        <v>3.230675937893162</v>
      </c>
      <c r="G51">
        <f t="shared" si="3"/>
        <v>-1.4461384986884616</v>
      </c>
      <c r="H51">
        <f t="shared" si="4"/>
        <v>-1.4461384986884616</v>
      </c>
      <c r="J51">
        <f t="shared" si="5"/>
        <v>15</v>
      </c>
      <c r="M51">
        <f t="shared" si="6"/>
        <v>0.12922091769070465</v>
      </c>
      <c r="N51">
        <f t="shared" si="7"/>
        <v>-1.5707963250000001</v>
      </c>
      <c r="O51">
        <f t="shared" si="8"/>
        <v>3.0932376450469214</v>
      </c>
      <c r="P51">
        <f t="shared" si="9"/>
        <v>1.2415965681618524</v>
      </c>
      <c r="Q51">
        <f t="shared" si="10"/>
        <v>1.50465952837047</v>
      </c>
      <c r="R51">
        <f t="shared" si="11"/>
        <v>0.84383505356294763</v>
      </c>
      <c r="S51">
        <f t="shared" si="12"/>
        <v>0.99999627602320773</v>
      </c>
      <c r="T51">
        <f t="shared" si="13"/>
        <v>-2.7290947596402444E-3</v>
      </c>
      <c r="U51">
        <f t="shared" si="14"/>
        <v>0.99910138922988745</v>
      </c>
      <c r="V51">
        <f t="shared" si="15"/>
        <v>-4.2396825020861263E-2</v>
      </c>
      <c r="X51">
        <f t="shared" si="34"/>
        <v>29.283569953406804</v>
      </c>
      <c r="Y51">
        <f t="shared" si="16"/>
        <v>-55.803727253117373</v>
      </c>
      <c r="Z51">
        <f t="shared" si="35"/>
        <v>124.19627274688263</v>
      </c>
      <c r="AC51">
        <v>1</v>
      </c>
      <c r="AD51">
        <f t="shared" si="17"/>
        <v>2.9271349693404001</v>
      </c>
      <c r="AE51">
        <f t="shared" si="18"/>
        <v>-1.5632971698904223E-5</v>
      </c>
      <c r="AF51">
        <f t="shared" si="19"/>
        <v>3.6850881784499998E-4</v>
      </c>
      <c r="AG51">
        <f t="shared" si="36"/>
        <v>7814.0072788829511</v>
      </c>
      <c r="AH51">
        <f t="shared" si="37"/>
        <v>-3045.1270100076777</v>
      </c>
      <c r="AJ51">
        <f t="shared" si="20"/>
        <v>21000</v>
      </c>
      <c r="AK51">
        <f t="shared" si="21"/>
        <v>57.311132236155004</v>
      </c>
      <c r="AL51">
        <v>1</v>
      </c>
      <c r="AM51">
        <f t="shared" si="22"/>
        <v>1.1242776775850549</v>
      </c>
      <c r="AN51">
        <f t="shared" si="38"/>
        <v>9304.0772392680501</v>
      </c>
      <c r="AO51">
        <f t="shared" si="39"/>
        <v>-10403.055218400099</v>
      </c>
      <c r="AQ51">
        <f t="shared" si="23"/>
        <v>34.482758620689658</v>
      </c>
      <c r="AR51">
        <f t="shared" si="24"/>
        <v>-586.20689655172418</v>
      </c>
      <c r="AT51">
        <f t="shared" si="52"/>
        <v>-1515625.927284399</v>
      </c>
      <c r="AU51">
        <f t="shared" si="53"/>
        <v>-4685629.3362419959</v>
      </c>
      <c r="AV51">
        <f t="shared" si="42"/>
        <v>-1.8836370877330793</v>
      </c>
      <c r="AW51">
        <f t="shared" si="25"/>
        <v>-5733045.3781939391</v>
      </c>
      <c r="AX51">
        <f t="shared" si="26"/>
        <v>-5899369.565353523</v>
      </c>
      <c r="AY51">
        <f t="shared" si="50"/>
        <v>-2.3418971276255141</v>
      </c>
      <c r="BA51">
        <f t="shared" si="27"/>
        <v>0.59865510344161021</v>
      </c>
      <c r="BB51">
        <f t="shared" si="43"/>
        <v>-4.4564662170325944</v>
      </c>
      <c r="BC51">
        <f t="shared" si="44"/>
        <v>0.4582600398924348</v>
      </c>
      <c r="BD51">
        <f t="shared" si="28"/>
        <v>-153.74363376466448</v>
      </c>
      <c r="BF51">
        <f t="shared" si="29"/>
        <v>29.251257873862613</v>
      </c>
      <c r="BG51">
        <f t="shared" si="30"/>
        <v>-56.448266789245785</v>
      </c>
      <c r="BH51">
        <f t="shared" si="45"/>
        <v>123.55173321075421</v>
      </c>
      <c r="BI51">
        <f t="shared" si="46"/>
        <v>123.55173321075421</v>
      </c>
      <c r="BJ51">
        <f t="shared" si="31"/>
        <v>0</v>
      </c>
      <c r="BK51">
        <f t="shared" si="47"/>
        <v>0</v>
      </c>
      <c r="BM51">
        <f t="shared" si="48"/>
        <v>33.707724090895212</v>
      </c>
      <c r="BN51">
        <f t="shared" si="32"/>
        <v>-82.704633024581312</v>
      </c>
      <c r="BQ51" s="66">
        <f t="shared" si="49"/>
        <v>12.445494583252543</v>
      </c>
      <c r="BR51" s="68"/>
      <c r="BS51" s="68"/>
      <c r="BT51" s="68">
        <v>257.04000000000002</v>
      </c>
      <c r="BU51" s="68">
        <v>26.677600000000002</v>
      </c>
      <c r="BV51" s="68">
        <v>-267.60309999999998</v>
      </c>
      <c r="BW51" s="75"/>
      <c r="BY51" s="68"/>
      <c r="BZ51" s="68"/>
      <c r="CA51" s="68"/>
      <c r="CC51" s="68"/>
    </row>
    <row r="52" spans="1:81" ht="13" x14ac:dyDescent="0.3">
      <c r="A52">
        <f t="shared" si="54"/>
        <v>9000</v>
      </c>
      <c r="B52">
        <f t="shared" si="33"/>
        <v>9</v>
      </c>
      <c r="C52">
        <f t="shared" si="0"/>
        <v>1.0000039971817845</v>
      </c>
      <c r="D52">
        <f t="shared" si="1"/>
        <v>2.8274258505109327E-3</v>
      </c>
      <c r="F52">
        <f t="shared" si="2"/>
        <v>2.9880405003434327</v>
      </c>
      <c r="G52">
        <f t="shared" si="3"/>
        <v>1.3323365425924769</v>
      </c>
      <c r="H52">
        <f t="shared" si="4"/>
        <v>-1.8092561074075233</v>
      </c>
      <c r="J52">
        <f t="shared" si="5"/>
        <v>15</v>
      </c>
      <c r="M52">
        <f t="shared" si="6"/>
        <v>0.12204197781899881</v>
      </c>
      <c r="N52">
        <f t="shared" si="7"/>
        <v>-1.5707963250000001</v>
      </c>
      <c r="O52">
        <f t="shared" si="8"/>
        <v>3.2566517490997491</v>
      </c>
      <c r="P52">
        <f t="shared" si="9"/>
        <v>1.2586900434911876</v>
      </c>
      <c r="Q52">
        <f t="shared" si="10"/>
        <v>1.5546960850845279</v>
      </c>
      <c r="R52">
        <f t="shared" si="11"/>
        <v>0.87210980465007981</v>
      </c>
      <c r="S52">
        <f t="shared" si="12"/>
        <v>0.99999582502538265</v>
      </c>
      <c r="T52">
        <f t="shared" si="13"/>
        <v>-2.8896288766860657E-3</v>
      </c>
      <c r="U52">
        <f t="shared" si="14"/>
        <v>0.99899272531367678</v>
      </c>
      <c r="V52">
        <f t="shared" si="15"/>
        <v>-4.4887500089484896E-2</v>
      </c>
      <c r="X52">
        <f t="shared" si="34"/>
        <v>28.839320980887557</v>
      </c>
      <c r="Y52">
        <f t="shared" si="16"/>
        <v>-74.152328987892432</v>
      </c>
      <c r="Z52">
        <f t="shared" si="35"/>
        <v>105.84767101210757</v>
      </c>
      <c r="AC52">
        <v>1</v>
      </c>
      <c r="AD52">
        <f t="shared" si="17"/>
        <v>3.0993193793016003</v>
      </c>
      <c r="AE52">
        <f t="shared" si="18"/>
        <v>-1.7526238167629649E-5</v>
      </c>
      <c r="AF52">
        <f t="shared" si="19"/>
        <v>3.9018580712999997E-4</v>
      </c>
      <c r="AG52">
        <f t="shared" si="36"/>
        <v>7812.3076426566749</v>
      </c>
      <c r="AH52">
        <f t="shared" si="37"/>
        <v>-2913.7922077345097</v>
      </c>
      <c r="AJ52">
        <f t="shared" si="20"/>
        <v>21000</v>
      </c>
      <c r="AK52">
        <f t="shared" si="21"/>
        <v>60.68237530887</v>
      </c>
      <c r="AL52">
        <v>1</v>
      </c>
      <c r="AM52">
        <f t="shared" si="22"/>
        <v>1.19041165861947</v>
      </c>
      <c r="AN52">
        <f t="shared" si="38"/>
        <v>8718.055559120161</v>
      </c>
      <c r="AO52">
        <f t="shared" si="39"/>
        <v>-10317.39260276005</v>
      </c>
      <c r="AQ52">
        <f t="shared" si="23"/>
        <v>30.76923076923077</v>
      </c>
      <c r="AR52">
        <f t="shared" si="24"/>
        <v>-553.84615384615381</v>
      </c>
      <c r="AT52">
        <f t="shared" si="52"/>
        <v>-1373413.910663523</v>
      </c>
      <c r="AU52">
        <f t="shared" si="53"/>
        <v>-4416471.6854016809</v>
      </c>
      <c r="AV52">
        <f t="shared" si="42"/>
        <v>-1.8722916049423735</v>
      </c>
      <c r="AW52">
        <f t="shared" si="25"/>
        <v>-5404106.3882643851</v>
      </c>
      <c r="AX52">
        <f t="shared" si="26"/>
        <v>-5229821.1241357485</v>
      </c>
      <c r="AY52">
        <f t="shared" si="50"/>
        <v>-2.3725825708046626</v>
      </c>
      <c r="BA52">
        <f t="shared" si="27"/>
        <v>0.61501184096061101</v>
      </c>
      <c r="BB52">
        <f t="shared" si="43"/>
        <v>-4.2223304515047069</v>
      </c>
      <c r="BC52">
        <f t="shared" si="44"/>
        <v>0.50029096586228916</v>
      </c>
      <c r="BD52">
        <f t="shared" si="28"/>
        <v>-151.33543909481324</v>
      </c>
      <c r="BF52">
        <f t="shared" si="29"/>
        <v>28.807259042118893</v>
      </c>
      <c r="BG52">
        <f t="shared" si="30"/>
        <v>-74.836178657678659</v>
      </c>
      <c r="BH52">
        <f t="shared" si="45"/>
        <v>105.16382134232134</v>
      </c>
      <c r="BI52">
        <f t="shared" si="46"/>
        <v>105.16382134232134</v>
      </c>
      <c r="BJ52">
        <f t="shared" si="31"/>
        <v>0</v>
      </c>
      <c r="BK52">
        <f t="shared" si="47"/>
        <v>0</v>
      </c>
      <c r="BM52">
        <f t="shared" si="48"/>
        <v>33.029589493623604</v>
      </c>
      <c r="BN52">
        <f t="shared" si="32"/>
        <v>-103.50073956286542</v>
      </c>
      <c r="BQ52" s="66">
        <f t="shared" si="49"/>
        <v>12.679630348780428</v>
      </c>
      <c r="BR52" s="68"/>
      <c r="BS52" s="68"/>
      <c r="BT52" s="68">
        <v>263.02699999999999</v>
      </c>
      <c r="BU52" s="68">
        <v>26.270299999999999</v>
      </c>
      <c r="BV52" s="68">
        <v>-267.3229</v>
      </c>
      <c r="BW52" s="75"/>
      <c r="BY52" s="68"/>
      <c r="BZ52" s="68"/>
      <c r="CA52" s="68"/>
      <c r="CC52" s="68"/>
    </row>
    <row r="53" spans="1:81" ht="13" x14ac:dyDescent="0.3">
      <c r="A53">
        <f t="shared" si="54"/>
        <v>9500</v>
      </c>
      <c r="B53">
        <f t="shared" si="33"/>
        <v>9.5</v>
      </c>
      <c r="C53">
        <f t="shared" si="0"/>
        <v>1.0000044536490584</v>
      </c>
      <c r="D53">
        <f t="shared" si="1"/>
        <v>2.9845041562118996E-3</v>
      </c>
      <c r="F53">
        <f t="shared" si="2"/>
        <v>2.5065700313249515</v>
      </c>
      <c r="G53">
        <f t="shared" si="3"/>
        <v>1.0360834910605019</v>
      </c>
      <c r="H53">
        <f t="shared" si="4"/>
        <v>-2.1055091589394985</v>
      </c>
      <c r="J53">
        <f t="shared" si="5"/>
        <v>15</v>
      </c>
      <c r="M53">
        <f t="shared" si="6"/>
        <v>0.1156187158285252</v>
      </c>
      <c r="N53">
        <f t="shared" si="7"/>
        <v>-1.5707963250000001</v>
      </c>
      <c r="O53">
        <f t="shared" si="8"/>
        <v>3.4209263428435372</v>
      </c>
      <c r="P53">
        <f t="shared" si="9"/>
        <v>1.2741460066918859</v>
      </c>
      <c r="Q53">
        <f t="shared" si="10"/>
        <v>1.605897551070177</v>
      </c>
      <c r="R53">
        <f t="shared" si="11"/>
        <v>0.89860164481729332</v>
      </c>
      <c r="S53">
        <f t="shared" si="12"/>
        <v>0.99999534825691672</v>
      </c>
      <c r="T53">
        <f t="shared" si="13"/>
        <v>-3.0501628447931885E-3</v>
      </c>
      <c r="U53">
        <f t="shared" si="14"/>
        <v>0.99887789057436349</v>
      </c>
      <c r="V53">
        <f t="shared" si="15"/>
        <v>-4.7377617993754763E-2</v>
      </c>
      <c r="X53">
        <f t="shared" si="34"/>
        <v>27.55146233841165</v>
      </c>
      <c r="Y53">
        <f t="shared" si="16"/>
        <v>-88.865817673808834</v>
      </c>
      <c r="Z53">
        <f t="shared" si="35"/>
        <v>91.134182326191166</v>
      </c>
      <c r="AC53">
        <v>1</v>
      </c>
      <c r="AD53">
        <f t="shared" si="17"/>
        <v>3.2715037892628005</v>
      </c>
      <c r="AE53">
        <f t="shared" si="18"/>
        <v>-1.952769129171081E-5</v>
      </c>
      <c r="AF53">
        <f t="shared" si="19"/>
        <v>4.1186279641500001E-4</v>
      </c>
      <c r="AG53">
        <f t="shared" si="36"/>
        <v>7810.5116881389022</v>
      </c>
      <c r="AH53">
        <f t="shared" si="37"/>
        <v>-2798.3135915849393</v>
      </c>
      <c r="AJ53">
        <f t="shared" si="20"/>
        <v>21000</v>
      </c>
      <c r="AK53">
        <f t="shared" si="21"/>
        <v>64.053618381584997</v>
      </c>
      <c r="AL53">
        <v>1</v>
      </c>
      <c r="AM53">
        <f t="shared" si="22"/>
        <v>1.256545639653885</v>
      </c>
      <c r="AN53">
        <f t="shared" si="38"/>
        <v>8174.1942413114948</v>
      </c>
      <c r="AO53">
        <f t="shared" si="39"/>
        <v>-10207.194513222272</v>
      </c>
      <c r="AQ53">
        <f t="shared" si="23"/>
        <v>27.624309392265193</v>
      </c>
      <c r="AR53">
        <f t="shared" si="24"/>
        <v>-524.86187845303868</v>
      </c>
      <c r="AT53">
        <f t="shared" si="52"/>
        <v>-1252968.1367948882</v>
      </c>
      <c r="AU53">
        <f t="shared" si="53"/>
        <v>-4176741.3167465217</v>
      </c>
      <c r="AV53">
        <f t="shared" si="42"/>
        <v>-1.8622412032807203</v>
      </c>
      <c r="AW53">
        <f t="shared" si="25"/>
        <v>-5092054.9702450931</v>
      </c>
      <c r="AX53">
        <f t="shared" si="26"/>
        <v>-4653693.398962751</v>
      </c>
      <c r="AY53">
        <f t="shared" si="50"/>
        <v>-2.4011439681479083</v>
      </c>
      <c r="BA53">
        <f t="shared" si="27"/>
        <v>0.63213552022941411</v>
      </c>
      <c r="BB53">
        <f t="shared" si="43"/>
        <v>-3.9837961122482395</v>
      </c>
      <c r="BC53">
        <f t="shared" si="44"/>
        <v>0.53890276486718802</v>
      </c>
      <c r="BD53">
        <f t="shared" si="28"/>
        <v>-149.12314596989719</v>
      </c>
      <c r="BF53">
        <f t="shared" si="29"/>
        <v>27.519664611043396</v>
      </c>
      <c r="BG53">
        <f t="shared" si="30"/>
        <v>-89.588935148832135</v>
      </c>
      <c r="BH53">
        <f t="shared" si="45"/>
        <v>90.411064851167865</v>
      </c>
      <c r="BI53">
        <f t="shared" si="46"/>
        <v>90.411064851167865</v>
      </c>
      <c r="BJ53">
        <f t="shared" si="31"/>
        <v>0</v>
      </c>
      <c r="BK53">
        <f t="shared" si="47"/>
        <v>0</v>
      </c>
      <c r="BM53">
        <f t="shared" si="48"/>
        <v>31.503460723291635</v>
      </c>
      <c r="BN53">
        <f t="shared" si="32"/>
        <v>-120.46578917893494</v>
      </c>
      <c r="BQ53" s="66">
        <f t="shared" si="49"/>
        <v>12.918164688036898</v>
      </c>
      <c r="BR53" s="68"/>
      <c r="BS53" s="68"/>
      <c r="BT53" s="68">
        <v>269.15300000000002</v>
      </c>
      <c r="BU53" s="68">
        <v>26.235900000000001</v>
      </c>
      <c r="BV53" s="68">
        <v>-265.67700000000002</v>
      </c>
      <c r="BW53" s="75"/>
      <c r="BY53" s="68"/>
      <c r="BZ53" s="68"/>
      <c r="CA53" s="68"/>
      <c r="CC53" s="68"/>
    </row>
    <row r="54" spans="1:81" ht="13" x14ac:dyDescent="0.3">
      <c r="A54">
        <f t="shared" si="54"/>
        <v>10000</v>
      </c>
      <c r="B54">
        <f t="shared" si="33"/>
        <v>10</v>
      </c>
      <c r="C54">
        <f t="shared" si="0"/>
        <v>1.0000049347900131</v>
      </c>
      <c r="D54">
        <f t="shared" si="1"/>
        <v>3.141582314635679E-3</v>
      </c>
      <c r="F54">
        <f t="shared" si="2"/>
        <v>2.0315397884773927</v>
      </c>
      <c r="G54">
        <f t="shared" si="3"/>
        <v>0.82427719331837535</v>
      </c>
      <c r="H54">
        <f t="shared" si="4"/>
        <v>-2.3173154566816248</v>
      </c>
      <c r="J54">
        <f t="shared" si="5"/>
        <v>15</v>
      </c>
      <c r="M54">
        <f t="shared" si="6"/>
        <v>0.10983778003709894</v>
      </c>
      <c r="N54">
        <f t="shared" si="7"/>
        <v>-1.5707963250000001</v>
      </c>
      <c r="O54">
        <f t="shared" si="8"/>
        <v>3.5859431693035289</v>
      </c>
      <c r="P54">
        <f t="shared" si="9"/>
        <v>1.2881825756027852</v>
      </c>
      <c r="Q54">
        <f t="shared" si="10"/>
        <v>1.658156017684749</v>
      </c>
      <c r="R54">
        <f t="shared" si="11"/>
        <v>0.92344018665857908</v>
      </c>
      <c r="S54">
        <f t="shared" si="12"/>
        <v>0.99999484571792041</v>
      </c>
      <c r="T54">
        <f t="shared" si="13"/>
        <v>-3.2106966556875406E-3</v>
      </c>
      <c r="U54">
        <f t="shared" si="14"/>
        <v>0.99875689141122892</v>
      </c>
      <c r="V54">
        <f t="shared" si="15"/>
        <v>-4.9867148050464383E-2</v>
      </c>
      <c r="X54">
        <f t="shared" si="34"/>
        <v>25.967136515750727</v>
      </c>
      <c r="Y54">
        <f t="shared" si="16"/>
        <v>-98.91688240552763</v>
      </c>
      <c r="Z54">
        <f t="shared" si="35"/>
        <v>81.08311759447237</v>
      </c>
      <c r="AC54">
        <v>1</v>
      </c>
      <c r="AD54">
        <f t="shared" si="17"/>
        <v>3.4436881992240003</v>
      </c>
      <c r="AE54">
        <f t="shared" si="18"/>
        <v>-2.1637331071147713E-5</v>
      </c>
      <c r="AF54">
        <f t="shared" si="19"/>
        <v>4.335397857E-4</v>
      </c>
      <c r="AG54">
        <f t="shared" si="36"/>
        <v>7808.6195486761226</v>
      </c>
      <c r="AH54">
        <f t="shared" si="37"/>
        <v>-2696.3100618226404</v>
      </c>
      <c r="AJ54">
        <f t="shared" si="20"/>
        <v>21000</v>
      </c>
      <c r="AK54">
        <f t="shared" si="21"/>
        <v>67.4248614543</v>
      </c>
      <c r="AL54">
        <v>1</v>
      </c>
      <c r="AM54">
        <f t="shared" si="22"/>
        <v>1.3226796206883</v>
      </c>
      <c r="AN54">
        <f t="shared" si="38"/>
        <v>7670.2397955374354</v>
      </c>
      <c r="AO54">
        <f t="shared" si="39"/>
        <v>-10077.845001895459</v>
      </c>
      <c r="AQ54">
        <f t="shared" si="23"/>
        <v>24.937655860349128</v>
      </c>
      <c r="AR54">
        <f t="shared" si="24"/>
        <v>-498.75311720698255</v>
      </c>
      <c r="AT54">
        <f t="shared" si="52"/>
        <v>-1150064.3812413139</v>
      </c>
      <c r="AU54">
        <f t="shared" si="53"/>
        <v>-3961812.9934001272</v>
      </c>
      <c r="AV54">
        <f t="shared" si="42"/>
        <v>-1.8533188303155295</v>
      </c>
      <c r="AW54">
        <f t="shared" si="25"/>
        <v>-4797785.9566722438</v>
      </c>
      <c r="AX54">
        <f t="shared" si="26"/>
        <v>-4155898.2614360233</v>
      </c>
      <c r="AY54">
        <f t="shared" si="50"/>
        <v>-2.4277618376152561</v>
      </c>
      <c r="BA54">
        <f t="shared" si="27"/>
        <v>0.64992331509083023</v>
      </c>
      <c r="BB54">
        <f t="shared" si="43"/>
        <v>-3.742757660914942</v>
      </c>
      <c r="BC54">
        <f t="shared" si="44"/>
        <v>0.57444300729972664</v>
      </c>
      <c r="BD54">
        <f t="shared" si="28"/>
        <v>-147.08684007331416</v>
      </c>
      <c r="BF54">
        <f t="shared" si="29"/>
        <v>25.935617034492321</v>
      </c>
      <c r="BG54">
        <f t="shared" si="30"/>
        <v>-99.679236285489537</v>
      </c>
      <c r="BH54">
        <f t="shared" si="45"/>
        <v>80.320763714510463</v>
      </c>
      <c r="BI54">
        <f t="shared" si="46"/>
        <v>80.320763714510463</v>
      </c>
      <c r="BJ54">
        <f t="shared" si="31"/>
        <v>0</v>
      </c>
      <c r="BK54">
        <f t="shared" si="47"/>
        <v>0</v>
      </c>
      <c r="BM54">
        <f t="shared" si="48"/>
        <v>29.67837469540726</v>
      </c>
      <c r="BN54">
        <f t="shared" si="32"/>
        <v>-132.5923962121754</v>
      </c>
      <c r="BQ54" s="66">
        <f t="shared" si="49"/>
        <v>13.159203139370195</v>
      </c>
      <c r="BR54" s="68"/>
      <c r="BS54" s="68"/>
      <c r="BT54" s="68">
        <v>275.423</v>
      </c>
      <c r="BU54" s="68">
        <v>25.845600000000001</v>
      </c>
      <c r="BV54" s="68">
        <v>-266.46569999999997</v>
      </c>
      <c r="BW54" s="75"/>
      <c r="BY54" s="68"/>
      <c r="BZ54" s="68"/>
      <c r="CA54" s="68"/>
      <c r="CC54" s="68"/>
    </row>
    <row r="55" spans="1:81" ht="13" x14ac:dyDescent="0.3">
      <c r="A55">
        <f t="shared" si="54"/>
        <v>10500</v>
      </c>
      <c r="B55">
        <f t="shared" si="33"/>
        <v>10.5</v>
      </c>
      <c r="C55">
        <f t="shared" si="0"/>
        <v>1.0000054406046135</v>
      </c>
      <c r="D55">
        <f t="shared" si="1"/>
        <v>3.2986603180311402E-3</v>
      </c>
      <c r="F55">
        <f t="shared" si="2"/>
        <v>1.6514014413457268</v>
      </c>
      <c r="G55">
        <f t="shared" si="3"/>
        <v>0.67710158185561709</v>
      </c>
      <c r="H55">
        <f t="shared" si="4"/>
        <v>-2.4644910681443832</v>
      </c>
      <c r="J55">
        <f t="shared" si="5"/>
        <v>15</v>
      </c>
      <c r="M55">
        <f t="shared" si="6"/>
        <v>0.10460740955914186</v>
      </c>
      <c r="N55">
        <f t="shared" si="7"/>
        <v>-1.5707963250000001</v>
      </c>
      <c r="O55">
        <f t="shared" si="8"/>
        <v>3.7516042869492225</v>
      </c>
      <c r="P55">
        <f t="shared" si="9"/>
        <v>1.300981847312688</v>
      </c>
      <c r="Q55">
        <f t="shared" si="10"/>
        <v>1.7113746580833844</v>
      </c>
      <c r="R55">
        <f t="shared" si="11"/>
        <v>0.9467475689575543</v>
      </c>
      <c r="S55">
        <f t="shared" si="12"/>
        <v>0.99999431740851052</v>
      </c>
      <c r="T55">
        <f t="shared" si="13"/>
        <v>-3.3712303010950983E-3</v>
      </c>
      <c r="U55">
        <f t="shared" si="14"/>
        <v>0.99862973456282544</v>
      </c>
      <c r="V55">
        <f t="shared" si="15"/>
        <v>-5.2356059620038434E-2</v>
      </c>
      <c r="X55">
        <f t="shared" si="34"/>
        <v>24.409457483991751</v>
      </c>
      <c r="Y55">
        <f t="shared" si="16"/>
        <v>-105.42346703220863</v>
      </c>
      <c r="Z55">
        <f t="shared" si="35"/>
        <v>74.576532967791366</v>
      </c>
      <c r="AC55">
        <v>1</v>
      </c>
      <c r="AD55">
        <f t="shared" si="17"/>
        <v>3.6158726091852</v>
      </c>
      <c r="AE55">
        <f t="shared" si="18"/>
        <v>-2.3855157505940356E-5</v>
      </c>
      <c r="AF55">
        <f t="shared" si="19"/>
        <v>4.5521677498500004E-4</v>
      </c>
      <c r="AG55">
        <f t="shared" si="36"/>
        <v>7806.6313646567614</v>
      </c>
      <c r="AH55">
        <f t="shared" si="37"/>
        <v>-2605.8539271400723</v>
      </c>
      <c r="AJ55">
        <f t="shared" si="20"/>
        <v>21000</v>
      </c>
      <c r="AK55">
        <f t="shared" si="21"/>
        <v>70.796104527015004</v>
      </c>
      <c r="AL55">
        <v>1</v>
      </c>
      <c r="AM55">
        <f t="shared" si="22"/>
        <v>1.3888136017227151</v>
      </c>
      <c r="AN55">
        <f t="shared" si="38"/>
        <v>7203.7351114830863</v>
      </c>
      <c r="AO55">
        <f t="shared" si="39"/>
        <v>-9933.8492015081956</v>
      </c>
      <c r="AQ55">
        <f t="shared" si="23"/>
        <v>22.624434389140273</v>
      </c>
      <c r="AR55">
        <f t="shared" si="24"/>
        <v>-475.11312217194569</v>
      </c>
      <c r="AT55">
        <f t="shared" si="52"/>
        <v>-1061454.776137664</v>
      </c>
      <c r="AU55">
        <f t="shared" si="53"/>
        <v>-3767988.9725097748</v>
      </c>
      <c r="AV55">
        <f t="shared" si="42"/>
        <v>-1.8453837626201601</v>
      </c>
      <c r="AW55">
        <f t="shared" si="25"/>
        <v>-4521477.4807774695</v>
      </c>
      <c r="AX55">
        <f t="shared" si="26"/>
        <v>-3724091.0228552483</v>
      </c>
      <c r="AY55">
        <f t="shared" si="50"/>
        <v>-2.4525995638761602</v>
      </c>
      <c r="BA55">
        <f t="shared" si="27"/>
        <v>0.66829041318675864</v>
      </c>
      <c r="BB55">
        <f t="shared" si="43"/>
        <v>-3.5006953781531847</v>
      </c>
      <c r="BC55">
        <f t="shared" si="44"/>
        <v>0.60721580125600005</v>
      </c>
      <c r="BD55">
        <f t="shared" si="28"/>
        <v>-145.20909729462221</v>
      </c>
      <c r="BF55">
        <f t="shared" si="29"/>
        <v>24.378230245582181</v>
      </c>
      <c r="BG55">
        <f t="shared" si="30"/>
        <v>-106.22503499384726</v>
      </c>
      <c r="BH55">
        <f t="shared" si="45"/>
        <v>73.77496500615274</v>
      </c>
      <c r="BI55">
        <f t="shared" si="46"/>
        <v>73.77496500615274</v>
      </c>
      <c r="BJ55">
        <f t="shared" si="31"/>
        <v>0</v>
      </c>
      <c r="BK55">
        <f t="shared" si="47"/>
        <v>0</v>
      </c>
      <c r="BM55">
        <f t="shared" si="48"/>
        <v>27.878925623735363</v>
      </c>
      <c r="BN55">
        <f t="shared" si="32"/>
        <v>-141.01593769922508</v>
      </c>
      <c r="BQ55" s="66">
        <f t="shared" si="49"/>
        <v>13.401265422131951</v>
      </c>
      <c r="BR55" s="69"/>
      <c r="BS55" s="69"/>
      <c r="BT55" s="69">
        <v>281.83800000000002</v>
      </c>
      <c r="BU55" s="69">
        <v>26.1068</v>
      </c>
      <c r="BV55" s="69">
        <v>-266.67570000000001</v>
      </c>
      <c r="BW55" s="75"/>
      <c r="BY55" s="69"/>
      <c r="BZ55" s="69"/>
      <c r="CA55" s="69"/>
      <c r="CC55" s="69"/>
    </row>
    <row r="56" spans="1:81" ht="13" x14ac:dyDescent="0.3">
      <c r="A56">
        <f t="shared" si="54"/>
        <v>11000</v>
      </c>
      <c r="B56">
        <f t="shared" si="33"/>
        <v>11</v>
      </c>
      <c r="C56">
        <f t="shared" si="0"/>
        <v>1.000005971092822</v>
      </c>
      <c r="D56">
        <f t="shared" si="1"/>
        <v>3.4557381586471955E-3</v>
      </c>
      <c r="F56">
        <f t="shared" si="2"/>
        <v>1.3635111720571287</v>
      </c>
      <c r="G56">
        <f t="shared" si="3"/>
        <v>0.57275075893441596</v>
      </c>
      <c r="H56">
        <f t="shared" si="4"/>
        <v>-2.5688418910655844</v>
      </c>
      <c r="J56">
        <f t="shared" si="5"/>
        <v>15</v>
      </c>
      <c r="M56">
        <f t="shared" si="6"/>
        <v>9.9852527306453581E-2</v>
      </c>
      <c r="N56">
        <f t="shared" si="7"/>
        <v>-1.5707963250000001</v>
      </c>
      <c r="O56">
        <f t="shared" si="8"/>
        <v>3.9178279671655201</v>
      </c>
      <c r="P56">
        <f t="shared" si="9"/>
        <v>1.3126968225520441</v>
      </c>
      <c r="Q56">
        <f t="shared" si="10"/>
        <v>1.7654666432903272</v>
      </c>
      <c r="R56">
        <f t="shared" si="11"/>
        <v>0.96863802145711109</v>
      </c>
      <c r="S56">
        <f t="shared" si="12"/>
        <v>0.99999376332880952</v>
      </c>
      <c r="T56">
        <f t="shared" si="13"/>
        <v>-3.5317637727418894E-3</v>
      </c>
      <c r="U56">
        <f t="shared" si="14"/>
        <v>0.99849642710593667</v>
      </c>
      <c r="V56">
        <f t="shared" si="15"/>
        <v>-5.4844322108773533E-2</v>
      </c>
      <c r="X56">
        <f t="shared" si="34"/>
        <v>22.987205992689749</v>
      </c>
      <c r="Y56">
        <f t="shared" si="16"/>
        <v>-109.61964453293251</v>
      </c>
      <c r="Z56">
        <f t="shared" si="35"/>
        <v>70.380355467067488</v>
      </c>
      <c r="AC56">
        <v>1</v>
      </c>
      <c r="AD56">
        <f t="shared" si="17"/>
        <v>3.7880570191464003</v>
      </c>
      <c r="AE56">
        <f t="shared" si="18"/>
        <v>-2.6181170596088731E-5</v>
      </c>
      <c r="AF56">
        <f t="shared" si="19"/>
        <v>4.7689376427000003E-4</v>
      </c>
      <c r="AG56">
        <f t="shared" si="36"/>
        <v>7804.5472834852353</v>
      </c>
      <c r="AH56">
        <f t="shared" si="37"/>
        <v>-2525.3678577611227</v>
      </c>
      <c r="AJ56">
        <f t="shared" si="20"/>
        <v>21000</v>
      </c>
      <c r="AK56">
        <f t="shared" si="21"/>
        <v>74.167347599730007</v>
      </c>
      <c r="AL56">
        <v>1</v>
      </c>
      <c r="AM56">
        <f t="shared" si="22"/>
        <v>1.4549475827571301</v>
      </c>
      <c r="AN56">
        <f t="shared" si="38"/>
        <v>6772.1441335674463</v>
      </c>
      <c r="AO56">
        <f t="shared" si="39"/>
        <v>-9778.9473896171039</v>
      </c>
      <c r="AQ56">
        <f t="shared" si="23"/>
        <v>20.618556701030929</v>
      </c>
      <c r="AR56">
        <f t="shared" si="24"/>
        <v>-453.60824742268039</v>
      </c>
      <c r="AT56">
        <f t="shared" si="52"/>
        <v>-984609.18736617442</v>
      </c>
      <c r="AU56">
        <f t="shared" si="53"/>
        <v>-3592276.4555553873</v>
      </c>
      <c r="AV56">
        <f t="shared" si="42"/>
        <v>-1.8383168737249456</v>
      </c>
      <c r="AW56">
        <f t="shared" si="25"/>
        <v>-4262830.6046998911</v>
      </c>
      <c r="AX56">
        <f t="shared" si="26"/>
        <v>-3348114.1364699248</v>
      </c>
      <c r="AY56">
        <f t="shared" si="50"/>
        <v>-2.4758051480907532</v>
      </c>
      <c r="BA56">
        <f t="shared" si="27"/>
        <v>0.68716605004573705</v>
      </c>
      <c r="BB56">
        <f t="shared" si="43"/>
        <v>-3.2587661058301509</v>
      </c>
      <c r="BC56">
        <f t="shared" si="44"/>
        <v>0.63748827436580768</v>
      </c>
      <c r="BD56">
        <f t="shared" si="28"/>
        <v>-143.474612348025</v>
      </c>
      <c r="BF56">
        <f t="shared" si="29"/>
        <v>22.956284953880747</v>
      </c>
      <c r="BG56">
        <f t="shared" si="30"/>
        <v>-110.46041189885112</v>
      </c>
      <c r="BH56">
        <f t="shared" si="45"/>
        <v>69.53958810114888</v>
      </c>
      <c r="BI56">
        <f t="shared" si="46"/>
        <v>69.53958810114888</v>
      </c>
      <c r="BJ56">
        <f t="shared" si="31"/>
        <v>0</v>
      </c>
      <c r="BK56">
        <f t="shared" si="47"/>
        <v>0</v>
      </c>
      <c r="BM56">
        <f t="shared" si="48"/>
        <v>26.215051059710902</v>
      </c>
      <c r="BN56">
        <f t="shared" si="32"/>
        <v>-146.9857995508261</v>
      </c>
      <c r="BQ56" s="66">
        <f t="shared" si="49"/>
        <v>13.643194694454985</v>
      </c>
      <c r="BR56" s="69"/>
      <c r="BS56" s="69"/>
      <c r="BT56" s="69">
        <v>288.40300000000002</v>
      </c>
      <c r="BU56" s="69">
        <v>25.784400000000002</v>
      </c>
      <c r="BV56" s="69">
        <v>-268.05989999999997</v>
      </c>
      <c r="BW56" s="75"/>
      <c r="BY56" s="69"/>
      <c r="BZ56" s="69"/>
      <c r="CA56" s="69"/>
      <c r="CC56" s="69"/>
    </row>
    <row r="57" spans="1:81" ht="13" x14ac:dyDescent="0.3">
      <c r="A57">
        <f t="shared" si="54"/>
        <v>11500</v>
      </c>
      <c r="B57">
        <f t="shared" si="33"/>
        <v>11.5</v>
      </c>
      <c r="C57">
        <f t="shared" si="0"/>
        <v>1.0000065262545992</v>
      </c>
      <c r="D57">
        <f t="shared" si="1"/>
        <v>3.6128158287328073E-3</v>
      </c>
      <c r="F57">
        <f t="shared" si="2"/>
        <v>1.1458072501827263</v>
      </c>
      <c r="G57">
        <f t="shared" si="3"/>
        <v>0.49623410963163056</v>
      </c>
      <c r="H57">
        <f t="shared" si="4"/>
        <v>-2.6453585403683695</v>
      </c>
      <c r="J57">
        <f t="shared" si="5"/>
        <v>15</v>
      </c>
      <c r="M57">
        <f t="shared" si="6"/>
        <v>9.5511113075738202E-2</v>
      </c>
      <c r="N57">
        <f t="shared" si="7"/>
        <v>-1.5707963250000001</v>
      </c>
      <c r="O57">
        <f t="shared" si="8"/>
        <v>4.0845455287975687</v>
      </c>
      <c r="P57">
        <f t="shared" si="9"/>
        <v>1.3234568431724989</v>
      </c>
      <c r="Q57">
        <f t="shared" si="10"/>
        <v>1.8203541204135343</v>
      </c>
      <c r="R57">
        <f t="shared" si="11"/>
        <v>0.98921776342319134</v>
      </c>
      <c r="S57">
        <f t="shared" si="12"/>
        <v>0.99999318347894595</v>
      </c>
      <c r="T57">
        <f t="shared" si="13"/>
        <v>-3.692297062353995E-3</v>
      </c>
      <c r="U57">
        <f t="shared" si="14"/>
        <v>0.99835697645448829</v>
      </c>
      <c r="V57">
        <f t="shared" si="15"/>
        <v>-5.7331904971070415E-2</v>
      </c>
      <c r="X57">
        <f t="shared" si="34"/>
        <v>21.716841696736338</v>
      </c>
      <c r="Y57">
        <f t="shared" si="16"/>
        <v>-112.35081546804822</v>
      </c>
      <c r="Z57">
        <f t="shared" si="35"/>
        <v>67.649184531951775</v>
      </c>
      <c r="AC57">
        <v>1</v>
      </c>
      <c r="AD57">
        <f t="shared" si="17"/>
        <v>3.9602414291076</v>
      </c>
      <c r="AE57">
        <f t="shared" si="18"/>
        <v>-2.8615370341592851E-5</v>
      </c>
      <c r="AF57">
        <f t="shared" si="19"/>
        <v>4.9857075355500002E-4</v>
      </c>
      <c r="AG57">
        <f t="shared" si="36"/>
        <v>7802.3674595547245</v>
      </c>
      <c r="AH57">
        <f t="shared" si="37"/>
        <v>-2453.5487203651346</v>
      </c>
      <c r="AJ57">
        <f t="shared" si="20"/>
        <v>21000</v>
      </c>
      <c r="AK57">
        <f t="shared" si="21"/>
        <v>77.538590672445011</v>
      </c>
      <c r="AL57">
        <v>1</v>
      </c>
      <c r="AM57">
        <f t="shared" si="22"/>
        <v>1.5210815637915451</v>
      </c>
      <c r="AN57">
        <f t="shared" si="38"/>
        <v>6372.9401680060828</v>
      </c>
      <c r="AO57">
        <f t="shared" si="39"/>
        <v>-9616.2232060281985</v>
      </c>
      <c r="AQ57">
        <f t="shared" si="23"/>
        <v>18.867924528301888</v>
      </c>
      <c r="AR57">
        <f t="shared" si="24"/>
        <v>-433.96226415094338</v>
      </c>
      <c r="AT57">
        <f t="shared" si="52"/>
        <v>-917533.07752534666</v>
      </c>
      <c r="AU57">
        <f t="shared" si="53"/>
        <v>-3432226.4205683735</v>
      </c>
      <c r="AV57">
        <f t="shared" si="42"/>
        <v>-1.8320168199968336</v>
      </c>
      <c r="AW57">
        <f t="shared" si="25"/>
        <v>-4021238.4340968616</v>
      </c>
      <c r="AX57">
        <f t="shared" si="26"/>
        <v>-3019567.2410452547</v>
      </c>
      <c r="AY57">
        <f t="shared" si="50"/>
        <v>-2.4975127244142241</v>
      </c>
      <c r="BA57">
        <f t="shared" si="27"/>
        <v>0.70649058609351467</v>
      </c>
      <c r="BB57">
        <f t="shared" si="43"/>
        <v>-3.0178724140261699</v>
      </c>
      <c r="BC57">
        <f t="shared" si="44"/>
        <v>0.66549590441739048</v>
      </c>
      <c r="BD57">
        <f t="shared" si="28"/>
        <v>-141.86989335007189</v>
      </c>
      <c r="BF57">
        <f t="shared" si="29"/>
        <v>21.686240772304295</v>
      </c>
      <c r="BG57">
        <f t="shared" si="30"/>
        <v>-113.23077408587783</v>
      </c>
      <c r="BH57">
        <f t="shared" si="45"/>
        <v>66.769225914122174</v>
      </c>
      <c r="BI57">
        <f t="shared" si="46"/>
        <v>66.769225914122174</v>
      </c>
      <c r="BJ57">
        <f t="shared" si="31"/>
        <v>0</v>
      </c>
      <c r="BK57">
        <f t="shared" si="47"/>
        <v>0</v>
      </c>
      <c r="BM57">
        <f t="shared" si="48"/>
        <v>24.70411318633046</v>
      </c>
      <c r="BN57">
        <f t="shared" si="32"/>
        <v>-151.36088073580595</v>
      </c>
      <c r="BQ57" s="66">
        <f t="shared" si="49"/>
        <v>13.884088386258966</v>
      </c>
      <c r="BR57" s="69"/>
      <c r="BS57" s="69"/>
      <c r="BT57" s="69">
        <v>295.12099999999998</v>
      </c>
      <c r="BU57" s="69">
        <v>25.581099999999999</v>
      </c>
      <c r="BV57" s="69">
        <v>-265.88</v>
      </c>
      <c r="BW57" s="75"/>
      <c r="BY57" s="69"/>
      <c r="BZ57" s="69"/>
      <c r="CA57" s="69"/>
      <c r="CC57" s="69"/>
    </row>
    <row r="58" spans="1:81" ht="13" x14ac:dyDescent="0.3">
      <c r="A58">
        <f t="shared" si="54"/>
        <v>12000</v>
      </c>
      <c r="B58">
        <f t="shared" si="33"/>
        <v>12</v>
      </c>
      <c r="C58">
        <f t="shared" si="0"/>
        <v>1.0000071060899043</v>
      </c>
      <c r="D58">
        <f t="shared" si="1"/>
        <v>3.7698933205369874E-3</v>
      </c>
      <c r="F58">
        <f t="shared" si="2"/>
        <v>0.97860232739174913</v>
      </c>
      <c r="G58">
        <f t="shared" si="3"/>
        <v>0.43820919362512017</v>
      </c>
      <c r="H58">
        <f t="shared" si="4"/>
        <v>-2.7033834563748802</v>
      </c>
      <c r="J58">
        <f t="shared" si="5"/>
        <v>15</v>
      </c>
      <c r="M58">
        <f t="shared" si="6"/>
        <v>9.1531483364249128E-2</v>
      </c>
      <c r="N58">
        <f t="shared" si="7"/>
        <v>-1.5707963250000001</v>
      </c>
      <c r="O58">
        <f t="shared" si="8"/>
        <v>4.2516988740271202</v>
      </c>
      <c r="P58">
        <f t="shared" si="9"/>
        <v>1.3333718884800403</v>
      </c>
      <c r="Q58">
        <f t="shared" si="10"/>
        <v>1.8759672667019458</v>
      </c>
      <c r="R58">
        <f t="shared" si="11"/>
        <v>1.0085851347712915</v>
      </c>
      <c r="S58">
        <f t="shared" si="12"/>
        <v>0.99999257785905415</v>
      </c>
      <c r="T58">
        <f t="shared" si="13"/>
        <v>-3.8528301616575526E-3</v>
      </c>
      <c r="U58">
        <f t="shared" si="14"/>
        <v>0.99821139035840667</v>
      </c>
      <c r="V58">
        <f t="shared" si="15"/>
        <v>-5.9818777711657313E-2</v>
      </c>
      <c r="X58">
        <f t="shared" si="34"/>
        <v>20.585562843789404</v>
      </c>
      <c r="Y58">
        <f t="shared" si="16"/>
        <v>-114.14032467950254</v>
      </c>
      <c r="Z58">
        <f t="shared" si="35"/>
        <v>65.859675320497459</v>
      </c>
      <c r="AC58">
        <v>1</v>
      </c>
      <c r="AD58">
        <f t="shared" si="17"/>
        <v>4.1324258390688007</v>
      </c>
      <c r="AE58">
        <f t="shared" si="18"/>
        <v>-3.1157756742452711E-5</v>
      </c>
      <c r="AF58">
        <f t="shared" si="19"/>
        <v>5.2024774283999996E-4</v>
      </c>
      <c r="AG58">
        <f t="shared" si="36"/>
        <v>7800.0920542186905</v>
      </c>
      <c r="AH58">
        <f t="shared" si="37"/>
        <v>-2389.3104543009504</v>
      </c>
      <c r="AJ58">
        <f t="shared" si="20"/>
        <v>21000</v>
      </c>
      <c r="AK58">
        <f t="shared" si="21"/>
        <v>80.90983374516</v>
      </c>
      <c r="AL58">
        <v>1</v>
      </c>
      <c r="AM58">
        <f t="shared" si="22"/>
        <v>1.5872155448259599</v>
      </c>
      <c r="AN58">
        <f t="shared" si="38"/>
        <v>6003.6661844845039</v>
      </c>
      <c r="AO58">
        <f t="shared" si="39"/>
        <v>-9448.202460214603</v>
      </c>
      <c r="AQ58">
        <f t="shared" si="23"/>
        <v>17.331022530329289</v>
      </c>
      <c r="AR58">
        <f t="shared" si="24"/>
        <v>-415.94454072790296</v>
      </c>
      <c r="AT58">
        <f t="shared" si="52"/>
        <v>-858637.06844027946</v>
      </c>
      <c r="AU58">
        <f t="shared" si="53"/>
        <v>-3285814.9004427996</v>
      </c>
      <c r="AV58">
        <f t="shared" si="42"/>
        <v>-1.8263969637228217</v>
      </c>
      <c r="AW58">
        <f t="shared" si="25"/>
        <v>-3795905.1608788017</v>
      </c>
      <c r="AX58">
        <f t="shared" si="26"/>
        <v>-2731471.0106228502</v>
      </c>
      <c r="AY58">
        <f t="shared" si="50"/>
        <v>-2.5178439064760334</v>
      </c>
      <c r="BA58">
        <f t="shared" si="27"/>
        <v>0.72621331229398056</v>
      </c>
      <c r="BB58">
        <f t="shared" si="43"/>
        <v>-2.778715885030234</v>
      </c>
      <c r="BC58">
        <f t="shared" si="44"/>
        <v>0.69144694275321172</v>
      </c>
      <c r="BD58">
        <f t="shared" si="28"/>
        <v>-140.38300837774813</v>
      </c>
      <c r="BF58">
        <f t="shared" si="29"/>
        <v>20.555295904569796</v>
      </c>
      <c r="BG58">
        <f t="shared" si="30"/>
        <v>-115.05947203377994</v>
      </c>
      <c r="BH58">
        <f t="shared" si="45"/>
        <v>64.94052796622006</v>
      </c>
      <c r="BI58">
        <f t="shared" si="46"/>
        <v>64.94052796622006</v>
      </c>
      <c r="BJ58">
        <f t="shared" si="31"/>
        <v>0</v>
      </c>
      <c r="BK58">
        <f t="shared" si="47"/>
        <v>0</v>
      </c>
      <c r="BM58">
        <f t="shared" si="48"/>
        <v>23.33401178960003</v>
      </c>
      <c r="BN58">
        <f t="shared" si="32"/>
        <v>-154.67646365603184</v>
      </c>
      <c r="BQ58" s="66">
        <f t="shared" si="49"/>
        <v>14.123244915254903</v>
      </c>
      <c r="BR58" s="69"/>
      <c r="BS58" s="69"/>
      <c r="BT58" s="69">
        <v>301.995</v>
      </c>
      <c r="BU58" s="69">
        <v>24.917000000000002</v>
      </c>
      <c r="BV58" s="69">
        <v>-267.13580000000002</v>
      </c>
      <c r="BW58" s="75"/>
      <c r="BY58" s="69"/>
      <c r="BZ58" s="69"/>
      <c r="CA58" s="69"/>
      <c r="CC58" s="69"/>
    </row>
    <row r="59" spans="1:81" ht="13" x14ac:dyDescent="0.3">
      <c r="A59">
        <f t="shared" si="54"/>
        <v>12500</v>
      </c>
      <c r="B59">
        <f t="shared" si="33"/>
        <v>12.5</v>
      </c>
      <c r="C59">
        <f t="shared" si="0"/>
        <v>1.000007710598694</v>
      </c>
      <c r="D59">
        <f t="shared" si="1"/>
        <v>3.9269706263088001E-3</v>
      </c>
      <c r="F59">
        <f t="shared" si="2"/>
        <v>0.84763971319268316</v>
      </c>
      <c r="G59">
        <f t="shared" si="3"/>
        <v>0.39287669206330733</v>
      </c>
      <c r="H59">
        <f t="shared" si="4"/>
        <v>-2.7487159579366929</v>
      </c>
      <c r="J59">
        <f t="shared" si="5"/>
        <v>15</v>
      </c>
      <c r="M59">
        <f t="shared" si="6"/>
        <v>8.7870224029679159E-2</v>
      </c>
      <c r="N59">
        <f t="shared" si="7"/>
        <v>-1.5707963250000001</v>
      </c>
      <c r="O59">
        <f t="shared" si="8"/>
        <v>4.4192385538748775</v>
      </c>
      <c r="P59">
        <f t="shared" si="9"/>
        <v>1.3425359914762249</v>
      </c>
      <c r="Q59">
        <f t="shared" si="10"/>
        <v>1.9322434253123304</v>
      </c>
      <c r="R59">
        <f t="shared" si="11"/>
        <v>1.0268308826293009</v>
      </c>
      <c r="S59">
        <f t="shared" si="12"/>
        <v>0.99999194646927481</v>
      </c>
      <c r="T59">
        <f t="shared" si="13"/>
        <v>-4.0133630623787582E-3</v>
      </c>
      <c r="U59">
        <f t="shared" si="14"/>
        <v>0.99805967690242747</v>
      </c>
      <c r="V59">
        <f t="shared" si="15"/>
        <v>-6.2304909887804107E-2</v>
      </c>
      <c r="X59">
        <f t="shared" si="34"/>
        <v>19.574198667876281</v>
      </c>
      <c r="Y59">
        <f t="shared" si="16"/>
        <v>-115.30985979608378</v>
      </c>
      <c r="Z59">
        <f t="shared" si="35"/>
        <v>64.690140203916215</v>
      </c>
      <c r="AC59">
        <v>1</v>
      </c>
      <c r="AD59">
        <f t="shared" si="17"/>
        <v>4.3046102490300004</v>
      </c>
      <c r="AE59">
        <f t="shared" si="18"/>
        <v>-3.38083297986683E-5</v>
      </c>
      <c r="AF59">
        <f t="shared" si="19"/>
        <v>5.41924732125E-4</v>
      </c>
      <c r="AG59">
        <f t="shared" si="36"/>
        <v>7797.7212357611343</v>
      </c>
      <c r="AH59">
        <f t="shared" si="37"/>
        <v>-2331.740657529585</v>
      </c>
      <c r="AJ59">
        <f t="shared" si="20"/>
        <v>21000</v>
      </c>
      <c r="AK59">
        <f t="shared" si="21"/>
        <v>84.281076817875004</v>
      </c>
      <c r="AL59">
        <v>1</v>
      </c>
      <c r="AM59">
        <f t="shared" si="22"/>
        <v>1.653349525860375</v>
      </c>
      <c r="AN59">
        <f t="shared" si="38"/>
        <v>5661.9740204567233</v>
      </c>
      <c r="AO59">
        <f t="shared" si="39"/>
        <v>-9276.9409853380093</v>
      </c>
      <c r="AQ59">
        <f t="shared" si="23"/>
        <v>15.974440894568691</v>
      </c>
      <c r="AR59">
        <f t="shared" si="24"/>
        <v>-399.36102236421726</v>
      </c>
      <c r="AT59">
        <f t="shared" si="52"/>
        <v>-806642.09588623792</v>
      </c>
      <c r="AU59">
        <f t="shared" si="53"/>
        <v>-3151354.1781399031</v>
      </c>
      <c r="AV59">
        <f t="shared" si="42"/>
        <v>-1.8213828848780822</v>
      </c>
      <c r="AW59">
        <f t="shared" si="25"/>
        <v>-3585929.3553360905</v>
      </c>
      <c r="AX59">
        <f t="shared" si="26"/>
        <v>-2478001.8636712185</v>
      </c>
      <c r="AY59">
        <f t="shared" si="50"/>
        <v>-2.5369089988636317</v>
      </c>
      <c r="BA59">
        <f t="shared" si="27"/>
        <v>0.7462907751417025</v>
      </c>
      <c r="BB59">
        <f t="shared" si="43"/>
        <v>-2.5418385327218189</v>
      </c>
      <c r="BC59">
        <f t="shared" si="44"/>
        <v>0.71552611398554955</v>
      </c>
      <c r="BD59">
        <f t="shared" si="28"/>
        <v>-139.00337349038585</v>
      </c>
      <c r="BF59">
        <f t="shared" si="29"/>
        <v>19.544279538816525</v>
      </c>
      <c r="BG59">
        <f t="shared" si="30"/>
        <v>-116.26819829695938</v>
      </c>
      <c r="BH59">
        <f t="shared" si="45"/>
        <v>63.731801703040617</v>
      </c>
      <c r="BI59">
        <f t="shared" si="46"/>
        <v>63.731801703040617</v>
      </c>
      <c r="BJ59">
        <f t="shared" si="31"/>
        <v>0</v>
      </c>
      <c r="BK59">
        <f t="shared" si="47"/>
        <v>0</v>
      </c>
      <c r="BM59">
        <f t="shared" si="48"/>
        <v>22.086118071538344</v>
      </c>
      <c r="BN59">
        <f t="shared" si="32"/>
        <v>-157.26482480657353</v>
      </c>
      <c r="BQ59" s="66">
        <f t="shared" si="49"/>
        <v>14.360122267563318</v>
      </c>
      <c r="BR59" s="69"/>
      <c r="BS59" s="69"/>
      <c r="BT59" s="69">
        <v>309.02999999999997</v>
      </c>
      <c r="BU59" s="69">
        <v>24.825199999999999</v>
      </c>
      <c r="BV59" s="69">
        <v>-265.03610000000003</v>
      </c>
      <c r="BW59" s="75"/>
      <c r="BY59" s="69"/>
      <c r="BZ59" s="69"/>
      <c r="CA59" s="69"/>
      <c r="CC59" s="69"/>
    </row>
    <row r="60" spans="1:81" ht="13" x14ac:dyDescent="0.3">
      <c r="A60">
        <f t="shared" si="54"/>
        <v>13000</v>
      </c>
      <c r="B60">
        <f t="shared" si="33"/>
        <v>13</v>
      </c>
      <c r="C60">
        <f t="shared" si="0"/>
        <v>1.0000083397809238</v>
      </c>
      <c r="D60">
        <f t="shared" si="1"/>
        <v>4.0840477382973655E-3</v>
      </c>
      <c r="F60">
        <f t="shared" si="2"/>
        <v>0.74306907540547462</v>
      </c>
      <c r="G60">
        <f t="shared" si="3"/>
        <v>0.35654807942065431</v>
      </c>
      <c r="H60">
        <f t="shared" si="4"/>
        <v>-2.7850445705793461</v>
      </c>
      <c r="J60">
        <f t="shared" si="5"/>
        <v>15</v>
      </c>
      <c r="M60">
        <f t="shared" si="6"/>
        <v>8.4490600028537644E-2</v>
      </c>
      <c r="N60">
        <f t="shared" si="7"/>
        <v>-1.5707963250000001</v>
      </c>
      <c r="O60">
        <f t="shared" si="8"/>
        <v>4.5871222371735572</v>
      </c>
      <c r="P60">
        <f t="shared" si="9"/>
        <v>1.3510299725679609</v>
      </c>
      <c r="Q60">
        <f t="shared" si="10"/>
        <v>1.9891263234101564</v>
      </c>
      <c r="R60">
        <f t="shared" si="11"/>
        <v>1.0440385458010175</v>
      </c>
      <c r="S60">
        <f t="shared" si="12"/>
        <v>0.99999128930975389</v>
      </c>
      <c r="T60">
        <f t="shared" si="13"/>
        <v>-4.17389575624387E-3</v>
      </c>
      <c r="U60">
        <f t="shared" si="14"/>
        <v>0.99790184450485464</v>
      </c>
      <c r="V60">
        <f t="shared" si="15"/>
        <v>-6.4790271111526646E-2</v>
      </c>
      <c r="X60">
        <f t="shared" si="34"/>
        <v>18.664383664062111</v>
      </c>
      <c r="Y60">
        <f t="shared" si="16"/>
        <v>-116.06133893303172</v>
      </c>
      <c r="Z60">
        <f t="shared" si="35"/>
        <v>63.93866106696828</v>
      </c>
      <c r="AC60">
        <v>1</v>
      </c>
      <c r="AD60">
        <f t="shared" si="17"/>
        <v>4.4767946589912002</v>
      </c>
      <c r="AE60">
        <f t="shared" si="18"/>
        <v>-3.6567089510239638E-5</v>
      </c>
      <c r="AF60">
        <f t="shared" si="19"/>
        <v>5.6360172141000004E-4</v>
      </c>
      <c r="AG60">
        <f t="shared" si="36"/>
        <v>7795.2551793656412</v>
      </c>
      <c r="AH60">
        <f t="shared" si="37"/>
        <v>-2280.0671912146181</v>
      </c>
      <c r="AJ60">
        <f t="shared" si="20"/>
        <v>21000</v>
      </c>
      <c r="AK60">
        <f t="shared" si="21"/>
        <v>87.652319890590007</v>
      </c>
      <c r="AL60">
        <v>1</v>
      </c>
      <c r="AM60">
        <f t="shared" si="22"/>
        <v>1.71948350689479</v>
      </c>
      <c r="AN60">
        <f t="shared" si="38"/>
        <v>5345.6480141313541</v>
      </c>
      <c r="AO60">
        <f t="shared" si="39"/>
        <v>-9104.1012740731603</v>
      </c>
      <c r="AQ60">
        <f t="shared" si="23"/>
        <v>14.771048744460856</v>
      </c>
      <c r="AR60">
        <f t="shared" si="24"/>
        <v>-384.04726735598229</v>
      </c>
      <c r="AT60">
        <f t="shared" si="52"/>
        <v>-760509.47994408314</v>
      </c>
      <c r="AU60">
        <f t="shared" si="53"/>
        <v>-3027425.4336000192</v>
      </c>
      <c r="AV60">
        <f t="shared" si="42"/>
        <v>-1.8169103621121709</v>
      </c>
      <c r="AW60">
        <f t="shared" si="25"/>
        <v>-3390361.6669598101</v>
      </c>
      <c r="AX60">
        <f t="shared" si="26"/>
        <v>-2254280.9570752042</v>
      </c>
      <c r="AY60">
        <f t="shared" si="50"/>
        <v>-2.5548080939062801</v>
      </c>
      <c r="BA60">
        <f t="shared" si="27"/>
        <v>0.76668547876006854</v>
      </c>
      <c r="BB60">
        <f t="shared" si="43"/>
        <v>-2.3076552465251252</v>
      </c>
      <c r="BC60">
        <f t="shared" si="44"/>
        <v>0.73789773179410911</v>
      </c>
      <c r="BD60">
        <f t="shared" si="28"/>
        <v>-137.72157420761101</v>
      </c>
      <c r="BF60">
        <f t="shared" si="29"/>
        <v>18.634826122289866</v>
      </c>
      <c r="BG60">
        <f t="shared" si="30"/>
        <v>-117.05887534096728</v>
      </c>
      <c r="BH60">
        <f t="shared" si="45"/>
        <v>62.941124659032724</v>
      </c>
      <c r="BI60">
        <f t="shared" si="46"/>
        <v>62.941124659032724</v>
      </c>
      <c r="BJ60">
        <f t="shared" si="31"/>
        <v>0</v>
      </c>
      <c r="BK60">
        <f t="shared" si="47"/>
        <v>0</v>
      </c>
      <c r="BM60">
        <f t="shared" si="48"/>
        <v>20.942481368814988</v>
      </c>
      <c r="BN60">
        <f t="shared" si="32"/>
        <v>-159.33730113335625</v>
      </c>
      <c r="BQ60" s="66">
        <f t="shared" si="49"/>
        <v>14.594305553760012</v>
      </c>
      <c r="BR60" s="69"/>
      <c r="BS60" s="69"/>
      <c r="BT60" s="69">
        <v>316.22800000000001</v>
      </c>
      <c r="BU60" s="69">
        <v>24.722000000000001</v>
      </c>
      <c r="BV60" s="69">
        <v>-265.21839999999997</v>
      </c>
      <c r="BW60" s="75"/>
      <c r="BY60" s="69"/>
      <c r="BZ60" s="69"/>
      <c r="CA60" s="69"/>
      <c r="CC60" s="69"/>
    </row>
    <row r="61" spans="1:81" ht="13" x14ac:dyDescent="0.3">
      <c r="A61">
        <f t="shared" si="54"/>
        <v>13500</v>
      </c>
      <c r="B61">
        <f t="shared" si="33"/>
        <v>13.5</v>
      </c>
      <c r="C61">
        <f t="shared" si="0"/>
        <v>1.0000089936365473</v>
      </c>
      <c r="D61">
        <f t="shared" si="1"/>
        <v>4.2411246487518619E-3</v>
      </c>
      <c r="F61">
        <f t="shared" si="2"/>
        <v>0.65809481962180849</v>
      </c>
      <c r="G61">
        <f t="shared" si="3"/>
        <v>0.3268021389133039</v>
      </c>
      <c r="H61">
        <f t="shared" si="4"/>
        <v>-2.8147905110866964</v>
      </c>
      <c r="J61">
        <f t="shared" si="5"/>
        <v>15</v>
      </c>
      <c r="M61">
        <f t="shared" si="6"/>
        <v>8.136131854599922E-2</v>
      </c>
      <c r="N61">
        <f t="shared" si="7"/>
        <v>-1.5707963250000001</v>
      </c>
      <c r="O61">
        <f t="shared" si="8"/>
        <v>4.75531348951439</v>
      </c>
      <c r="P61">
        <f t="shared" si="9"/>
        <v>1.3589236408303693</v>
      </c>
      <c r="Q61">
        <f t="shared" si="10"/>
        <v>2.0465653698815989</v>
      </c>
      <c r="R61">
        <f t="shared" si="11"/>
        <v>1.060284895074449</v>
      </c>
      <c r="S61">
        <f t="shared" si="12"/>
        <v>0.99999060638064463</v>
      </c>
      <c r="T61">
        <f t="shared" si="13"/>
        <v>-4.3344282349792092E-3</v>
      </c>
      <c r="U61">
        <f t="shared" si="14"/>
        <v>0.99773790191626843</v>
      </c>
      <c r="V61">
        <f t="shared" si="15"/>
        <v>-6.7274831051781156E-2</v>
      </c>
      <c r="X61">
        <f t="shared" si="34"/>
        <v>17.840375597040534</v>
      </c>
      <c r="Y61">
        <f t="shared" si="16"/>
        <v>-116.52508744810682</v>
      </c>
      <c r="Z61">
        <f t="shared" si="35"/>
        <v>63.474912551893183</v>
      </c>
      <c r="AC61">
        <v>1</v>
      </c>
      <c r="AD61">
        <f t="shared" si="17"/>
        <v>4.6489790689524</v>
      </c>
      <c r="AE61">
        <f t="shared" si="18"/>
        <v>-3.9434035877166698E-5</v>
      </c>
      <c r="AF61">
        <f t="shared" si="19"/>
        <v>5.8527871069500009E-4</v>
      </c>
      <c r="AG61">
        <f t="shared" si="36"/>
        <v>7792.6940670831791</v>
      </c>
      <c r="AH61">
        <f t="shared" si="37"/>
        <v>-2233.6322055329292</v>
      </c>
      <c r="AJ61">
        <f t="shared" si="20"/>
        <v>21000</v>
      </c>
      <c r="AK61">
        <f t="shared" si="21"/>
        <v>91.023562963305011</v>
      </c>
      <c r="AL61">
        <v>1</v>
      </c>
      <c r="AM61">
        <f t="shared" si="22"/>
        <v>1.7856174879292048</v>
      </c>
      <c r="AN61">
        <f t="shared" si="38"/>
        <v>5052.6173792272721</v>
      </c>
      <c r="AO61">
        <f t="shared" si="39"/>
        <v>-8931.0183891999404</v>
      </c>
      <c r="AQ61">
        <f t="shared" si="23"/>
        <v>13.698630136986301</v>
      </c>
      <c r="AR61">
        <f t="shared" si="24"/>
        <v>-369.86301369863014</v>
      </c>
      <c r="AT61">
        <f t="shared" si="52"/>
        <v>-719388.7052370673</v>
      </c>
      <c r="AU61">
        <f t="shared" si="53"/>
        <v>-2912827.0139284763</v>
      </c>
      <c r="AV61">
        <f t="shared" si="42"/>
        <v>-1.812923727937275</v>
      </c>
      <c r="AW61">
        <f t="shared" si="25"/>
        <v>-3208244.2012313064</v>
      </c>
      <c r="AX61">
        <f t="shared" si="26"/>
        <v>-2056205.2478120835</v>
      </c>
      <c r="AY61">
        <f t="shared" si="50"/>
        <v>-2.571632066586766</v>
      </c>
      <c r="BA61">
        <f t="shared" si="27"/>
        <v>0.78736486553736262</v>
      </c>
      <c r="BB61">
        <f t="shared" si="43"/>
        <v>-2.0764793714005805</v>
      </c>
      <c r="BC61">
        <f t="shared" si="44"/>
        <v>0.75870833864949105</v>
      </c>
      <c r="BD61">
        <f t="shared" si="28"/>
        <v>-136.52921426432914</v>
      </c>
      <c r="BF61">
        <f t="shared" si="29"/>
        <v>17.811193369945663</v>
      </c>
      <c r="BG61">
        <f t="shared" si="30"/>
        <v>-117.56183240431302</v>
      </c>
      <c r="BH61">
        <f t="shared" si="45"/>
        <v>62.438167595686977</v>
      </c>
      <c r="BI61">
        <f t="shared" si="46"/>
        <v>62.438167595686977</v>
      </c>
      <c r="BJ61">
        <f t="shared" si="31"/>
        <v>0</v>
      </c>
      <c r="BK61">
        <f t="shared" si="47"/>
        <v>0</v>
      </c>
      <c r="BM61">
        <f t="shared" si="48"/>
        <v>19.887672741346243</v>
      </c>
      <c r="BN61">
        <f t="shared" si="32"/>
        <v>-161.03261813998387</v>
      </c>
      <c r="BQ61" s="66">
        <f t="shared" si="49"/>
        <v>14.825481428884554</v>
      </c>
      <c r="BR61" s="69"/>
      <c r="BS61" s="69"/>
      <c r="BT61" s="69">
        <v>323.59399999999999</v>
      </c>
      <c r="BU61" s="69">
        <v>24.5962</v>
      </c>
      <c r="BV61" s="69">
        <v>-266.99490000000003</v>
      </c>
      <c r="BW61" s="75"/>
      <c r="BY61" s="69"/>
      <c r="BZ61" s="69"/>
      <c r="CA61" s="69"/>
      <c r="CC61" s="69"/>
    </row>
    <row r="62" spans="1:81" ht="13" x14ac:dyDescent="0.3">
      <c r="A62">
        <f t="shared" si="54"/>
        <v>14000</v>
      </c>
      <c r="B62">
        <f t="shared" si="33"/>
        <v>14</v>
      </c>
      <c r="C62">
        <f t="shared" si="0"/>
        <v>1.0000096721655156</v>
      </c>
      <c r="D62">
        <f t="shared" si="1"/>
        <v>4.3982013499215258E-3</v>
      </c>
      <c r="F62">
        <f t="shared" si="2"/>
        <v>0.58796371841256911</v>
      </c>
      <c r="G62">
        <f t="shared" si="3"/>
        <v>0.30199849265590351</v>
      </c>
      <c r="H62">
        <f t="shared" si="4"/>
        <v>-2.8395941573440968</v>
      </c>
      <c r="J62">
        <f t="shared" si="5"/>
        <v>15</v>
      </c>
      <c r="M62">
        <f t="shared" si="6"/>
        <v>7.8455557169356385E-2</v>
      </c>
      <c r="N62">
        <f t="shared" si="7"/>
        <v>-1.5707963250000001</v>
      </c>
      <c r="O62">
        <f t="shared" si="8"/>
        <v>4.9237807922784596</v>
      </c>
      <c r="P62">
        <f t="shared" si="9"/>
        <v>1.3662775773848412</v>
      </c>
      <c r="Q62">
        <f t="shared" si="10"/>
        <v>2.10451502793611</v>
      </c>
      <c r="R62">
        <f t="shared" si="11"/>
        <v>1.0756403992828663</v>
      </c>
      <c r="S62">
        <f t="shared" si="12"/>
        <v>0.99998989768210478</v>
      </c>
      <c r="T62">
        <f t="shared" si="13"/>
        <v>-4.4949604903111642E-3</v>
      </c>
      <c r="U62">
        <f t="shared" si="14"/>
        <v>0.99756785821818683</v>
      </c>
      <c r="V62">
        <f t="shared" si="15"/>
        <v>-6.9758559436648077E-2</v>
      </c>
      <c r="X62">
        <f t="shared" si="34"/>
        <v>17.089169995695773</v>
      </c>
      <c r="Y62">
        <f t="shared" si="16"/>
        <v>-116.78758172725443</v>
      </c>
      <c r="Z62">
        <f t="shared" si="35"/>
        <v>63.212418272745566</v>
      </c>
      <c r="AC62">
        <v>1</v>
      </c>
      <c r="AD62">
        <f t="shared" si="17"/>
        <v>4.8211634789136006</v>
      </c>
      <c r="AE62">
        <f t="shared" si="18"/>
        <v>-4.2409168899449514E-5</v>
      </c>
      <c r="AF62">
        <f t="shared" si="19"/>
        <v>6.0695569998000002E-4</v>
      </c>
      <c r="AG62">
        <f t="shared" si="36"/>
        <v>7790.0380877986754</v>
      </c>
      <c r="AH62">
        <f t="shared" si="37"/>
        <v>-2191.8717314005553</v>
      </c>
      <c r="AJ62">
        <f t="shared" si="20"/>
        <v>21000</v>
      </c>
      <c r="AK62">
        <f t="shared" si="21"/>
        <v>94.394806036020015</v>
      </c>
      <c r="AL62">
        <v>1</v>
      </c>
      <c r="AM62">
        <f t="shared" si="22"/>
        <v>1.8517514689636199</v>
      </c>
      <c r="AN62">
        <f t="shared" si="38"/>
        <v>4780.9606216212769</v>
      </c>
      <c r="AO62">
        <f t="shared" si="39"/>
        <v>-8758.756048108402</v>
      </c>
      <c r="AQ62">
        <f t="shared" si="23"/>
        <v>12.738853503184714</v>
      </c>
      <c r="AR62">
        <f t="shared" si="24"/>
        <v>-356.68789808917199</v>
      </c>
      <c r="AT62">
        <f t="shared" si="52"/>
        <v>-682577.96676964173</v>
      </c>
      <c r="AU62">
        <f t="shared" si="53"/>
        <v>-2806534.2444555857</v>
      </c>
      <c r="AV62">
        <f t="shared" si="42"/>
        <v>-1.809374522962276</v>
      </c>
      <c r="AW62">
        <f t="shared" si="25"/>
        <v>-3038636.7986331182</v>
      </c>
      <c r="AX62">
        <f t="shared" si="26"/>
        <v>-1880311.4633543375</v>
      </c>
      <c r="AY62">
        <f t="shared" si="50"/>
        <v>-2.5874634767628772</v>
      </c>
      <c r="BA62">
        <f t="shared" si="27"/>
        <v>0.80830050575202528</v>
      </c>
      <c r="BB62">
        <f t="shared" si="43"/>
        <v>-1.8485429892833398</v>
      </c>
      <c r="BC62">
        <f t="shared" si="44"/>
        <v>0.77808895380060128</v>
      </c>
      <c r="BD62">
        <f t="shared" si="28"/>
        <v>-135.41878681053439</v>
      </c>
      <c r="BF62">
        <f t="shared" si="29"/>
        <v>17.060376759024557</v>
      </c>
      <c r="BG62">
        <f t="shared" si="30"/>
        <v>-117.86354936717953</v>
      </c>
      <c r="BH62">
        <f t="shared" si="45"/>
        <v>62.13645063282047</v>
      </c>
      <c r="BI62">
        <f t="shared" si="46"/>
        <v>62.13645063282047</v>
      </c>
      <c r="BJ62">
        <f t="shared" si="31"/>
        <v>0</v>
      </c>
      <c r="BK62">
        <f t="shared" si="47"/>
        <v>0</v>
      </c>
      <c r="BM62">
        <f t="shared" si="48"/>
        <v>18.908919748307895</v>
      </c>
      <c r="BN62">
        <f t="shared" si="32"/>
        <v>-162.44476255664514</v>
      </c>
      <c r="BQ62" s="66">
        <f t="shared" si="49"/>
        <v>15.053417811001797</v>
      </c>
      <c r="BR62" s="69"/>
      <c r="BS62" s="69"/>
      <c r="BT62" s="69">
        <v>331.13099999999997</v>
      </c>
      <c r="BU62" s="69">
        <v>24.386800000000001</v>
      </c>
      <c r="BV62" s="69">
        <v>-265.09339999999997</v>
      </c>
      <c r="BW62" s="75"/>
      <c r="BY62" s="69"/>
      <c r="BZ62" s="69"/>
      <c r="CA62" s="69"/>
      <c r="CC62" s="69"/>
    </row>
    <row r="63" spans="1:81" ht="13" x14ac:dyDescent="0.3">
      <c r="A63">
        <f t="shared" si="54"/>
        <v>14500</v>
      </c>
      <c r="B63">
        <f t="shared" si="33"/>
        <v>14.5</v>
      </c>
      <c r="C63">
        <f t="shared" si="0"/>
        <v>1.0000103753677789</v>
      </c>
      <c r="D63">
        <f t="shared" si="1"/>
        <v>4.5552778340556552E-3</v>
      </c>
      <c r="F63">
        <f t="shared" si="2"/>
        <v>0.52928838900218422</v>
      </c>
      <c r="G63">
        <f t="shared" si="3"/>
        <v>0.28099274375181238</v>
      </c>
      <c r="H63">
        <f t="shared" si="4"/>
        <v>-2.8605999062481877</v>
      </c>
      <c r="J63">
        <f t="shared" si="5"/>
        <v>15</v>
      </c>
      <c r="M63">
        <f t="shared" si="6"/>
        <v>7.5750193129033749E-2</v>
      </c>
      <c r="N63">
        <f t="shared" si="7"/>
        <v>-1.5707963250000001</v>
      </c>
      <c r="O63">
        <f t="shared" si="8"/>
        <v>5.0924967490741144</v>
      </c>
      <c r="P63">
        <f t="shared" si="9"/>
        <v>1.3731445888062885</v>
      </c>
      <c r="Q63">
        <f t="shared" si="10"/>
        <v>2.1629342568173833</v>
      </c>
      <c r="R63">
        <f t="shared" si="11"/>
        <v>1.0901696961053071</v>
      </c>
      <c r="S63">
        <f t="shared" si="12"/>
        <v>0.99998916321429876</v>
      </c>
      <c r="T63">
        <f t="shared" si="13"/>
        <v>-4.655492513966194E-3</v>
      </c>
      <c r="U63">
        <f t="shared" si="14"/>
        <v>0.99739172282167499</v>
      </c>
      <c r="V63">
        <f t="shared" si="15"/>
        <v>-7.2241426055505154E-2</v>
      </c>
      <c r="X63">
        <f t="shared" si="34"/>
        <v>16.400140186375697</v>
      </c>
      <c r="Y63">
        <f t="shared" si="16"/>
        <v>-116.90766009175674</v>
      </c>
      <c r="Z63">
        <f t="shared" si="35"/>
        <v>63.092339908243261</v>
      </c>
      <c r="AC63">
        <v>1</v>
      </c>
      <c r="AD63">
        <f t="shared" si="17"/>
        <v>4.9933478888748004</v>
      </c>
      <c r="AE63">
        <f t="shared" si="18"/>
        <v>-4.5492488577088073E-5</v>
      </c>
      <c r="AF63">
        <f t="shared" si="19"/>
        <v>6.2863268926499996E-4</v>
      </c>
      <c r="AG63">
        <f t="shared" si="36"/>
        <v>7787.2874371963981</v>
      </c>
      <c r="AH63">
        <f t="shared" si="37"/>
        <v>-2154.299494616751</v>
      </c>
      <c r="AJ63">
        <f t="shared" si="20"/>
        <v>21000</v>
      </c>
      <c r="AK63">
        <f t="shared" si="21"/>
        <v>97.766049108735004</v>
      </c>
      <c r="AL63">
        <v>1</v>
      </c>
      <c r="AM63">
        <f t="shared" si="22"/>
        <v>1.9178854499980351</v>
      </c>
      <c r="AN63">
        <f t="shared" si="38"/>
        <v>4528.9044805430422</v>
      </c>
      <c r="AO63">
        <f t="shared" si="39"/>
        <v>-8588.1539585556729</v>
      </c>
      <c r="AQ63">
        <f t="shared" si="23"/>
        <v>11.876484560570072</v>
      </c>
      <c r="AR63">
        <f t="shared" si="24"/>
        <v>-344.41805225653206</v>
      </c>
      <c r="AT63">
        <f t="shared" si="52"/>
        <v>-649494.03689654847</v>
      </c>
      <c r="AU63">
        <f t="shared" si="53"/>
        <v>-2707667.8761676042</v>
      </c>
      <c r="AV63">
        <f t="shared" si="42"/>
        <v>-1.8062203898395017</v>
      </c>
      <c r="AW63">
        <f t="shared" si="25"/>
        <v>-2880633.9860057728</v>
      </c>
      <c r="AX63">
        <f t="shared" si="26"/>
        <v>-1723666.0180994538</v>
      </c>
      <c r="AY63">
        <f t="shared" si="50"/>
        <v>-2.6023773861706112</v>
      </c>
      <c r="BA63">
        <f t="shared" si="27"/>
        <v>0.82946744627545888</v>
      </c>
      <c r="BB63">
        <f t="shared" si="43"/>
        <v>-1.62401307718932</v>
      </c>
      <c r="BC63">
        <f t="shared" si="44"/>
        <v>0.79615699633110948</v>
      </c>
      <c r="BD63">
        <f t="shared" si="28"/>
        <v>-134.38356422829048</v>
      </c>
      <c r="BF63">
        <f t="shared" si="29"/>
        <v>16.371749562336404</v>
      </c>
      <c r="BG63">
        <f t="shared" si="30"/>
        <v>-118.02286772441488</v>
      </c>
      <c r="BH63">
        <f t="shared" si="45"/>
        <v>61.97713227558512</v>
      </c>
      <c r="BI63">
        <f t="shared" si="46"/>
        <v>61.97713227558512</v>
      </c>
      <c r="BJ63">
        <f t="shared" si="31"/>
        <v>0</v>
      </c>
      <c r="BK63">
        <f t="shared" si="47"/>
        <v>0</v>
      </c>
      <c r="BM63">
        <f t="shared" si="48"/>
        <v>17.995762639525726</v>
      </c>
      <c r="BN63">
        <f t="shared" si="32"/>
        <v>-163.63930349612443</v>
      </c>
      <c r="BQ63" s="66">
        <f t="shared" si="49"/>
        <v>15.277947723095817</v>
      </c>
      <c r="BR63" s="69"/>
      <c r="BS63" s="69"/>
      <c r="BT63" s="69">
        <v>338.84399999999999</v>
      </c>
      <c r="BU63" s="69">
        <v>24.136900000000001</v>
      </c>
      <c r="BV63" s="69">
        <v>-266.42009999999999</v>
      </c>
      <c r="BW63" s="75"/>
      <c r="BY63" s="69"/>
      <c r="BZ63" s="69"/>
      <c r="CA63" s="69"/>
      <c r="CC63" s="69"/>
    </row>
    <row r="64" spans="1:81" ht="13" x14ac:dyDescent="0.3">
      <c r="A64">
        <f t="shared" si="54"/>
        <v>15000</v>
      </c>
      <c r="B64">
        <f t="shared" si="33"/>
        <v>15</v>
      </c>
      <c r="C64">
        <f t="shared" si="0"/>
        <v>1.0000111032432848</v>
      </c>
      <c r="D64">
        <f t="shared" si="1"/>
        <v>4.7123540934036149E-3</v>
      </c>
      <c r="F64">
        <f t="shared" si="2"/>
        <v>0.4796070778834175</v>
      </c>
      <c r="G64">
        <f t="shared" si="3"/>
        <v>0.26296518261209512</v>
      </c>
      <c r="H64">
        <f t="shared" si="4"/>
        <v>-2.8786274673879051</v>
      </c>
      <c r="J64">
        <f t="shared" si="5"/>
        <v>15</v>
      </c>
      <c r="M64">
        <f t="shared" si="6"/>
        <v>7.3225186691399297E-2</v>
      </c>
      <c r="N64">
        <f t="shared" si="7"/>
        <v>-1.5707963250000001</v>
      </c>
      <c r="O64">
        <f t="shared" si="8"/>
        <v>5.2614374395518508</v>
      </c>
      <c r="P64">
        <f t="shared" si="9"/>
        <v>1.3795708984055195</v>
      </c>
      <c r="Q64">
        <f t="shared" si="10"/>
        <v>2.2217860164098449</v>
      </c>
      <c r="R64">
        <f t="shared" si="11"/>
        <v>1.1039320533728585</v>
      </c>
      <c r="S64">
        <f t="shared" si="12"/>
        <v>0.99998840297739744</v>
      </c>
      <c r="T64">
        <f t="shared" si="13"/>
        <v>-4.816024297670825E-3</v>
      </c>
      <c r="U64">
        <f t="shared" si="14"/>
        <v>0.99720950546590759</v>
      </c>
      <c r="V64">
        <f t="shared" si="15"/>
        <v>-7.4723400761189177E-2</v>
      </c>
      <c r="X64">
        <f t="shared" si="34"/>
        <v>15.764603305766849</v>
      </c>
      <c r="Y64">
        <f t="shared" si="16"/>
        <v>-116.92624251699121</v>
      </c>
      <c r="Z64">
        <f t="shared" si="35"/>
        <v>63.073757483008791</v>
      </c>
      <c r="AC64">
        <v>1</v>
      </c>
      <c r="AD64">
        <f t="shared" si="17"/>
        <v>5.1655322988360002</v>
      </c>
      <c r="AE64">
        <f t="shared" si="18"/>
        <v>-4.8683994910082346E-5</v>
      </c>
      <c r="AF64">
        <f t="shared" si="19"/>
        <v>6.5030967855E-4</v>
      </c>
      <c r="AG64">
        <f t="shared" si="36"/>
        <v>7784.4423177241506</v>
      </c>
      <c r="AH64">
        <f t="shared" si="37"/>
        <v>-2120.4939671951806</v>
      </c>
      <c r="AJ64">
        <f t="shared" si="20"/>
        <v>21000</v>
      </c>
      <c r="AK64">
        <f t="shared" si="21"/>
        <v>101.13729218144999</v>
      </c>
      <c r="AL64">
        <v>1</v>
      </c>
      <c r="AM64">
        <f t="shared" si="22"/>
        <v>1.9840194310324502</v>
      </c>
      <c r="AN64">
        <f t="shared" si="38"/>
        <v>4294.8192335789608</v>
      </c>
      <c r="AO64">
        <f t="shared" si="39"/>
        <v>-8419.8675200111047</v>
      </c>
      <c r="AQ64">
        <f t="shared" si="23"/>
        <v>11.098779134295228</v>
      </c>
      <c r="AR64">
        <f t="shared" si="24"/>
        <v>-332.96337402885683</v>
      </c>
      <c r="AT64">
        <f t="shared" si="52"/>
        <v>-619649.01995706186</v>
      </c>
      <c r="AU64">
        <f t="shared" si="53"/>
        <v>-2615469.0732399523</v>
      </c>
      <c r="AV64">
        <f t="shared" si="42"/>
        <v>-1.8034241600672156</v>
      </c>
      <c r="AW64">
        <f t="shared" si="25"/>
        <v>-2733375.3238203069</v>
      </c>
      <c r="AX64">
        <f t="shared" si="26"/>
        <v>-1583775.5218265844</v>
      </c>
      <c r="AY64">
        <f t="shared" si="50"/>
        <v>-2.6164420968943438</v>
      </c>
      <c r="BA64">
        <f t="shared" si="27"/>
        <v>0.85084368196239013</v>
      </c>
      <c r="BB64">
        <f t="shared" si="43"/>
        <v>-1.4030044339607146</v>
      </c>
      <c r="BC64">
        <f t="shared" si="44"/>
        <v>0.8130179368271282</v>
      </c>
      <c r="BD64">
        <f t="shared" si="28"/>
        <v>-133.4175034981435</v>
      </c>
      <c r="BF64">
        <f t="shared" si="29"/>
        <v>15.736628861146148</v>
      </c>
      <c r="BG64">
        <f t="shared" si="30"/>
        <v>-118.08071035693541</v>
      </c>
      <c r="BH64">
        <f t="shared" si="45"/>
        <v>61.919289643064587</v>
      </c>
      <c r="BI64">
        <f t="shared" si="46"/>
        <v>61.919289643064587</v>
      </c>
      <c r="BJ64">
        <f t="shared" si="31"/>
        <v>0</v>
      </c>
      <c r="BK64">
        <f t="shared" si="47"/>
        <v>0</v>
      </c>
      <c r="BM64">
        <f t="shared" si="48"/>
        <v>17.139633295106862</v>
      </c>
      <c r="BN64">
        <f t="shared" si="32"/>
        <v>-164.66320685879191</v>
      </c>
      <c r="BQ64" s="66">
        <f t="shared" si="49"/>
        <v>15.498956366324423</v>
      </c>
      <c r="BR64" s="69"/>
      <c r="BS64" s="69"/>
      <c r="BT64" s="69">
        <v>346.73700000000002</v>
      </c>
      <c r="BU64" s="69">
        <v>24.040400000000002</v>
      </c>
      <c r="BV64" s="69">
        <v>-265.87940000000003</v>
      </c>
      <c r="BW64" s="75"/>
      <c r="BY64" s="69"/>
      <c r="BZ64" s="69"/>
      <c r="CA64" s="69"/>
      <c r="CC64" s="69"/>
    </row>
    <row r="65" spans="1:81" ht="13" x14ac:dyDescent="0.3">
      <c r="A65">
        <f t="shared" si="54"/>
        <v>15500</v>
      </c>
      <c r="B65">
        <f t="shared" si="33"/>
        <v>15.5</v>
      </c>
      <c r="C65">
        <f t="shared" si="0"/>
        <v>1.0000118557919797</v>
      </c>
      <c r="D65">
        <f t="shared" si="1"/>
        <v>4.869430120214833E-3</v>
      </c>
      <c r="F65">
        <f t="shared" si="2"/>
        <v>0.43709661331364502</v>
      </c>
      <c r="G65">
        <f t="shared" si="3"/>
        <v>0.24731472015986949</v>
      </c>
      <c r="H65">
        <f t="shared" si="4"/>
        <v>-2.8942779298401309</v>
      </c>
      <c r="J65">
        <f t="shared" si="5"/>
        <v>15</v>
      </c>
      <c r="M65">
        <f t="shared" si="6"/>
        <v>7.0863083894902548E-2</v>
      </c>
      <c r="N65">
        <f t="shared" si="7"/>
        <v>-1.5707963250000001</v>
      </c>
      <c r="O65">
        <f t="shared" si="8"/>
        <v>5.4305818899426255</v>
      </c>
      <c r="P65">
        <f t="shared" si="9"/>
        <v>1.3855971280494659</v>
      </c>
      <c r="Q65">
        <f t="shared" si="10"/>
        <v>2.281036828507907</v>
      </c>
      <c r="R65">
        <f t="shared" si="11"/>
        <v>1.1169818116344659</v>
      </c>
      <c r="S65">
        <f t="shared" si="12"/>
        <v>0.99998761697157645</v>
      </c>
      <c r="T65">
        <f t="shared" si="13"/>
        <v>-4.9765558331516628E-3</v>
      </c>
      <c r="U65">
        <f t="shared" si="14"/>
        <v>0.99702121621668438</v>
      </c>
      <c r="V65">
        <f t="shared" si="15"/>
        <v>-7.7204453472146314E-2</v>
      </c>
      <c r="X65">
        <f t="shared" si="34"/>
        <v>15.175431685764782</v>
      </c>
      <c r="Y65">
        <f t="shared" si="16"/>
        <v>-116.87232620098942</v>
      </c>
      <c r="Z65">
        <f t="shared" si="35"/>
        <v>63.12767379901058</v>
      </c>
      <c r="AC65">
        <v>1</v>
      </c>
      <c r="AD65">
        <f t="shared" si="17"/>
        <v>5.3377167087972008</v>
      </c>
      <c r="AE65">
        <f t="shared" si="18"/>
        <v>-5.1983687898432383E-5</v>
      </c>
      <c r="AF65">
        <f t="shared" si="19"/>
        <v>6.7198666783500004E-4</v>
      </c>
      <c r="AG65">
        <f t="shared" si="36"/>
        <v>7781.502938556273</v>
      </c>
      <c r="AH65">
        <f t="shared" si="37"/>
        <v>-2090.0879249043496</v>
      </c>
      <c r="AJ65">
        <f t="shared" si="20"/>
        <v>21000</v>
      </c>
      <c r="AK65">
        <f t="shared" si="21"/>
        <v>104.50853525416501</v>
      </c>
      <c r="AL65">
        <v>1</v>
      </c>
      <c r="AM65">
        <f t="shared" si="22"/>
        <v>2.050153412066865</v>
      </c>
      <c r="AN65">
        <f t="shared" si="38"/>
        <v>4077.2117080124908</v>
      </c>
      <c r="AO65">
        <f t="shared" si="39"/>
        <v>-8254.400959646613</v>
      </c>
      <c r="AQ65">
        <f t="shared" si="23"/>
        <v>10.395010395010395</v>
      </c>
      <c r="AR65">
        <f t="shared" si="24"/>
        <v>-322.24532224532226</v>
      </c>
      <c r="AT65">
        <f t="shared" si="52"/>
        <v>-592632.25294676272</v>
      </c>
      <c r="AU65">
        <f t="shared" si="53"/>
        <v>-2529279.4076938545</v>
      </c>
      <c r="AV65">
        <f t="shared" si="42"/>
        <v>-1.8009530965772196</v>
      </c>
      <c r="AW65">
        <f t="shared" si="25"/>
        <v>-2596051.1170401112</v>
      </c>
      <c r="AX65">
        <f t="shared" si="26"/>
        <v>-1458513.7242300187</v>
      </c>
      <c r="AY65">
        <f t="shared" si="50"/>
        <v>-2.6297198175977914</v>
      </c>
      <c r="BA65">
        <f t="shared" si="27"/>
        <v>0.87240972280398421</v>
      </c>
      <c r="BB65">
        <f t="shared" si="43"/>
        <v>-1.1855900591022086</v>
      </c>
      <c r="BC65">
        <f t="shared" si="44"/>
        <v>0.82876672102057181</v>
      </c>
      <c r="BD65">
        <f t="shared" si="28"/>
        <v>-132.51516463036577</v>
      </c>
      <c r="BF65">
        <f t="shared" si="29"/>
        <v>15.147886930054566</v>
      </c>
      <c r="BG65">
        <f t="shared" si="30"/>
        <v>-118.06607714271357</v>
      </c>
      <c r="BH65">
        <f t="shared" si="45"/>
        <v>61.933922857286433</v>
      </c>
      <c r="BI65">
        <f t="shared" si="46"/>
        <v>61.933922857286433</v>
      </c>
      <c r="BJ65">
        <f t="shared" si="31"/>
        <v>0</v>
      </c>
      <c r="BK65">
        <f t="shared" si="47"/>
        <v>0</v>
      </c>
      <c r="BM65">
        <f t="shared" si="48"/>
        <v>16.333476989156775</v>
      </c>
      <c r="BN65">
        <f t="shared" si="32"/>
        <v>-165.55091251234779</v>
      </c>
      <c r="BQ65" s="66">
        <f t="shared" si="49"/>
        <v>15.716370741182928</v>
      </c>
      <c r="BR65" s="69"/>
      <c r="BS65" s="69"/>
      <c r="BT65" s="69">
        <v>354.81299999999999</v>
      </c>
      <c r="BU65" s="69">
        <v>23.629000000000001</v>
      </c>
      <c r="BV65" s="69">
        <v>-265.95490000000001</v>
      </c>
      <c r="BW65" s="75"/>
      <c r="BY65" s="69"/>
      <c r="BZ65" s="69"/>
      <c r="CA65" s="69"/>
      <c r="CC65" s="69"/>
    </row>
    <row r="66" spans="1:81" ht="13" x14ac:dyDescent="0.3">
      <c r="A66">
        <f t="shared" si="54"/>
        <v>16000</v>
      </c>
      <c r="B66">
        <f t="shared" si="33"/>
        <v>16</v>
      </c>
      <c r="C66">
        <f t="shared" si="0"/>
        <v>1.0000126330138079</v>
      </c>
      <c r="D66">
        <f t="shared" si="1"/>
        <v>5.0265059067388096E-3</v>
      </c>
      <c r="F66">
        <f t="shared" si="2"/>
        <v>0.40038278836944768</v>
      </c>
      <c r="G66">
        <f t="shared" si="3"/>
        <v>0.23359129559261874</v>
      </c>
      <c r="H66">
        <f t="shared" si="4"/>
        <v>-2.9080013544073813</v>
      </c>
      <c r="J66">
        <f t="shared" si="5"/>
        <v>15</v>
      </c>
      <c r="M66">
        <f t="shared" si="6"/>
        <v>6.8648612523186839E-2</v>
      </c>
      <c r="N66">
        <f t="shared" si="7"/>
        <v>-1.5707963250000001</v>
      </c>
      <c r="O66">
        <f t="shared" si="8"/>
        <v>5.599911636668482</v>
      </c>
      <c r="P66">
        <f t="shared" si="9"/>
        <v>1.3912591116355006</v>
      </c>
      <c r="Q66">
        <f t="shared" si="10"/>
        <v>2.3406563887506882</v>
      </c>
      <c r="R66">
        <f t="shared" si="11"/>
        <v>1.1293688023503048</v>
      </c>
      <c r="S66">
        <f t="shared" si="12"/>
        <v>0.99998680519701844</v>
      </c>
      <c r="T66">
        <f t="shared" si="13"/>
        <v>-5.1370871121353854E-3</v>
      </c>
      <c r="U66">
        <f t="shared" si="14"/>
        <v>0.9968268654648953</v>
      </c>
      <c r="V66">
        <f t="shared" si="15"/>
        <v>-7.9684554174570155E-2</v>
      </c>
      <c r="X66">
        <f t="shared" si="34"/>
        <v>14.626735009792736</v>
      </c>
      <c r="Y66">
        <f t="shared" si="16"/>
        <v>-116.76678774515139</v>
      </c>
      <c r="Z66">
        <f t="shared" si="35"/>
        <v>63.23321225484861</v>
      </c>
      <c r="AC66">
        <v>1</v>
      </c>
      <c r="AD66">
        <f t="shared" si="17"/>
        <v>5.5099011187584006</v>
      </c>
      <c r="AE66">
        <f t="shared" si="18"/>
        <v>-5.5391567542138135E-5</v>
      </c>
      <c r="AF66">
        <f t="shared" si="19"/>
        <v>6.9366365712000009E-4</v>
      </c>
      <c r="AG66">
        <f t="shared" si="36"/>
        <v>7778.4695155554691</v>
      </c>
      <c r="AH66">
        <f t="shared" si="37"/>
        <v>-2062.7599627838395</v>
      </c>
      <c r="AJ66">
        <f t="shared" si="20"/>
        <v>21000</v>
      </c>
      <c r="AK66">
        <f t="shared" si="21"/>
        <v>107.87977832688</v>
      </c>
      <c r="AL66">
        <v>1</v>
      </c>
      <c r="AM66">
        <f t="shared" si="22"/>
        <v>2.1162873931012802</v>
      </c>
      <c r="AN66">
        <f t="shared" si="38"/>
        <v>3874.7169634200541</v>
      </c>
      <c r="AO66">
        <f t="shared" si="39"/>
        <v>-8092.1348831946552</v>
      </c>
      <c r="AQ66">
        <f t="shared" si="23"/>
        <v>9.7560975609756095</v>
      </c>
      <c r="AR66">
        <f t="shared" si="24"/>
        <v>-312.19512195121951</v>
      </c>
      <c r="AT66">
        <f t="shared" si="52"/>
        <v>-568096.09066855989</v>
      </c>
      <c r="AU66">
        <f t="shared" si="53"/>
        <v>-2448524.7264444767</v>
      </c>
      <c r="AV66">
        <f t="shared" si="42"/>
        <v>-1.7987782626985944</v>
      </c>
      <c r="AW66">
        <f t="shared" si="25"/>
        <v>-2467904.909555492</v>
      </c>
      <c r="AX66">
        <f t="shared" si="26"/>
        <v>-1346061.6441803521</v>
      </c>
      <c r="AY66">
        <f t="shared" si="50"/>
        <v>-2.6422672635520636</v>
      </c>
      <c r="BA66">
        <f t="shared" si="27"/>
        <v>0.89414823664836562</v>
      </c>
      <c r="BB66">
        <f t="shared" si="43"/>
        <v>-0.9718095117413148</v>
      </c>
      <c r="BC66">
        <f t="shared" si="44"/>
        <v>0.84348900085346923</v>
      </c>
      <c r="BD66">
        <f t="shared" si="28"/>
        <v>-131.67164013016631</v>
      </c>
      <c r="BF66">
        <f t="shared" si="29"/>
        <v>14.599633393327188</v>
      </c>
      <c r="BG66">
        <f t="shared" si="30"/>
        <v>-117.99984717194037</v>
      </c>
      <c r="BH66">
        <f t="shared" si="45"/>
        <v>62.000152828059626</v>
      </c>
      <c r="BI66">
        <f t="shared" si="46"/>
        <v>62.000152828059626</v>
      </c>
      <c r="BJ66">
        <f t="shared" si="31"/>
        <v>0</v>
      </c>
      <c r="BK66">
        <f t="shared" si="47"/>
        <v>0</v>
      </c>
      <c r="BM66">
        <f t="shared" si="48"/>
        <v>15.571442905068505</v>
      </c>
      <c r="BN66">
        <f t="shared" si="32"/>
        <v>-166.32820704177405</v>
      </c>
      <c r="BQ66" s="66">
        <f t="shared" si="49"/>
        <v>15.930151288543824</v>
      </c>
      <c r="BR66" s="69"/>
      <c r="BS66" s="69"/>
      <c r="BT66" s="69">
        <v>363.07799999999997</v>
      </c>
      <c r="BU66" s="69">
        <v>23.6126</v>
      </c>
      <c r="BV66" s="69">
        <v>-265.39159999999998</v>
      </c>
      <c r="BW66" s="75"/>
      <c r="BY66" s="69"/>
      <c r="BZ66" s="69"/>
      <c r="CA66" s="69"/>
      <c r="CC66" s="69"/>
    </row>
    <row r="67" spans="1:81" ht="13" x14ac:dyDescent="0.3">
      <c r="A67">
        <f t="shared" si="54"/>
        <v>16500</v>
      </c>
      <c r="B67">
        <f t="shared" si="33"/>
        <v>16.5</v>
      </c>
      <c r="C67">
        <f t="shared" si="0"/>
        <v>1.0000134349087118</v>
      </c>
      <c r="D67">
        <f t="shared" si="1"/>
        <v>5.1835814452251142E-3</v>
      </c>
      <c r="F67">
        <f t="shared" si="2"/>
        <v>0.3684129520009829</v>
      </c>
      <c r="G67">
        <f t="shared" si="3"/>
        <v>0.22145162622649581</v>
      </c>
      <c r="H67">
        <f t="shared" si="4"/>
        <v>-2.9201410237735046</v>
      </c>
      <c r="J67">
        <f t="shared" si="5"/>
        <v>15</v>
      </c>
      <c r="M67">
        <f t="shared" si="6"/>
        <v>6.6568351537635725E-2</v>
      </c>
      <c r="N67">
        <f t="shared" si="7"/>
        <v>-1.5707963250000001</v>
      </c>
      <c r="O67">
        <f t="shared" si="8"/>
        <v>5.7694103646460011</v>
      </c>
      <c r="P67">
        <f t="shared" si="9"/>
        <v>1.3965885725075804</v>
      </c>
      <c r="Q67">
        <f t="shared" si="10"/>
        <v>2.4006172236081991</v>
      </c>
      <c r="R67">
        <f t="shared" si="11"/>
        <v>1.1411387386578551</v>
      </c>
      <c r="S67">
        <f t="shared" si="12"/>
        <v>0.99998596765391146</v>
      </c>
      <c r="T67">
        <f t="shared" si="13"/>
        <v>-5.2976181263487522E-3</v>
      </c>
      <c r="U67">
        <f t="shared" si="14"/>
        <v>0.99662646392494114</v>
      </c>
      <c r="V67">
        <f t="shared" si="15"/>
        <v>-8.2163672924527781E-2</v>
      </c>
      <c r="X67">
        <f t="shared" si="34"/>
        <v>14.113609100491608</v>
      </c>
      <c r="Y67">
        <f t="shared" si="16"/>
        <v>-116.62485729920132</v>
      </c>
      <c r="Z67">
        <f t="shared" si="35"/>
        <v>63.375142700798676</v>
      </c>
      <c r="AC67">
        <v>1</v>
      </c>
      <c r="AD67">
        <f t="shared" si="17"/>
        <v>5.6820855287196004</v>
      </c>
      <c r="AE67">
        <f t="shared" si="18"/>
        <v>-5.890763384119965E-5</v>
      </c>
      <c r="AF67">
        <f t="shared" si="19"/>
        <v>7.1534064640500002E-4</v>
      </c>
      <c r="AG67">
        <f t="shared" si="36"/>
        <v>7775.3422712334941</v>
      </c>
      <c r="AH67">
        <f t="shared" si="37"/>
        <v>-2038.2275533079971</v>
      </c>
      <c r="AJ67">
        <f t="shared" si="20"/>
        <v>21000</v>
      </c>
      <c r="AK67">
        <f t="shared" si="21"/>
        <v>111.25102139959502</v>
      </c>
      <c r="AL67">
        <v>1</v>
      </c>
      <c r="AM67">
        <f t="shared" si="22"/>
        <v>2.182421374135695</v>
      </c>
      <c r="AN67">
        <f t="shared" si="38"/>
        <v>3686.0893271221757</v>
      </c>
      <c r="AO67">
        <f t="shared" si="39"/>
        <v>-7933.3491130853035</v>
      </c>
      <c r="AQ67">
        <f t="shared" si="23"/>
        <v>9.1743119266055047</v>
      </c>
      <c r="AR67">
        <f t="shared" si="24"/>
        <v>-302.75229357798167</v>
      </c>
      <c r="AT67">
        <f t="shared" si="52"/>
        <v>-545744.65126541664</v>
      </c>
      <c r="AU67">
        <f t="shared" si="53"/>
        <v>-2372702.0413212231</v>
      </c>
      <c r="AV67">
        <f t="shared" si="42"/>
        <v>-1.7968739940879654</v>
      </c>
      <c r="AW67">
        <f t="shared" si="25"/>
        <v>-2348233.7845944408</v>
      </c>
      <c r="AX67">
        <f t="shared" si="26"/>
        <v>-1244858.3232000016</v>
      </c>
      <c r="AY67">
        <f t="shared" si="50"/>
        <v>-2.6541361962545253</v>
      </c>
      <c r="BA67">
        <f t="shared" si="27"/>
        <v>0.91604375214820566</v>
      </c>
      <c r="BB67">
        <f t="shared" si="43"/>
        <v>-0.76167566064389236</v>
      </c>
      <c r="BC67">
        <f t="shared" si="44"/>
        <v>0.85726220216655991</v>
      </c>
      <c r="BD67">
        <f t="shared" si="28"/>
        <v>-130.88249382364046</v>
      </c>
      <c r="BF67">
        <f t="shared" si="29"/>
        <v>14.08696401259434</v>
      </c>
      <c r="BG67">
        <f t="shared" si="30"/>
        <v>-117.89725292014211</v>
      </c>
      <c r="BH67">
        <f t="shared" si="45"/>
        <v>62.102747079857892</v>
      </c>
      <c r="BI67">
        <f t="shared" si="46"/>
        <v>62.102747079857892</v>
      </c>
      <c r="BJ67">
        <f t="shared" si="31"/>
        <v>0</v>
      </c>
      <c r="BK67">
        <f t="shared" si="47"/>
        <v>0</v>
      </c>
      <c r="BM67">
        <f t="shared" si="48"/>
        <v>14.848639673238234</v>
      </c>
      <c r="BN67">
        <f t="shared" si="32"/>
        <v>-167.01475909650168</v>
      </c>
      <c r="BQ67" s="66">
        <f t="shared" si="49"/>
        <v>16.140285139641243</v>
      </c>
      <c r="BR67" s="69"/>
      <c r="BS67" s="69"/>
      <c r="BT67" s="69">
        <v>371.53500000000003</v>
      </c>
      <c r="BU67" s="69">
        <v>23.315999999999999</v>
      </c>
      <c r="BV67" s="69">
        <v>-265.2439</v>
      </c>
      <c r="BW67" s="75"/>
      <c r="BY67" s="69"/>
      <c r="BZ67" s="69"/>
      <c r="CA67" s="69"/>
      <c r="CC67" s="69"/>
    </row>
    <row r="68" spans="1:81" ht="13" x14ac:dyDescent="0.3">
      <c r="A68">
        <f t="shared" si="54"/>
        <v>17000</v>
      </c>
      <c r="B68">
        <f t="shared" si="33"/>
        <v>17</v>
      </c>
      <c r="C68">
        <f t="shared" si="0"/>
        <v>1.0000142614766321</v>
      </c>
      <c r="D68">
        <f t="shared" si="1"/>
        <v>5.3406567279233883E-3</v>
      </c>
      <c r="F68">
        <f t="shared" si="2"/>
        <v>0.34036882958894543</v>
      </c>
      <c r="G68">
        <f t="shared" si="3"/>
        <v>0.21062951192214729</v>
      </c>
      <c r="H68">
        <f t="shared" si="4"/>
        <v>-2.9309631380778529</v>
      </c>
      <c r="J68">
        <f t="shared" si="5"/>
        <v>15</v>
      </c>
      <c r="M68">
        <f t="shared" si="6"/>
        <v>6.4610458845352325E-2</v>
      </c>
      <c r="N68">
        <f t="shared" si="7"/>
        <v>-1.5707963250000001</v>
      </c>
      <c r="O68">
        <f t="shared" si="8"/>
        <v>5.9390636059013291</v>
      </c>
      <c r="P68">
        <f t="shared" si="9"/>
        <v>1.4016136903140299</v>
      </c>
      <c r="Q68">
        <f t="shared" si="10"/>
        <v>2.460894387263334</v>
      </c>
      <c r="R68">
        <f t="shared" si="11"/>
        <v>1.152333577459095</v>
      </c>
      <c r="S68">
        <f t="shared" si="12"/>
        <v>0.99998510434245025</v>
      </c>
      <c r="T68">
        <f t="shared" si="13"/>
        <v>-5.4581488675186059E-3</v>
      </c>
      <c r="U68">
        <f t="shared" si="14"/>
        <v>0.99642002263310636</v>
      </c>
      <c r="V68">
        <f t="shared" si="15"/>
        <v>-8.464177985007279E-2</v>
      </c>
      <c r="X68">
        <f t="shared" si="34"/>
        <v>13.631939764913721</v>
      </c>
      <c r="Y68">
        <f t="shared" si="16"/>
        <v>-116.45776676775429</v>
      </c>
      <c r="Z68">
        <f t="shared" si="35"/>
        <v>63.542233232245707</v>
      </c>
      <c r="AC68">
        <v>1</v>
      </c>
      <c r="AD68">
        <f t="shared" si="17"/>
        <v>5.8542699386808001</v>
      </c>
      <c r="AE68">
        <f t="shared" si="18"/>
        <v>-6.2531886795616894E-5</v>
      </c>
      <c r="AF68">
        <f t="shared" si="19"/>
        <v>7.3701763568999996E-4</v>
      </c>
      <c r="AG68">
        <f t="shared" si="36"/>
        <v>7772.1214347106925</v>
      </c>
      <c r="AH68">
        <f t="shared" si="37"/>
        <v>-2016.2413295930291</v>
      </c>
      <c r="AJ68">
        <f t="shared" si="20"/>
        <v>21000</v>
      </c>
      <c r="AK68">
        <f t="shared" si="21"/>
        <v>114.62226447231001</v>
      </c>
      <c r="AL68">
        <v>1</v>
      </c>
      <c r="AM68">
        <f t="shared" si="22"/>
        <v>2.2485553551701098</v>
      </c>
      <c r="AN68">
        <f t="shared" si="38"/>
        <v>3510.1932539786349</v>
      </c>
      <c r="AO68">
        <f t="shared" si="39"/>
        <v>-7778.2415744433438</v>
      </c>
      <c r="AQ68">
        <f t="shared" si="23"/>
        <v>8.6430423509075194</v>
      </c>
      <c r="AR68">
        <f t="shared" si="24"/>
        <v>-293.86343993085563</v>
      </c>
      <c r="AT68">
        <f t="shared" si="52"/>
        <v>-525324.83812836895</v>
      </c>
      <c r="AU68">
        <f t="shared" si="53"/>
        <v>-2301368.7995657437</v>
      </c>
      <c r="AV68">
        <f t="shared" si="42"/>
        <v>-1.7952174549218307</v>
      </c>
      <c r="AW68">
        <f t="shared" si="25"/>
        <v>-2236387.2046395703</v>
      </c>
      <c r="AX68">
        <f t="shared" si="26"/>
        <v>-1153560.1752028647</v>
      </c>
      <c r="AY68">
        <f t="shared" si="50"/>
        <v>-2.6653739081596326</v>
      </c>
      <c r="BA68">
        <f t="shared" si="27"/>
        <v>0.93808241014624094</v>
      </c>
      <c r="BB68">
        <f t="shared" si="43"/>
        <v>-0.55518014713856023</v>
      </c>
      <c r="BC68">
        <f t="shared" si="44"/>
        <v>0.87015645323780189</v>
      </c>
      <c r="BD68">
        <f t="shared" si="28"/>
        <v>-130.14370765643204</v>
      </c>
      <c r="BF68">
        <f t="shared" si="29"/>
        <v>13.605764532055048</v>
      </c>
      <c r="BG68">
        <f t="shared" si="30"/>
        <v>-117.76952847791485</v>
      </c>
      <c r="BH68">
        <f t="shared" si="45"/>
        <v>62.230471522085153</v>
      </c>
      <c r="BI68">
        <f t="shared" si="46"/>
        <v>62.230471522085153</v>
      </c>
      <c r="BJ68">
        <f t="shared" si="31"/>
        <v>0</v>
      </c>
      <c r="BK68">
        <f t="shared" si="47"/>
        <v>0</v>
      </c>
      <c r="BM68">
        <f t="shared" si="48"/>
        <v>14.160944679193605</v>
      </c>
      <c r="BN68">
        <f t="shared" si="32"/>
        <v>-167.62582082148276</v>
      </c>
      <c r="BQ68" s="66">
        <f t="shared" si="49"/>
        <v>16.346780653146574</v>
      </c>
      <c r="BR68" s="69"/>
      <c r="BS68" s="69"/>
      <c r="BT68" s="69">
        <v>380.18900000000002</v>
      </c>
      <c r="BU68" s="69">
        <v>23.2133</v>
      </c>
      <c r="BV68" s="69">
        <v>-265.49869999999999</v>
      </c>
      <c r="BW68" s="75"/>
      <c r="BY68" s="69"/>
      <c r="BZ68" s="69"/>
      <c r="CA68" s="69"/>
      <c r="CC68" s="69"/>
    </row>
    <row r="69" spans="1:81" ht="13" x14ac:dyDescent="0.3">
      <c r="A69">
        <f t="shared" si="54"/>
        <v>17500</v>
      </c>
      <c r="B69">
        <f t="shared" si="33"/>
        <v>17.5</v>
      </c>
      <c r="C69">
        <f t="shared" si="0"/>
        <v>1.0000151127175074</v>
      </c>
      <c r="D69">
        <f t="shared" si="1"/>
        <v>5.4977317470833531E-3</v>
      </c>
      <c r="F69">
        <f t="shared" si="2"/>
        <v>0.31560578810122231</v>
      </c>
      <c r="G69">
        <f t="shared" si="3"/>
        <v>0.20091545157409457</v>
      </c>
      <c r="H69">
        <f t="shared" si="4"/>
        <v>-2.9406771984259055</v>
      </c>
      <c r="J69">
        <f t="shared" si="5"/>
        <v>15</v>
      </c>
      <c r="M69">
        <f t="shared" si="6"/>
        <v>6.2764445735485119E-2</v>
      </c>
      <c r="N69">
        <f t="shared" si="7"/>
        <v>-1.5707963250000001</v>
      </c>
      <c r="O69">
        <f t="shared" si="8"/>
        <v>6.1088584871697664</v>
      </c>
      <c r="P69">
        <f t="shared" si="9"/>
        <v>1.4063595775585185</v>
      </c>
      <c r="Q69">
        <f t="shared" si="10"/>
        <v>2.5214651937195058</v>
      </c>
      <c r="R69">
        <f t="shared" si="11"/>
        <v>1.1629918528096495</v>
      </c>
      <c r="S69">
        <f t="shared" si="12"/>
        <v>0.99998421526283454</v>
      </c>
      <c r="T69">
        <f t="shared" si="13"/>
        <v>-5.6186793273718715E-3</v>
      </c>
      <c r="U69">
        <f t="shared" si="14"/>
        <v>0.99620755294588514</v>
      </c>
      <c r="V69">
        <f t="shared" si="15"/>
        <v>-8.711884515334542E-2</v>
      </c>
      <c r="X69">
        <f t="shared" si="34"/>
        <v>13.178249937505482</v>
      </c>
      <c r="Y69">
        <f t="shared" si="16"/>
        <v>-116.27387129341763</v>
      </c>
      <c r="Z69">
        <f t="shared" si="35"/>
        <v>63.726128706582372</v>
      </c>
      <c r="AC69">
        <v>1</v>
      </c>
      <c r="AD69">
        <f t="shared" si="17"/>
        <v>6.0264543486419999</v>
      </c>
      <c r="AE69">
        <f t="shared" si="18"/>
        <v>-6.626432640538986E-5</v>
      </c>
      <c r="AF69">
        <f t="shared" si="19"/>
        <v>7.58694624975E-4</v>
      </c>
      <c r="AG69">
        <f t="shared" si="36"/>
        <v>7768.8072416743953</v>
      </c>
      <c r="AH69">
        <f t="shared" si="37"/>
        <v>-1996.5803486386676</v>
      </c>
      <c r="AJ69">
        <f t="shared" si="20"/>
        <v>21000</v>
      </c>
      <c r="AK69">
        <f t="shared" si="21"/>
        <v>117.99350754502501</v>
      </c>
      <c r="AL69">
        <v>1</v>
      </c>
      <c r="AM69">
        <f t="shared" si="22"/>
        <v>2.3146893362045251</v>
      </c>
      <c r="AN69">
        <f t="shared" si="38"/>
        <v>3345.9943279055051</v>
      </c>
      <c r="AO69">
        <f t="shared" si="39"/>
        <v>-7626.9438822586735</v>
      </c>
      <c r="AQ69">
        <f t="shared" si="23"/>
        <v>8.1566068515497552</v>
      </c>
      <c r="AR69">
        <f t="shared" si="24"/>
        <v>-285.48123980424145</v>
      </c>
      <c r="AT69">
        <f t="shared" si="52"/>
        <v>-506619.12692234077</v>
      </c>
      <c r="AU69">
        <f t="shared" si="53"/>
        <v>-2234134.0441047512</v>
      </c>
      <c r="AV69">
        <f t="shared" si="42"/>
        <v>-1.7937882633458602</v>
      </c>
      <c r="AW69">
        <f t="shared" si="25"/>
        <v>-2131764.9144682623</v>
      </c>
      <c r="AX69">
        <f t="shared" si="26"/>
        <v>-1071007.3183231291</v>
      </c>
      <c r="AY69">
        <f t="shared" si="50"/>
        <v>-2.6760236577316103</v>
      </c>
      <c r="BA69">
        <f t="shared" si="27"/>
        <v>0.96025175434083476</v>
      </c>
      <c r="BB69">
        <f t="shared" si="43"/>
        <v>-0.35229781447472108</v>
      </c>
      <c r="BC69">
        <f t="shared" si="44"/>
        <v>0.88223539438575016</v>
      </c>
      <c r="BD69">
        <f t="shared" si="28"/>
        <v>-129.45163530687691</v>
      </c>
      <c r="BF69">
        <f t="shared" si="29"/>
        <v>13.152557821469825</v>
      </c>
      <c r="BG69">
        <f t="shared" si="30"/>
        <v>-117.62503105319938</v>
      </c>
      <c r="BH69">
        <f t="shared" si="45"/>
        <v>62.374968946800621</v>
      </c>
      <c r="BI69">
        <f t="shared" si="46"/>
        <v>62.374968946800621</v>
      </c>
      <c r="BJ69">
        <f t="shared" si="31"/>
        <v>0</v>
      </c>
      <c r="BK69">
        <f t="shared" si="47"/>
        <v>0</v>
      </c>
      <c r="BM69">
        <f t="shared" si="48"/>
        <v>13.504855635944546</v>
      </c>
      <c r="BN69">
        <f t="shared" si="32"/>
        <v>-168.17339574632246</v>
      </c>
      <c r="BQ69" s="66">
        <f t="shared" si="49"/>
        <v>16.549662985810414</v>
      </c>
      <c r="BR69" s="69"/>
      <c r="BS69" s="69"/>
      <c r="BT69" s="69">
        <v>389.04500000000002</v>
      </c>
      <c r="BU69" s="69">
        <v>22.955200000000001</v>
      </c>
      <c r="BV69" s="69">
        <v>-266.06720000000001</v>
      </c>
      <c r="BW69" s="75"/>
      <c r="BY69" s="69"/>
      <c r="BZ69" s="69"/>
      <c r="CA69" s="69"/>
      <c r="CC69" s="69"/>
    </row>
    <row r="70" spans="1:81" ht="13" x14ac:dyDescent="0.3">
      <c r="A70">
        <f t="shared" si="54"/>
        <v>18000</v>
      </c>
      <c r="B70">
        <f t="shared" si="33"/>
        <v>18</v>
      </c>
      <c r="C70">
        <f t="shared" si="0"/>
        <v>1.0000159886312752</v>
      </c>
      <c r="D70">
        <f t="shared" si="1"/>
        <v>5.6548064949548038E-3</v>
      </c>
      <c r="F70">
        <f t="shared" si="2"/>
        <v>0.29360979013553773</v>
      </c>
      <c r="G70">
        <f t="shared" si="3"/>
        <v>0.19214236124948009</v>
      </c>
      <c r="H70">
        <f t="shared" si="4"/>
        <v>-2.9494502887505201</v>
      </c>
      <c r="J70">
        <f t="shared" si="5"/>
        <v>15</v>
      </c>
      <c r="M70">
        <f t="shared" si="6"/>
        <v>6.1020988909499405E-2</v>
      </c>
      <c r="N70">
        <f t="shared" si="7"/>
        <v>-1.5707963250000001</v>
      </c>
      <c r="O70">
        <f t="shared" si="8"/>
        <v>6.2787835175022417</v>
      </c>
      <c r="P70">
        <f t="shared" si="9"/>
        <v>1.4108486820152708</v>
      </c>
      <c r="Q70">
        <f t="shared" si="10"/>
        <v>2.5823089799457835</v>
      </c>
      <c r="R70">
        <f t="shared" si="11"/>
        <v>1.1731489814066007</v>
      </c>
      <c r="S70">
        <f t="shared" si="12"/>
        <v>0.99998330041527084</v>
      </c>
      <c r="T70">
        <f t="shared" si="13"/>
        <v>-5.7792094976355608E-3</v>
      </c>
      <c r="U70">
        <f t="shared" si="14"/>
        <v>0.99598906653826302</v>
      </c>
      <c r="V70">
        <f t="shared" si="15"/>
        <v>-8.9594839112659211E-2</v>
      </c>
      <c r="X70">
        <f t="shared" si="34"/>
        <v>12.749580207419706</v>
      </c>
      <c r="Y70">
        <f t="shared" si="16"/>
        <v>-116.07942698742883</v>
      </c>
      <c r="Z70">
        <f t="shared" si="35"/>
        <v>63.920573012571168</v>
      </c>
      <c r="AC70">
        <v>1</v>
      </c>
      <c r="AD70">
        <f t="shared" si="17"/>
        <v>6.1986387586032006</v>
      </c>
      <c r="AE70">
        <f t="shared" si="18"/>
        <v>-7.0104952670518595E-5</v>
      </c>
      <c r="AF70">
        <f t="shared" si="19"/>
        <v>7.8037161425999993E-4</v>
      </c>
      <c r="AG70">
        <f t="shared" si="36"/>
        <v>7765.3999343362293</v>
      </c>
      <c r="AH70">
        <f t="shared" si="37"/>
        <v>-1979.0481440419708</v>
      </c>
      <c r="AJ70">
        <f t="shared" si="20"/>
        <v>21000</v>
      </c>
      <c r="AK70">
        <f t="shared" si="21"/>
        <v>121.36475061774</v>
      </c>
      <c r="AL70">
        <v>1</v>
      </c>
      <c r="AM70">
        <f t="shared" si="22"/>
        <v>2.3808233172389399</v>
      </c>
      <c r="AN70">
        <f t="shared" si="38"/>
        <v>3192.5506107055617</v>
      </c>
      <c r="AO70">
        <f t="shared" si="39"/>
        <v>-7479.5341848154785</v>
      </c>
      <c r="AQ70">
        <f t="shared" si="23"/>
        <v>7.7101002313030067</v>
      </c>
      <c r="AR70">
        <f t="shared" si="24"/>
        <v>-277.56360832690825</v>
      </c>
      <c r="AT70">
        <f t="shared" si="52"/>
        <v>-489439.73208307417</v>
      </c>
      <c r="AU70">
        <f t="shared" si="53"/>
        <v>-2170651.0854290379</v>
      </c>
      <c r="AV70">
        <f t="shared" si="42"/>
        <v>-1.7925681740937605</v>
      </c>
      <c r="AW70">
        <f t="shared" si="25"/>
        <v>-2033814.2784907683</v>
      </c>
      <c r="AX70">
        <f t="shared" si="26"/>
        <v>-996195.59826995805</v>
      </c>
      <c r="AY70">
        <f t="shared" si="50"/>
        <v>-2.6861250596857631</v>
      </c>
      <c r="BA70">
        <f t="shared" si="27"/>
        <v>0.98254055404692797</v>
      </c>
      <c r="BB70">
        <f t="shared" si="43"/>
        <v>-0.15299030433678812</v>
      </c>
      <c r="BC70">
        <f t="shared" si="44"/>
        <v>0.89355688559200264</v>
      </c>
      <c r="BD70">
        <f t="shared" si="28"/>
        <v>-128.80296164222295</v>
      </c>
      <c r="BF70">
        <f t="shared" si="29"/>
        <v>12.72438440348321</v>
      </c>
      <c r="BG70">
        <f t="shared" si="30"/>
        <v>-117.47001871787587</v>
      </c>
      <c r="BH70">
        <f t="shared" si="45"/>
        <v>62.529981282124126</v>
      </c>
      <c r="BI70">
        <f t="shared" si="46"/>
        <v>62.529981282124126</v>
      </c>
      <c r="BJ70">
        <f t="shared" si="31"/>
        <v>0</v>
      </c>
      <c r="BK70">
        <f t="shared" si="47"/>
        <v>0</v>
      </c>
      <c r="BM70">
        <f t="shared" si="48"/>
        <v>12.877374707819998</v>
      </c>
      <c r="BN70">
        <f t="shared" si="32"/>
        <v>-168.66705707565291</v>
      </c>
      <c r="BQ70" s="66">
        <f t="shared" si="49"/>
        <v>16.748970495948349</v>
      </c>
      <c r="BR70" s="69"/>
      <c r="BS70" s="69"/>
      <c r="BT70" s="69">
        <v>398.10700000000003</v>
      </c>
      <c r="BU70" s="69">
        <v>22.738499999999998</v>
      </c>
      <c r="BV70" s="69">
        <v>-265.2319</v>
      </c>
      <c r="BW70" s="75"/>
      <c r="BY70" s="69"/>
      <c r="BZ70" s="69"/>
      <c r="CA70" s="69"/>
      <c r="CC70" s="69"/>
    </row>
    <row r="71" spans="1:81" ht="13" x14ac:dyDescent="0.3">
      <c r="A71">
        <f t="shared" si="54"/>
        <v>18500</v>
      </c>
      <c r="B71">
        <f t="shared" si="33"/>
        <v>18.5</v>
      </c>
      <c r="C71">
        <f t="shared" si="0"/>
        <v>1.0000168892178698</v>
      </c>
      <c r="D71">
        <f t="shared" si="1"/>
        <v>5.8118809637876193E-3</v>
      </c>
      <c r="F71">
        <f t="shared" si="2"/>
        <v>0.27396638742766516</v>
      </c>
      <c r="G71">
        <f t="shared" si="3"/>
        <v>0.18417537896053646</v>
      </c>
      <c r="H71">
        <f t="shared" si="4"/>
        <v>-2.9574172710394637</v>
      </c>
      <c r="J71">
        <f t="shared" si="5"/>
        <v>15</v>
      </c>
      <c r="M71">
        <f t="shared" si="6"/>
        <v>5.9371772993026463E-2</v>
      </c>
      <c r="N71">
        <f t="shared" si="7"/>
        <v>-1.5707963250000001</v>
      </c>
      <c r="O71">
        <f t="shared" si="8"/>
        <v>6.4488284087202183</v>
      </c>
      <c r="P71">
        <f t="shared" si="9"/>
        <v>1.4151011279894807</v>
      </c>
      <c r="Q71">
        <f t="shared" si="10"/>
        <v>2.6434068963315576</v>
      </c>
      <c r="R71">
        <f t="shared" si="11"/>
        <v>1.1828375414870926</v>
      </c>
      <c r="S71">
        <f t="shared" si="12"/>
        <v>0.99998235979997108</v>
      </c>
      <c r="T71">
        <f t="shared" si="13"/>
        <v>-5.9397393700367767E-3</v>
      </c>
      <c r="U71">
        <f t="shared" si="14"/>
        <v>0.99576457540195251</v>
      </c>
      <c r="V71">
        <f t="shared" si="15"/>
        <v>-9.2069732084573849E-2</v>
      </c>
      <c r="X71">
        <f t="shared" si="34"/>
        <v>12.343394923980933</v>
      </c>
      <c r="Y71">
        <f t="shared" si="16"/>
        <v>-115.87913954078942</v>
      </c>
      <c r="Z71">
        <f t="shared" si="35"/>
        <v>64.120860459210576</v>
      </c>
      <c r="AC71">
        <v>1</v>
      </c>
      <c r="AD71">
        <f t="shared" si="17"/>
        <v>6.3708231685644012</v>
      </c>
      <c r="AE71">
        <f t="shared" si="18"/>
        <v>-7.4053765591003032E-5</v>
      </c>
      <c r="AF71">
        <f t="shared" si="19"/>
        <v>8.0204860354499998E-4</v>
      </c>
      <c r="AG71">
        <f t="shared" si="36"/>
        <v>7761.8997613882848</v>
      </c>
      <c r="AH71">
        <f t="shared" si="37"/>
        <v>-1963.4694188235119</v>
      </c>
      <c r="AJ71">
        <f t="shared" si="20"/>
        <v>21000</v>
      </c>
      <c r="AK71">
        <f t="shared" si="21"/>
        <v>124.73599369045502</v>
      </c>
      <c r="AL71">
        <v>1</v>
      </c>
      <c r="AM71">
        <f t="shared" si="22"/>
        <v>2.4469572982733552</v>
      </c>
      <c r="AN71">
        <f t="shared" si="38"/>
        <v>3049.0044636841476</v>
      </c>
      <c r="AO71">
        <f t="shared" si="39"/>
        <v>-7336.0477311895065</v>
      </c>
      <c r="AQ71">
        <f t="shared" si="23"/>
        <v>7.2992700729927007</v>
      </c>
      <c r="AR71">
        <f t="shared" si="24"/>
        <v>-270.07299270072991</v>
      </c>
      <c r="AT71">
        <f t="shared" si="52"/>
        <v>-473623.85938015801</v>
      </c>
      <c r="AU71">
        <f t="shared" si="53"/>
        <v>-2110611.3911692705</v>
      </c>
      <c r="AV71">
        <f t="shared" si="42"/>
        <v>-1.7915408084976214</v>
      </c>
      <c r="AW71">
        <f t="shared" si="25"/>
        <v>-1942027.3130025389</v>
      </c>
      <c r="AX71">
        <f t="shared" si="26"/>
        <v>-928253.26717776107</v>
      </c>
      <c r="AY71">
        <f t="shared" si="50"/>
        <v>-2.6957144349227971</v>
      </c>
      <c r="BA71">
        <f t="shared" si="27"/>
        <v>1.0049386533642417</v>
      </c>
      <c r="BB71">
        <f t="shared" si="43"/>
        <v>4.279101983513775E-2</v>
      </c>
      <c r="BC71">
        <f t="shared" si="44"/>
        <v>0.90417362642517562</v>
      </c>
      <c r="BD71">
        <f t="shared" si="28"/>
        <v>-128.19466719960286</v>
      </c>
      <c r="BF71">
        <f t="shared" si="29"/>
        <v>12.318708559099449</v>
      </c>
      <c r="BG71">
        <f t="shared" si="30"/>
        <v>-117.30919903224566</v>
      </c>
      <c r="BH71">
        <f t="shared" si="45"/>
        <v>62.690800967754342</v>
      </c>
      <c r="BI71">
        <f t="shared" si="46"/>
        <v>62.690800967754342</v>
      </c>
      <c r="BJ71">
        <f t="shared" si="31"/>
        <v>0</v>
      </c>
      <c r="BK71">
        <f t="shared" si="47"/>
        <v>0</v>
      </c>
      <c r="BM71">
        <f t="shared" si="48"/>
        <v>12.275917539264313</v>
      </c>
      <c r="BN71">
        <f t="shared" si="32"/>
        <v>-169.11453183264283</v>
      </c>
      <c r="BQ71" s="66">
        <f t="shared" si="49"/>
        <v>16.944751820120274</v>
      </c>
      <c r="BR71" s="69"/>
      <c r="BS71" s="69"/>
      <c r="BT71" s="69">
        <v>407.38</v>
      </c>
      <c r="BU71" s="69">
        <v>22.7593</v>
      </c>
      <c r="BV71" s="69">
        <v>-265.7319</v>
      </c>
      <c r="BW71" s="75"/>
      <c r="BY71" s="69"/>
      <c r="BZ71" s="69"/>
      <c r="CA71" s="69"/>
      <c r="CC71" s="69"/>
    </row>
    <row r="72" spans="1:81" ht="13" x14ac:dyDescent="0.3">
      <c r="A72">
        <f t="shared" si="54"/>
        <v>19000</v>
      </c>
      <c r="B72">
        <f t="shared" si="33"/>
        <v>19</v>
      </c>
      <c r="C72">
        <f t="shared" si="0"/>
        <v>1.0000178144772254</v>
      </c>
      <c r="D72">
        <f t="shared" si="1"/>
        <v>5.9689551458317587E-3</v>
      </c>
      <c r="F72">
        <f t="shared" si="2"/>
        <v>0.2563380471346326</v>
      </c>
      <c r="G72">
        <f t="shared" si="3"/>
        <v>0.17690446202409946</v>
      </c>
      <c r="H72">
        <f t="shared" si="4"/>
        <v>-2.9646881879759008</v>
      </c>
      <c r="J72">
        <f t="shared" si="5"/>
        <v>15</v>
      </c>
      <c r="M72">
        <f t="shared" si="6"/>
        <v>5.7809357914262602E-2</v>
      </c>
      <c r="N72">
        <f t="shared" si="7"/>
        <v>-1.5707963250000001</v>
      </c>
      <c r="O72">
        <f t="shared" si="8"/>
        <v>6.618983922978166</v>
      </c>
      <c r="P72">
        <f t="shared" si="9"/>
        <v>1.419135006896439</v>
      </c>
      <c r="Q72">
        <f t="shared" si="10"/>
        <v>2.7047417211506106</v>
      </c>
      <c r="R72">
        <f t="shared" si="11"/>
        <v>1.192087526751292</v>
      </c>
      <c r="S72">
        <f t="shared" si="12"/>
        <v>0.99998139341715364</v>
      </c>
      <c r="T72">
        <f t="shared" si="13"/>
        <v>-6.100268936302714E-3</v>
      </c>
      <c r="U72">
        <f t="shared" si="14"/>
        <v>0.99553409184358421</v>
      </c>
      <c r="V72">
        <f t="shared" si="15"/>
        <v>-9.454349450595384E-2</v>
      </c>
      <c r="X72">
        <f t="shared" si="34"/>
        <v>11.957507906475428</v>
      </c>
      <c r="Y72">
        <f t="shared" si="16"/>
        <v>-115.67655716676923</v>
      </c>
      <c r="Z72">
        <f t="shared" si="35"/>
        <v>64.323442833230771</v>
      </c>
      <c r="AC72">
        <v>1</v>
      </c>
      <c r="AD72">
        <f t="shared" si="17"/>
        <v>6.543007578525601</v>
      </c>
      <c r="AE72">
        <f t="shared" si="18"/>
        <v>-7.8110765166843239E-5</v>
      </c>
      <c r="AF72">
        <f t="shared" si="19"/>
        <v>8.2372559283000002E-4</v>
      </c>
      <c r="AG72">
        <f t="shared" si="36"/>
        <v>7758.3069779582383</v>
      </c>
      <c r="AH72">
        <f t="shared" si="37"/>
        <v>-1949.6872604503669</v>
      </c>
      <c r="AJ72">
        <f t="shared" si="20"/>
        <v>21000</v>
      </c>
      <c r="AK72">
        <f t="shared" si="21"/>
        <v>128.10723676316999</v>
      </c>
      <c r="AL72">
        <v>1</v>
      </c>
      <c r="AM72">
        <f t="shared" si="22"/>
        <v>2.51309127930777</v>
      </c>
      <c r="AN72">
        <f t="shared" si="38"/>
        <v>2914.5749108859036</v>
      </c>
      <c r="AO72">
        <f t="shared" si="39"/>
        <v>-7196.4855546734143</v>
      </c>
      <c r="AQ72">
        <f t="shared" si="23"/>
        <v>6.9204152249134951</v>
      </c>
      <c r="AR72">
        <f t="shared" si="24"/>
        <v>-262.97577854671277</v>
      </c>
      <c r="AT72">
        <f t="shared" si="52"/>
        <v>-459029.819509728</v>
      </c>
      <c r="AU72">
        <f t="shared" si="53"/>
        <v>-2053739.4631340026</v>
      </c>
      <c r="AV72">
        <f t="shared" si="42"/>
        <v>-1.7906914239463858</v>
      </c>
      <c r="AW72">
        <f t="shared" si="25"/>
        <v>-1855937.5939554926</v>
      </c>
      <c r="AX72">
        <f t="shared" si="26"/>
        <v>-866421.48311581276</v>
      </c>
      <c r="AY72">
        <f t="shared" si="50"/>
        <v>-2.7048251242914878</v>
      </c>
      <c r="BA72">
        <f t="shared" si="27"/>
        <v>1.0274368422114495</v>
      </c>
      <c r="BB72">
        <f t="shared" si="43"/>
        <v>0.23510269520371679</v>
      </c>
      <c r="BC72">
        <f t="shared" si="44"/>
        <v>0.914133700345102</v>
      </c>
      <c r="BD72">
        <f t="shared" si="28"/>
        <v>-127.62399699970067</v>
      </c>
      <c r="BF72">
        <f t="shared" si="29"/>
        <v>11.933344037482982</v>
      </c>
      <c r="BG72">
        <f t="shared" si="30"/>
        <v>-117.14612199875563</v>
      </c>
      <c r="BH72">
        <f t="shared" si="45"/>
        <v>62.853878001244368</v>
      </c>
      <c r="BI72">
        <f t="shared" si="46"/>
        <v>62.853878001244368</v>
      </c>
      <c r="BJ72">
        <f t="shared" si="31"/>
        <v>0</v>
      </c>
      <c r="BK72">
        <f t="shared" si="47"/>
        <v>0</v>
      </c>
      <c r="BM72">
        <f t="shared" si="48"/>
        <v>11.698241342279266</v>
      </c>
      <c r="BN72">
        <f t="shared" si="32"/>
        <v>-169.52212499905499</v>
      </c>
      <c r="BQ72" s="66">
        <f t="shared" si="49"/>
        <v>17.137063495488853</v>
      </c>
      <c r="BR72" s="69"/>
      <c r="BS72" s="69"/>
      <c r="BT72" s="69">
        <v>416.86900000000003</v>
      </c>
      <c r="BU72" s="69">
        <v>22.4206</v>
      </c>
      <c r="BV72" s="69">
        <v>-265.24939999999998</v>
      </c>
      <c r="BW72" s="75"/>
      <c r="BY72" s="69"/>
      <c r="BZ72" s="69"/>
      <c r="CA72" s="69"/>
      <c r="CC72" s="69"/>
    </row>
    <row r="73" spans="1:81" ht="13" x14ac:dyDescent="0.3">
      <c r="A73">
        <f t="shared" si="54"/>
        <v>19500</v>
      </c>
      <c r="B73">
        <f t="shared" si="33"/>
        <v>19.5</v>
      </c>
      <c r="C73">
        <f t="shared" ref="C73:C136" si="55">SQRT((A73/Fesr)^2+1)</f>
        <v>1.0000187644092731</v>
      </c>
      <c r="D73">
        <f t="shared" ref="D73:D136" si="56">ATAN(A73/Fesr)</f>
        <v>6.126029033337266E-3</v>
      </c>
      <c r="F73">
        <f t="shared" ref="F73:F136" si="57">(Ro/(Ro+Rdcr))/SQRT((A73/(Q*Fo))^2+(1-(A73^2/Fo^2))^2)</f>
        <v>0.24044733778334917</v>
      </c>
      <c r="G73">
        <f t="shared" ref="G73:G136" si="58">-ATAN(A73*Fo/(Q*(Fo^2-A73^2)))</f>
        <v>0.170238928162875</v>
      </c>
      <c r="H73">
        <f t="shared" ref="H73:H136" si="59">IF(G73&gt;0,G73-Pi,G73)</f>
        <v>-2.9713537218371253</v>
      </c>
      <c r="J73">
        <f t="shared" ref="J73:J136" si="60">Vin/Vramp</f>
        <v>15</v>
      </c>
      <c r="M73">
        <f t="shared" ref="M73:M136" si="61">1/(2*Pi*_Rfb1*(Cc1ea_u+Cc2ea_u)*A73)</f>
        <v>5.6327066685691769E-2</v>
      </c>
      <c r="N73">
        <f t="shared" ref="N73:N136" si="62">-Pi/2</f>
        <v>-1.5707963250000001</v>
      </c>
      <c r="O73">
        <f t="shared" ref="O73:O136" si="63">SQRT(1+(A73/Fz1_u)^2)</f>
        <v>6.7892417428043697</v>
      </c>
      <c r="P73">
        <f t="shared" ref="P73:P136" si="64">ATAN2(Fz1_u,A73)</f>
        <v>1.4229666256516025</v>
      </c>
      <c r="Q73">
        <f t="shared" ref="Q73:Q136" si="65">SQRT(1+(A73/Fz2_u)^2)</f>
        <v>2.766297696125132</v>
      </c>
      <c r="R73">
        <f t="shared" ref="R73:R136" si="66">ATAN2(Fz2_u,A73)</f>
        <v>1.2009265770745645</v>
      </c>
      <c r="S73">
        <f t="shared" ref="S73:S136" si="67">1/SQRT(1+(A73/Fp1_u)^2)</f>
        <v>0.99998040126704213</v>
      </c>
      <c r="T73">
        <f t="shared" ref="T73:T136" si="68">-ATAN2(Fp1_u,A73)</f>
        <v>-6.2607981881606595E-3</v>
      </c>
      <c r="U73">
        <f t="shared" ref="U73:U136" si="69">1/SQRT(1+(A73/Fp2_u)^2)</f>
        <v>0.99529762848285341</v>
      </c>
      <c r="V73">
        <f t="shared" ref="V73:V136" si="70">-ATAN2(Fp2_u,A73)</f>
        <v>-9.7016096896012788E-2</v>
      </c>
      <c r="X73">
        <f t="shared" si="34"/>
        <v>11.590023237836375</v>
      </c>
      <c r="Y73">
        <f t="shared" ref="Y73:Y136" si="71">(180/Pi)*(D73+H73+N73+P73+R73+T73+V73)</f>
        <v>-115.474355922345</v>
      </c>
      <c r="Z73">
        <f t="shared" si="35"/>
        <v>64.525644077655002</v>
      </c>
      <c r="AC73">
        <v>1</v>
      </c>
      <c r="AD73">
        <f t="shared" ref="AD73:AD136" si="72">Rcea1_u*Cc1ea_u*A73*2*Pi</f>
        <v>6.7151919884868008</v>
      </c>
      <c r="AE73">
        <f t="shared" ref="AE73:AE136" si="73">-Rcea1_u*Cc1ea_u*Cc2ea_u*(A73*2*Pi)^2</f>
        <v>-8.2275951398039189E-5</v>
      </c>
      <c r="AF73">
        <f t="shared" ref="AF73:AF136" si="74">(Cc2ea_u+Cc1ea_u)*A73*2*Pi</f>
        <v>8.4540258211499996E-4</v>
      </c>
      <c r="AG73">
        <f t="shared" si="36"/>
        <v>7754.6218455633889</v>
      </c>
      <c r="AH73">
        <f t="shared" si="37"/>
        <v>-1937.5607843281073</v>
      </c>
      <c r="AJ73">
        <f t="shared" ref="AJ73:AJ136" si="75">_Rfb1</f>
        <v>21000</v>
      </c>
      <c r="AK73">
        <f t="shared" ref="AK73:AK136" si="76">_Rfb1*Rcea2_u*Cc3ea_u*A73*2*Pi</f>
        <v>131.47847983588503</v>
      </c>
      <c r="AL73">
        <v>1</v>
      </c>
      <c r="AM73">
        <f t="shared" ref="AM73:AM136" si="77">(_Rfb1+Rcea2_u)*Cc3ea_u*A73*2*Pi</f>
        <v>2.5792252603421848</v>
      </c>
      <c r="AN73">
        <f t="shared" si="38"/>
        <v>2788.5505734204039</v>
      </c>
      <c r="AO73">
        <f t="shared" si="39"/>
        <v>-7060.8215988717047</v>
      </c>
      <c r="AQ73">
        <f t="shared" ref="AQ73:AQ136" si="78">Eadcg/(1+(Eadcg*A73/GBP)^2)</f>
        <v>6.5703022339027592</v>
      </c>
      <c r="AR73">
        <f t="shared" ref="AR73:AR136" si="79">-(A73*Eadcg*Eadcg/GBP)/(1+(Eadcg*A73/GBP)^2)</f>
        <v>-256.2417871222076</v>
      </c>
      <c r="AT73">
        <f t="shared" si="52"/>
        <v>-445533.82879916416</v>
      </c>
      <c r="AU73">
        <f t="shared" si="53"/>
        <v>-1999788.5201136679</v>
      </c>
      <c r="AV73">
        <f t="shared" si="42"/>
        <v>-1.7900067163125259</v>
      </c>
      <c r="AW73">
        <f t="shared" si="25"/>
        <v>-1775117.1631257611</v>
      </c>
      <c r="AX73">
        <f t="shared" si="26"/>
        <v>-810037.95515763073</v>
      </c>
      <c r="AY73">
        <f t="shared" si="50"/>
        <v>-2.7134877699501958</v>
      </c>
      <c r="BA73">
        <f t="shared" ref="BA73:BA136" si="80">SQRT(AT73^2+AU73^2)/SQRT(AW73^2+AX73^2)</f>
        <v>1.050026745572584</v>
      </c>
      <c r="BB73">
        <f t="shared" si="43"/>
        <v>0.42400722533508178</v>
      </c>
      <c r="BC73">
        <f t="shared" si="44"/>
        <v>0.92348105363766986</v>
      </c>
      <c r="BD73">
        <f t="shared" ref="BD73:BD136" si="81">BC73*180/Pi-180</f>
        <v>-127.08843310580684</v>
      </c>
      <c r="BF73">
        <f t="shared" ref="BF73:BF136" si="82">20*LOG(BA73*J73*F73*C73)</f>
        <v>11.566394849654316</v>
      </c>
      <c r="BG73">
        <f t="shared" ref="BG73:BG136" si="83">(180/Pi)*(D73+H73+BC73)</f>
        <v>-116.98346539291184</v>
      </c>
      <c r="BH73">
        <f t="shared" si="45"/>
        <v>63.016534607088161</v>
      </c>
      <c r="BI73">
        <f t="shared" si="46"/>
        <v>63.016534607088161</v>
      </c>
      <c r="BJ73">
        <f t="shared" ref="BJ73:BJ136" si="84">SUM((BF74&lt;0)*(BF73&gt;0))*A73</f>
        <v>0</v>
      </c>
      <c r="BK73">
        <f t="shared" si="47"/>
        <v>0</v>
      </c>
      <c r="BM73">
        <f t="shared" si="48"/>
        <v>11.142387624319234</v>
      </c>
      <c r="BN73">
        <f t="shared" ref="BN73:BN136" si="85">(H73+D73)*180/Pi</f>
        <v>-169.89503228710501</v>
      </c>
      <c r="BQ73" s="66">
        <f t="shared" si="49"/>
        <v>17.325968025620217</v>
      </c>
      <c r="BR73" s="69"/>
      <c r="BS73" s="69"/>
      <c r="BT73" s="69">
        <v>426.58</v>
      </c>
      <c r="BU73" s="69">
        <v>22.373699999999999</v>
      </c>
      <c r="BV73" s="69">
        <v>-265.14060000000001</v>
      </c>
      <c r="BW73" s="75"/>
      <c r="BY73" s="69"/>
      <c r="BZ73" s="69"/>
      <c r="CA73" s="69"/>
      <c r="CC73" s="69"/>
    </row>
    <row r="74" spans="1:81" ht="13" x14ac:dyDescent="0.3">
      <c r="A74">
        <f t="shared" si="54"/>
        <v>20000</v>
      </c>
      <c r="B74">
        <f t="shared" ref="B74:B137" si="86">A74/1000</f>
        <v>20</v>
      </c>
      <c r="C74">
        <f t="shared" si="55"/>
        <v>1.0000197390139427</v>
      </c>
      <c r="D74">
        <f t="shared" si="56"/>
        <v>6.2831026185542743E-3</v>
      </c>
      <c r="F74">
        <f t="shared" si="57"/>
        <v>0.22606429777853163</v>
      </c>
      <c r="G74">
        <f t="shared" si="58"/>
        <v>0.16410337254028001</v>
      </c>
      <c r="H74">
        <f t="shared" si="59"/>
        <v>-2.9774892774597204</v>
      </c>
      <c r="J74">
        <f t="shared" si="60"/>
        <v>15</v>
      </c>
      <c r="M74">
        <f t="shared" si="61"/>
        <v>5.4918890018549472E-2</v>
      </c>
      <c r="N74">
        <f t="shared" si="62"/>
        <v>-1.5707963250000001</v>
      </c>
      <c r="O74">
        <f t="shared" si="63"/>
        <v>6.959594359867431</v>
      </c>
      <c r="P74">
        <f t="shared" si="64"/>
        <v>1.4266107197901974</v>
      </c>
      <c r="Q74">
        <f t="shared" si="65"/>
        <v>2.8280603805323152</v>
      </c>
      <c r="R74">
        <f t="shared" si="66"/>
        <v>1.2093801878216974</v>
      </c>
      <c r="S74">
        <f t="shared" si="67"/>
        <v>0.99997938334986747</v>
      </c>
      <c r="T74">
        <f t="shared" si="68"/>
        <v>-6.4213271173380005E-3</v>
      </c>
      <c r="U74">
        <f t="shared" si="69"/>
        <v>0.99505519825062416</v>
      </c>
      <c r="V74">
        <f t="shared" si="70"/>
        <v>-9.9487509858342829E-2</v>
      </c>
      <c r="X74">
        <f t="shared" ref="X74:X137" si="87">20*LOG(C74*J74*O74*Q74*F74*M74*S74*U74)</f>
        <v>11.23928773065434</v>
      </c>
      <c r="Y74">
        <f t="shared" si="71"/>
        <v>-115.27454944131325</v>
      </c>
      <c r="Z74">
        <f t="shared" ref="Z74:Z137" si="88">Y74+180</f>
        <v>64.725450558686745</v>
      </c>
      <c r="AC74">
        <v>1</v>
      </c>
      <c r="AD74">
        <f t="shared" si="72"/>
        <v>6.8873763984480005</v>
      </c>
      <c r="AE74">
        <f t="shared" si="73"/>
        <v>-8.6549324284590853E-5</v>
      </c>
      <c r="AF74">
        <f t="shared" si="74"/>
        <v>8.670795714E-4</v>
      </c>
      <c r="AG74">
        <f t="shared" ref="AG74:AG137" si="89">AC74*AE74/(AE74^2+AF74^2)+AD74*AF74/(AE74^2+AF74^2)</f>
        <v>7750.8446320636131</v>
      </c>
      <c r="AH74">
        <f t="shared" ref="AH74:AH137" si="90">AD74*AE74/(AE74^2+AF74^2)-AC74*AF74/(AE74^2+AF74^2)</f>
        <v>-1926.9631307795726</v>
      </c>
      <c r="AJ74">
        <f t="shared" si="75"/>
        <v>21000</v>
      </c>
      <c r="AK74">
        <f t="shared" si="76"/>
        <v>134.8497229086</v>
      </c>
      <c r="AL74">
        <v>1</v>
      </c>
      <c r="AM74">
        <f t="shared" si="77"/>
        <v>2.6453592413766001</v>
      </c>
      <c r="AN74">
        <f t="shared" ref="AN74:AN137" si="91">AJ74*AL74/(AL74^2+AM74^2)+AK74*AM74/(AL74^2+AM74^2)</f>
        <v>2670.2831775737541</v>
      </c>
      <c r="AO74">
        <f t="shared" ref="AO74:AO137" si="92">AK74*AL74/(AL74^2+AM74^2)-AJ74*AM74/(AL74^2+AM74^2)</f>
        <v>-6929.0085579786037</v>
      </c>
      <c r="AQ74">
        <f t="shared" si="78"/>
        <v>6.2460961898813245</v>
      </c>
      <c r="AR74">
        <f t="shared" si="79"/>
        <v>-249.84384759525295</v>
      </c>
      <c r="AT74">
        <f t="shared" si="52"/>
        <v>-433027.36164346832</v>
      </c>
      <c r="AU74">
        <f t="shared" si="53"/>
        <v>-1948536.8420569897</v>
      </c>
      <c r="AV74">
        <f t="shared" ref="AV74:AV137" si="93">ATAN2(AT74,AU74)</f>
        <v>-1.7894746500390184</v>
      </c>
      <c r="AW74">
        <f t="shared" ref="AW74:AW137" si="94">AG74-AH74*AO74/_Rfb2+AG74*AN74/_Rfb2+AN74-AO74*AR74+AQ74*AN74</f>
        <v>-1699173.5140822206</v>
      </c>
      <c r="AX74">
        <f t="shared" ref="AX74:AX137" si="95">AH74+AH74*AN74/_Rfb2+AG74*AO74/_Rfb2+AO74+AO74*AQ74+AN74*AR74</f>
        <v>-758523.18624234619</v>
      </c>
      <c r="AY74">
        <f t="shared" si="50"/>
        <v>-2.7217305677454036</v>
      </c>
      <c r="BA74">
        <f t="shared" si="80"/>
        <v>1.0727007279949388</v>
      </c>
      <c r="BB74">
        <f t="shared" ref="BB74:BB137" si="96">20*LOG(BA74)</f>
        <v>0.60957150718252628</v>
      </c>
      <c r="BC74">
        <f t="shared" ref="BC74:BC137" si="97">AV74-AY74</f>
        <v>0.93225591770638516</v>
      </c>
      <c r="BD74">
        <f t="shared" si="81"/>
        <v>-126.58567042829397</v>
      </c>
      <c r="BF74">
        <f t="shared" si="82"/>
        <v>11.216207734511279</v>
      </c>
      <c r="BG74">
        <f t="shared" si="83"/>
        <v>-116.82324450442692</v>
      </c>
      <c r="BH74">
        <f t="shared" ref="BH74:BH137" si="98">IF(BG74&gt;180,BG74-180,BG74+180)</f>
        <v>63.176755495573076</v>
      </c>
      <c r="BI74">
        <f t="shared" ref="BI74:BI137" si="99">IF(BH74&gt;180,BH74-360,BH74)</f>
        <v>63.176755495573076</v>
      </c>
      <c r="BJ74">
        <f t="shared" si="84"/>
        <v>0</v>
      </c>
      <c r="BK74">
        <f t="shared" ref="BK74:BK137" si="100">IF(BJ74&gt;0,BI74,0)</f>
        <v>0</v>
      </c>
      <c r="BM74">
        <f t="shared" ref="BM74:BM137" si="101">20*LOG(J74*F74*C74)</f>
        <v>10.606636227328751</v>
      </c>
      <c r="BN74">
        <f t="shared" si="85"/>
        <v>-170.23757407613297</v>
      </c>
      <c r="BQ74" s="66">
        <f t="shared" ref="BQ74:BQ137" si="102">20*LOG(BA74*7)</f>
        <v>17.511532307467665</v>
      </c>
      <c r="BR74" s="71"/>
      <c r="BS74" s="71"/>
      <c r="BT74" s="71">
        <v>436.51600000000002</v>
      </c>
      <c r="BU74" s="71">
        <v>22.074100000000001</v>
      </c>
      <c r="BV74" s="71">
        <v>-264.9151</v>
      </c>
      <c r="BW74" s="75"/>
      <c r="BY74" s="71"/>
      <c r="BZ74" s="71"/>
      <c r="CA74" s="71"/>
      <c r="CC74" s="71"/>
    </row>
    <row r="75" spans="1:81" ht="13" x14ac:dyDescent="0.3">
      <c r="A75">
        <f t="shared" si="54"/>
        <v>20500</v>
      </c>
      <c r="B75">
        <f t="shared" si="86"/>
        <v>20.5</v>
      </c>
      <c r="C75">
        <f t="shared" si="55"/>
        <v>1.0000207382911621</v>
      </c>
      <c r="D75">
        <f t="shared" si="56"/>
        <v>6.4401758937330036E-3</v>
      </c>
      <c r="F75">
        <f t="shared" si="57"/>
        <v>0.21299683137185199</v>
      </c>
      <c r="G75">
        <f t="shared" si="58"/>
        <v>0.15843457399904715</v>
      </c>
      <c r="H75">
        <f t="shared" si="59"/>
        <v>-2.9831580760009531</v>
      </c>
      <c r="J75">
        <f t="shared" si="60"/>
        <v>15</v>
      </c>
      <c r="M75">
        <f t="shared" si="61"/>
        <v>5.3579404896145821E-2</v>
      </c>
      <c r="N75">
        <f t="shared" si="62"/>
        <v>-1.5707963250000001</v>
      </c>
      <c r="O75">
        <f t="shared" si="63"/>
        <v>7.1300349794111924</v>
      </c>
      <c r="P75">
        <f t="shared" si="64"/>
        <v>1.4300806369789005</v>
      </c>
      <c r="Q75">
        <f t="shared" si="65"/>
        <v>2.8900165216103648</v>
      </c>
      <c r="R75">
        <f t="shared" si="66"/>
        <v>1.2174718995546125</v>
      </c>
      <c r="S75">
        <f t="shared" si="67"/>
        <v>0.99997833966586525</v>
      </c>
      <c r="T75">
        <f t="shared" si="68"/>
        <v>-6.5818557155622242E-3</v>
      </c>
      <c r="U75">
        <f t="shared" si="69"/>
        <v>0.99480681438698904</v>
      </c>
      <c r="V75">
        <f t="shared" si="70"/>
        <v>-0.10195770408292879</v>
      </c>
      <c r="X75">
        <f t="shared" si="87"/>
        <v>10.903852485826748</v>
      </c>
      <c r="Y75">
        <f t="shared" si="71"/>
        <v>-115.07864480998057</v>
      </c>
      <c r="Z75">
        <f t="shared" si="88"/>
        <v>64.921355190019426</v>
      </c>
      <c r="AC75">
        <v>1</v>
      </c>
      <c r="AD75">
        <f t="shared" si="72"/>
        <v>7.0595608084092003</v>
      </c>
      <c r="AE75">
        <f t="shared" si="73"/>
        <v>-9.093088382649826E-5</v>
      </c>
      <c r="AF75">
        <f t="shared" si="74"/>
        <v>8.8875656068500004E-4</v>
      </c>
      <c r="AG75">
        <f t="shared" si="89"/>
        <v>7746.9756116133294</v>
      </c>
      <c r="AH75">
        <f t="shared" si="90"/>
        <v>-1917.7797551588794</v>
      </c>
      <c r="AJ75">
        <f t="shared" si="75"/>
        <v>21000</v>
      </c>
      <c r="AK75">
        <f t="shared" si="76"/>
        <v>138.22096598131503</v>
      </c>
      <c r="AL75">
        <v>1</v>
      </c>
      <c r="AM75">
        <f t="shared" si="77"/>
        <v>2.7114932224110153</v>
      </c>
      <c r="AN75">
        <f t="shared" si="91"/>
        <v>2559.18162174083</v>
      </c>
      <c r="AO75">
        <f t="shared" si="92"/>
        <v>-6800.982656287777</v>
      </c>
      <c r="AQ75">
        <f t="shared" si="78"/>
        <v>5.9453032104637336</v>
      </c>
      <c r="AR75">
        <f t="shared" si="79"/>
        <v>-243.75743162901307</v>
      </c>
      <c r="AT75">
        <f t="shared" si="52"/>
        <v>-421414.94857253705</v>
      </c>
      <c r="AU75">
        <f t="shared" si="53"/>
        <v>-1899784.6601147763</v>
      </c>
      <c r="AV75">
        <f t="shared" si="93"/>
        <v>-1.7890843115211028</v>
      </c>
      <c r="AW75">
        <f t="shared" si="94"/>
        <v>-1627746.7097343218</v>
      </c>
      <c r="AX75">
        <f t="shared" si="95"/>
        <v>-711368.86793804355</v>
      </c>
      <c r="AY75">
        <f t="shared" ref="AY75:AY138" si="103">ATAN2(AW75,AX75)</f>
        <v>-2.7295794936914595</v>
      </c>
      <c r="BA75">
        <f t="shared" si="80"/>
        <v>1.0954518109234992</v>
      </c>
      <c r="BB75">
        <f t="shared" si="96"/>
        <v>0.79186555285326155</v>
      </c>
      <c r="BC75">
        <f t="shared" si="97"/>
        <v>0.94049518217035666</v>
      </c>
      <c r="BD75">
        <f t="shared" si="81"/>
        <v>-126.11359534767686</v>
      </c>
      <c r="BF75">
        <f t="shared" si="82"/>
        <v>10.881333717489632</v>
      </c>
      <c r="BG75">
        <f t="shared" si="83"/>
        <v>-116.66696801975118</v>
      </c>
      <c r="BH75">
        <f t="shared" si="98"/>
        <v>63.333031980248819</v>
      </c>
      <c r="BI75">
        <f t="shared" si="99"/>
        <v>63.333031980248819</v>
      </c>
      <c r="BJ75">
        <f t="shared" si="84"/>
        <v>0</v>
      </c>
      <c r="BK75">
        <f t="shared" si="100"/>
        <v>0</v>
      </c>
      <c r="BM75">
        <f t="shared" si="101"/>
        <v>10.08946816463637</v>
      </c>
      <c r="BN75">
        <f t="shared" si="85"/>
        <v>-170.55337267207435</v>
      </c>
      <c r="BQ75" s="66">
        <f t="shared" si="102"/>
        <v>17.693826353138398</v>
      </c>
      <c r="BR75" s="71"/>
      <c r="BS75" s="71"/>
      <c r="BT75" s="71">
        <v>446.68400000000003</v>
      </c>
      <c r="BU75" s="71">
        <v>21.761099999999999</v>
      </c>
      <c r="BV75" s="71">
        <v>-265.3082</v>
      </c>
      <c r="BW75" s="75"/>
      <c r="BY75" s="71"/>
      <c r="BZ75" s="71"/>
      <c r="CA75" s="71"/>
      <c r="CC75" s="71"/>
    </row>
    <row r="76" spans="1:81" ht="13" x14ac:dyDescent="0.3">
      <c r="A76">
        <f t="shared" si="54"/>
        <v>21000</v>
      </c>
      <c r="B76">
        <f t="shared" si="86"/>
        <v>21</v>
      </c>
      <c r="C76">
        <f t="shared" si="55"/>
        <v>1.0000217622408571</v>
      </c>
      <c r="D76">
        <f t="shared" si="56"/>
        <v>6.5972488511237696E-3</v>
      </c>
      <c r="F76">
        <f t="shared" si="57"/>
        <v>0.20108332475413157</v>
      </c>
      <c r="G76">
        <f t="shared" si="58"/>
        <v>0.15317912268485401</v>
      </c>
      <c r="H76">
        <f t="shared" si="59"/>
        <v>-2.9884135273151462</v>
      </c>
      <c r="J76">
        <f t="shared" si="60"/>
        <v>15</v>
      </c>
      <c r="M76">
        <f t="shared" si="61"/>
        <v>5.2303704779570928E-2</v>
      </c>
      <c r="N76">
        <f t="shared" si="62"/>
        <v>-1.5707963250000001</v>
      </c>
      <c r="O76">
        <f t="shared" si="63"/>
        <v>7.3005574378552183</v>
      </c>
      <c r="P76">
        <f t="shared" si="64"/>
        <v>1.433388495574681</v>
      </c>
      <c r="Q76">
        <f t="shared" si="65"/>
        <v>2.9521539392992509</v>
      </c>
      <c r="R76">
        <f t="shared" si="66"/>
        <v>1.2252234698587534</v>
      </c>
      <c r="S76">
        <f t="shared" si="67"/>
        <v>0.99997727021527749</v>
      </c>
      <c r="T76">
        <f t="shared" si="68"/>
        <v>-6.7423839745609166E-3</v>
      </c>
      <c r="U76">
        <f t="shared" si="69"/>
        <v>0.99455249043928728</v>
      </c>
      <c r="V76">
        <f t="shared" si="70"/>
        <v>-0.10442665034814702</v>
      </c>
      <c r="X76">
        <f t="shared" si="87"/>
        <v>10.58244158450133</v>
      </c>
      <c r="Y76">
        <f t="shared" si="71"/>
        <v>-114.88775956475237</v>
      </c>
      <c r="Z76">
        <f t="shared" si="88"/>
        <v>65.112240435247628</v>
      </c>
      <c r="AC76">
        <v>1</v>
      </c>
      <c r="AD76">
        <f t="shared" si="72"/>
        <v>7.2317452183704001</v>
      </c>
      <c r="AE76">
        <f t="shared" si="73"/>
        <v>-9.5420630023761423E-5</v>
      </c>
      <c r="AF76">
        <f t="shared" si="74"/>
        <v>9.1043354997000009E-4</v>
      </c>
      <c r="AG76">
        <f t="shared" si="89"/>
        <v>7743.015064612393</v>
      </c>
      <c r="AH76">
        <f t="shared" si="90"/>
        <v>-1909.9069622446223</v>
      </c>
      <c r="AJ76">
        <f t="shared" si="75"/>
        <v>21000</v>
      </c>
      <c r="AK76">
        <f t="shared" si="76"/>
        <v>141.59220905403001</v>
      </c>
      <c r="AL76">
        <v>1</v>
      </c>
      <c r="AM76">
        <f t="shared" si="77"/>
        <v>2.7776272034454301</v>
      </c>
      <c r="AN76">
        <f t="shared" si="91"/>
        <v>2454.706576074364</v>
      </c>
      <c r="AO76">
        <f t="shared" si="92"/>
        <v>-6676.6675531265118</v>
      </c>
      <c r="AQ76">
        <f t="shared" si="78"/>
        <v>5.6657223796033991</v>
      </c>
      <c r="AR76">
        <f t="shared" si="79"/>
        <v>-237.96033994334277</v>
      </c>
      <c r="AT76">
        <f t="shared" si="52"/>
        <v>-410612.33625870675</v>
      </c>
      <c r="AU76">
        <f t="shared" si="53"/>
        <v>-1853351.4995805388</v>
      </c>
      <c r="AV76">
        <f t="shared" si="93"/>
        <v>-1.7888257821781892</v>
      </c>
      <c r="AW76">
        <f t="shared" si="94"/>
        <v>-1560506.6622376021</v>
      </c>
      <c r="AX76">
        <f t="shared" si="95"/>
        <v>-668128.06301289285</v>
      </c>
      <c r="AY76">
        <f t="shared" si="103"/>
        <v>-2.7370585073236828</v>
      </c>
      <c r="BA76">
        <f t="shared" si="80"/>
        <v>1.1182736008899548</v>
      </c>
      <c r="BB76">
        <f t="shared" si="96"/>
        <v>0.97096145239785825</v>
      </c>
      <c r="BC76">
        <f t="shared" si="97"/>
        <v>0.94823272514549362</v>
      </c>
      <c r="BD76">
        <f t="shared" si="81"/>
        <v>-125.67026679089383</v>
      </c>
      <c r="BF76">
        <f t="shared" si="82"/>
        <v>10.560496802517614</v>
      </c>
      <c r="BG76">
        <f t="shared" si="83"/>
        <v>-116.51575502550757</v>
      </c>
      <c r="BH76">
        <f t="shared" si="98"/>
        <v>63.484244974492427</v>
      </c>
      <c r="BI76">
        <f t="shared" si="99"/>
        <v>63.484244974492427</v>
      </c>
      <c r="BJ76">
        <f t="shared" si="84"/>
        <v>0</v>
      </c>
      <c r="BK76">
        <f t="shared" si="100"/>
        <v>0</v>
      </c>
      <c r="BM76">
        <f t="shared" si="101"/>
        <v>9.5895353501197551</v>
      </c>
      <c r="BN76">
        <f t="shared" si="85"/>
        <v>-170.84548823461373</v>
      </c>
      <c r="BQ76" s="66">
        <f t="shared" si="102"/>
        <v>17.872922252682994</v>
      </c>
      <c r="BR76" s="70"/>
      <c r="BS76" s="70"/>
      <c r="BT76" s="71">
        <v>457.08800000000002</v>
      </c>
      <c r="BU76" s="70">
        <v>21.6126</v>
      </c>
      <c r="BV76" s="70">
        <v>-265.65139999999997</v>
      </c>
      <c r="BW76" s="75"/>
      <c r="BY76" s="71"/>
      <c r="BZ76" s="70"/>
      <c r="CA76" s="70"/>
      <c r="CC76" s="71"/>
    </row>
    <row r="77" spans="1:81" ht="13" x14ac:dyDescent="0.3">
      <c r="A77">
        <f t="shared" si="54"/>
        <v>21500</v>
      </c>
      <c r="B77">
        <f t="shared" si="86"/>
        <v>21.5</v>
      </c>
      <c r="C77">
        <f t="shared" si="55"/>
        <v>1.0000228108629521</v>
      </c>
      <c r="D77">
        <f t="shared" si="56"/>
        <v>6.7543214829769776E-3</v>
      </c>
      <c r="F77">
        <f t="shared" si="57"/>
        <v>0.19018691013804701</v>
      </c>
      <c r="G77">
        <f t="shared" si="58"/>
        <v>0.14829158071113824</v>
      </c>
      <c r="H77">
        <f t="shared" si="59"/>
        <v>-2.993301069288862</v>
      </c>
      <c r="J77">
        <f t="shared" si="60"/>
        <v>15</v>
      </c>
      <c r="M77">
        <f t="shared" si="61"/>
        <v>5.1087339552139045E-2</v>
      </c>
      <c r="N77">
        <f t="shared" si="62"/>
        <v>-1.5707963250000001</v>
      </c>
      <c r="O77">
        <f t="shared" si="63"/>
        <v>7.4711561315024406</v>
      </c>
      <c r="P77">
        <f t="shared" si="64"/>
        <v>1.4365453220740523</v>
      </c>
      <c r="Q77">
        <f t="shared" si="65"/>
        <v>3.0144614235969605</v>
      </c>
      <c r="R77">
        <f t="shared" si="66"/>
        <v>1.2326550289196176</v>
      </c>
      <c r="S77">
        <f t="shared" si="67"/>
        <v>0.99997617499835234</v>
      </c>
      <c r="T77">
        <f t="shared" si="68"/>
        <v>-6.9029118860617729E-3</v>
      </c>
      <c r="U77">
        <f t="shared" si="69"/>
        <v>0.99429224026007967</v>
      </c>
      <c r="V77">
        <f t="shared" si="70"/>
        <v>-0.1068943195227484</v>
      </c>
      <c r="X77">
        <f t="shared" si="87"/>
        <v>10.273926416440773</v>
      </c>
      <c r="Y77">
        <f t="shared" si="71"/>
        <v>-114.70271028924915</v>
      </c>
      <c r="Z77">
        <f t="shared" si="88"/>
        <v>65.297289710750846</v>
      </c>
      <c r="AC77">
        <v>1</v>
      </c>
      <c r="AD77">
        <f t="shared" si="72"/>
        <v>7.4039296283316007</v>
      </c>
      <c r="AE77">
        <f t="shared" si="73"/>
        <v>-1.0001856287638032E-4</v>
      </c>
      <c r="AF77">
        <f t="shared" si="74"/>
        <v>9.3211053925500002E-4</v>
      </c>
      <c r="AG77">
        <f t="shared" si="89"/>
        <v>7738.9632776560029</v>
      </c>
      <c r="AH77">
        <f t="shared" si="90"/>
        <v>-1903.2506451457537</v>
      </c>
      <c r="AJ77">
        <f t="shared" si="75"/>
        <v>21000</v>
      </c>
      <c r="AK77">
        <f t="shared" si="76"/>
        <v>144.96345212674501</v>
      </c>
      <c r="AL77">
        <v>1</v>
      </c>
      <c r="AM77">
        <f t="shared" si="77"/>
        <v>2.8437611844798449</v>
      </c>
      <c r="AN77">
        <f t="shared" si="91"/>
        <v>2356.3655822284118</v>
      </c>
      <c r="AO77">
        <f t="shared" si="92"/>
        <v>-6555.9775270586624</v>
      </c>
      <c r="AQ77">
        <f t="shared" si="78"/>
        <v>5.4054054054054053</v>
      </c>
      <c r="AR77">
        <f t="shared" si="79"/>
        <v>-232.43243243243242</v>
      </c>
      <c r="AT77">
        <f t="shared" si="52"/>
        <v>-400544.94304654811</v>
      </c>
      <c r="AU77">
        <f t="shared" si="53"/>
        <v>-1809073.9004559668</v>
      </c>
      <c r="AV77">
        <f t="shared" si="93"/>
        <v>-1.7886900282280263</v>
      </c>
      <c r="AW77">
        <f t="shared" si="94"/>
        <v>-1497150.5913036596</v>
      </c>
      <c r="AX77">
        <f t="shared" si="95"/>
        <v>-628406.87760917854</v>
      </c>
      <c r="AY77">
        <f t="shared" si="103"/>
        <v>-2.7441897344088302</v>
      </c>
      <c r="BA77">
        <f t="shared" si="80"/>
        <v>1.1411602269205807</v>
      </c>
      <c r="BB77">
        <f t="shared" si="96"/>
        <v>1.1469325339746939</v>
      </c>
      <c r="BC77">
        <f t="shared" si="97"/>
        <v>0.95549970618080393</v>
      </c>
      <c r="BD77">
        <f t="shared" si="81"/>
        <v>-125.25389944729318</v>
      </c>
      <c r="BF77">
        <f t="shared" si="82"/>
        <v>10.252568300392165</v>
      </c>
      <c r="BG77">
        <f t="shared" si="83"/>
        <v>-116.37042361062137</v>
      </c>
      <c r="BH77">
        <f t="shared" si="98"/>
        <v>63.629576389378627</v>
      </c>
      <c r="BI77">
        <f t="shared" si="99"/>
        <v>63.629576389378627</v>
      </c>
      <c r="BJ77">
        <f t="shared" si="84"/>
        <v>0</v>
      </c>
      <c r="BK77">
        <f t="shared" si="100"/>
        <v>0</v>
      </c>
      <c r="BM77">
        <f t="shared" si="101"/>
        <v>9.1056357664174712</v>
      </c>
      <c r="BN77">
        <f t="shared" si="85"/>
        <v>-171.11652416332819</v>
      </c>
      <c r="BQ77" s="66">
        <f t="shared" si="102"/>
        <v>18.04889333425983</v>
      </c>
      <c r="BR77" s="72"/>
      <c r="BS77" s="72"/>
      <c r="BT77" s="72">
        <v>467.73500000000001</v>
      </c>
      <c r="BU77" s="72">
        <v>21.3672</v>
      </c>
      <c r="BV77" s="72">
        <v>-265.05009999999999</v>
      </c>
      <c r="BW77" s="75"/>
      <c r="BY77" s="72"/>
      <c r="BZ77" s="72"/>
      <c r="CA77" s="72"/>
      <c r="CC77" s="72"/>
    </row>
    <row r="78" spans="1:81" ht="13" x14ac:dyDescent="0.3">
      <c r="A78">
        <f t="shared" si="54"/>
        <v>22000</v>
      </c>
      <c r="B78">
        <f t="shared" si="86"/>
        <v>22</v>
      </c>
      <c r="C78">
        <f t="shared" si="55"/>
        <v>1.0000238841573696</v>
      </c>
      <c r="D78">
        <f t="shared" si="56"/>
        <v>6.9113937815431315E-3</v>
      </c>
      <c r="F78">
        <f t="shared" si="57"/>
        <v>0.18019096708352628</v>
      </c>
      <c r="G78">
        <f t="shared" si="58"/>
        <v>0.14373304151405591</v>
      </c>
      <c r="H78">
        <f t="shared" si="59"/>
        <v>-2.9978596084859443</v>
      </c>
      <c r="J78">
        <f t="shared" si="60"/>
        <v>15</v>
      </c>
      <c r="M78">
        <f t="shared" si="61"/>
        <v>4.9926263653226791E-2</v>
      </c>
      <c r="N78">
        <f t="shared" si="62"/>
        <v>-1.5707963250000001</v>
      </c>
      <c r="O78">
        <f t="shared" si="63"/>
        <v>7.6418259546535898</v>
      </c>
      <c r="P78">
        <f t="shared" si="64"/>
        <v>1.4395611706388054</v>
      </c>
      <c r="Q78">
        <f t="shared" si="65"/>
        <v>3.0769286430275344</v>
      </c>
      <c r="R78">
        <f t="shared" si="66"/>
        <v>1.239785220372033</v>
      </c>
      <c r="S78">
        <f t="shared" si="67"/>
        <v>0.9999750540153437</v>
      </c>
      <c r="T78">
        <f t="shared" si="68"/>
        <v>-7.0634394417925924E-3</v>
      </c>
      <c r="U78">
        <f t="shared" si="69"/>
        <v>0.99402607800508536</v>
      </c>
      <c r="V78">
        <f t="shared" si="70"/>
        <v>-0.10936068256782505</v>
      </c>
      <c r="X78">
        <f t="shared" si="87"/>
        <v>9.9773044937429756</v>
      </c>
      <c r="Y78">
        <f t="shared" si="71"/>
        <v>-114.5240802389108</v>
      </c>
      <c r="Z78">
        <f t="shared" si="88"/>
        <v>65.475919761089202</v>
      </c>
      <c r="AC78">
        <v>1</v>
      </c>
      <c r="AD78">
        <f t="shared" si="72"/>
        <v>7.5761140382928005</v>
      </c>
      <c r="AE78">
        <f t="shared" si="73"/>
        <v>-1.0472468238435492E-4</v>
      </c>
      <c r="AF78">
        <f t="shared" si="74"/>
        <v>9.5378752854000006E-4</v>
      </c>
      <c r="AG78">
        <f t="shared" si="89"/>
        <v>7734.8205434836136</v>
      </c>
      <c r="AH78">
        <f t="shared" si="90"/>
        <v>-1897.7251961838751</v>
      </c>
      <c r="AJ78">
        <f t="shared" si="75"/>
        <v>21000</v>
      </c>
      <c r="AK78">
        <f t="shared" si="76"/>
        <v>148.33469519946001</v>
      </c>
      <c r="AL78">
        <v>1</v>
      </c>
      <c r="AM78">
        <f t="shared" si="77"/>
        <v>2.9098951655142602</v>
      </c>
      <c r="AN78">
        <f t="shared" si="91"/>
        <v>2263.7086172813492</v>
      </c>
      <c r="AO78">
        <f t="shared" si="92"/>
        <v>-6438.8200663605085</v>
      </c>
      <c r="AQ78">
        <f t="shared" si="78"/>
        <v>5.1626226122870422</v>
      </c>
      <c r="AR78">
        <f t="shared" si="79"/>
        <v>-227.15539494062983</v>
      </c>
      <c r="AT78">
        <f t="shared" si="52"/>
        <v>-391146.55698816152</v>
      </c>
      <c r="AU78">
        <f t="shared" si="53"/>
        <v>-1766803.4543596429</v>
      </c>
      <c r="AV78">
        <f t="shared" si="93"/>
        <v>-1.7886688046771717</v>
      </c>
      <c r="AW78">
        <f t="shared" si="94"/>
        <v>-1437400.6667739486</v>
      </c>
      <c r="AX78">
        <f t="shared" si="95"/>
        <v>-591857.37805924541</v>
      </c>
      <c r="AY78">
        <f t="shared" si="103"/>
        <v>-2.7509936312333219</v>
      </c>
      <c r="BA78">
        <f t="shared" si="80"/>
        <v>1.1641062858057978</v>
      </c>
      <c r="BB78">
        <f t="shared" si="96"/>
        <v>1.3198526858593029</v>
      </c>
      <c r="BC78">
        <f t="shared" si="97"/>
        <v>0.96232482655615015</v>
      </c>
      <c r="BD78">
        <f t="shared" si="81"/>
        <v>-124.86284885467026</v>
      </c>
      <c r="BF78">
        <f t="shared" si="82"/>
        <v>9.9565456425107044</v>
      </c>
      <c r="BG78">
        <f t="shared" si="83"/>
        <v>-116.23155849523812</v>
      </c>
      <c r="BH78">
        <f t="shared" si="98"/>
        <v>63.768441504761881</v>
      </c>
      <c r="BI78">
        <f t="shared" si="99"/>
        <v>63.768441504761881</v>
      </c>
      <c r="BJ78">
        <f t="shared" si="84"/>
        <v>0</v>
      </c>
      <c r="BK78">
        <f t="shared" si="100"/>
        <v>0</v>
      </c>
      <c r="BM78">
        <f t="shared" si="101"/>
        <v>8.6366929566514017</v>
      </c>
      <c r="BN78">
        <f t="shared" si="85"/>
        <v>-171.36870964056789</v>
      </c>
      <c r="BQ78" s="66">
        <f t="shared" si="102"/>
        <v>18.221813486144441</v>
      </c>
      <c r="BR78" s="72"/>
      <c r="BS78" s="72"/>
      <c r="BT78" s="72">
        <v>478.63</v>
      </c>
      <c r="BU78" s="72">
        <v>21.195799999999998</v>
      </c>
      <c r="BV78" s="72">
        <v>-264.35129999999998</v>
      </c>
      <c r="BW78" s="75"/>
      <c r="BY78" s="72"/>
      <c r="BZ78" s="72"/>
      <c r="CA78" s="72"/>
      <c r="CC78" s="72"/>
    </row>
    <row r="79" spans="1:81" ht="13" x14ac:dyDescent="0.3">
      <c r="A79">
        <f t="shared" si="54"/>
        <v>22500</v>
      </c>
      <c r="B79">
        <f t="shared" si="86"/>
        <v>22.5</v>
      </c>
      <c r="C79">
        <f t="shared" si="55"/>
        <v>1.0000249821240299</v>
      </c>
      <c r="D79">
        <f t="shared" si="56"/>
        <v>7.0684657390728354E-3</v>
      </c>
      <c r="F79">
        <f t="shared" si="57"/>
        <v>0.17099556256867016</v>
      </c>
      <c r="G79">
        <f t="shared" si="58"/>
        <v>0.13946999078852065</v>
      </c>
      <c r="H79">
        <f t="shared" si="59"/>
        <v>-3.0021226592114796</v>
      </c>
      <c r="J79">
        <f t="shared" si="60"/>
        <v>15</v>
      </c>
      <c r="M79">
        <f t="shared" si="61"/>
        <v>4.8816791127599533E-2</v>
      </c>
      <c r="N79">
        <f t="shared" si="62"/>
        <v>-1.5707963250000001</v>
      </c>
      <c r="O79">
        <f t="shared" si="63"/>
        <v>7.812562245717813</v>
      </c>
      <c r="P79">
        <f t="shared" si="64"/>
        <v>1.4424452273499833</v>
      </c>
      <c r="Q79">
        <f t="shared" si="65"/>
        <v>3.1395460629057887</v>
      </c>
      <c r="R79">
        <f t="shared" si="66"/>
        <v>1.2466313288292021</v>
      </c>
      <c r="S79">
        <f t="shared" si="67"/>
        <v>0.9999739072665117</v>
      </c>
      <c r="T79">
        <f t="shared" si="68"/>
        <v>-7.2239666334812849E-3</v>
      </c>
      <c r="U79">
        <f t="shared" si="69"/>
        <v>0.99375401813107256</v>
      </c>
      <c r="V79">
        <f t="shared" si="70"/>
        <v>-0.11182571053876081</v>
      </c>
      <c r="X79">
        <f t="shared" si="87"/>
        <v>9.6916818586714406</v>
      </c>
      <c r="Y79">
        <f t="shared" si="71"/>
        <v>-114.35227132447719</v>
      </c>
      <c r="Z79">
        <f t="shared" si="88"/>
        <v>65.647728675522814</v>
      </c>
      <c r="AC79">
        <v>1</v>
      </c>
      <c r="AD79">
        <f t="shared" si="72"/>
        <v>7.7482984482540003</v>
      </c>
      <c r="AE79">
        <f t="shared" si="73"/>
        <v>-1.095389885476853E-4</v>
      </c>
      <c r="AF79">
        <f t="shared" si="74"/>
        <v>9.7546451782500011E-4</v>
      </c>
      <c r="AG79">
        <f t="shared" si="89"/>
        <v>7730.5871609268816</v>
      </c>
      <c r="AH79">
        <f t="shared" si="90"/>
        <v>-1893.2525629999095</v>
      </c>
      <c r="AJ79">
        <f t="shared" si="75"/>
        <v>21000</v>
      </c>
      <c r="AK79">
        <f t="shared" si="76"/>
        <v>151.70593827217502</v>
      </c>
      <c r="AL79">
        <v>1</v>
      </c>
      <c r="AM79">
        <f t="shared" si="77"/>
        <v>2.976029146548675</v>
      </c>
      <c r="AN79">
        <f t="shared" si="91"/>
        <v>2176.3240848435162</v>
      </c>
      <c r="AO79">
        <f t="shared" si="92"/>
        <v>-6325.0979705580003</v>
      </c>
      <c r="AQ79">
        <f t="shared" si="78"/>
        <v>4.9358341559723593</v>
      </c>
      <c r="AR79">
        <f t="shared" si="79"/>
        <v>-222.11253701875617</v>
      </c>
      <c r="AT79">
        <f t="shared" si="52"/>
        <v>-382358.23383054812</v>
      </c>
      <c r="AU79">
        <f t="shared" si="53"/>
        <v>-1726405.1076244302</v>
      </c>
      <c r="AV79">
        <f t="shared" si="93"/>
        <v>-1.7887545714518516</v>
      </c>
      <c r="AW79">
        <f t="shared" si="94"/>
        <v>-1381001.8344117352</v>
      </c>
      <c r="AX79">
        <f t="shared" si="95"/>
        <v>-558171.55053902487</v>
      </c>
      <c r="AY79">
        <f t="shared" si="103"/>
        <v>-2.7574891324502007</v>
      </c>
      <c r="BA79">
        <f t="shared" si="80"/>
        <v>1.1871067940998525</v>
      </c>
      <c r="BB79">
        <f t="shared" si="96"/>
        <v>1.4897958113072973</v>
      </c>
      <c r="BC79">
        <f t="shared" si="97"/>
        <v>0.96873456099834909</v>
      </c>
      <c r="BD79">
        <f t="shared" si="81"/>
        <v>-124.49559812291297</v>
      </c>
      <c r="BF79">
        <f t="shared" si="82"/>
        <v>9.6715347887134921</v>
      </c>
      <c r="BG79">
        <f t="shared" si="83"/>
        <v>-116.0995630179267</v>
      </c>
      <c r="BH79">
        <f t="shared" si="98"/>
        <v>63.900436982073302</v>
      </c>
      <c r="BI79">
        <f t="shared" si="99"/>
        <v>63.900436982073302</v>
      </c>
      <c r="BJ79">
        <f t="shared" si="84"/>
        <v>0</v>
      </c>
      <c r="BK79">
        <f t="shared" si="100"/>
        <v>0</v>
      </c>
      <c r="BM79">
        <f t="shared" si="101"/>
        <v>8.1817389774061962</v>
      </c>
      <c r="BN79">
        <f t="shared" si="85"/>
        <v>-171.60396489501372</v>
      </c>
      <c r="BQ79" s="66">
        <f t="shared" si="102"/>
        <v>18.391756611592434</v>
      </c>
      <c r="BR79" s="71"/>
      <c r="BS79" s="71"/>
      <c r="BT79" s="71">
        <v>489.779</v>
      </c>
      <c r="BU79" s="71">
        <v>20.944800000000001</v>
      </c>
      <c r="BV79" s="71">
        <v>-263.91079999999999</v>
      </c>
      <c r="BW79" s="75"/>
      <c r="BY79" s="71"/>
      <c r="BZ79" s="71"/>
      <c r="CA79" s="71"/>
      <c r="CC79" s="71"/>
    </row>
    <row r="80" spans="1:81" ht="13" x14ac:dyDescent="0.3">
      <c r="A80">
        <f t="shared" si="54"/>
        <v>23000</v>
      </c>
      <c r="B80">
        <f t="shared" si="86"/>
        <v>23</v>
      </c>
      <c r="C80">
        <f t="shared" si="55"/>
        <v>1.000026104762852</v>
      </c>
      <c r="D80">
        <f t="shared" si="56"/>
        <v>7.2255373478167899E-3</v>
      </c>
      <c r="F80">
        <f t="shared" si="57"/>
        <v>0.16251461039406434</v>
      </c>
      <c r="G80">
        <f t="shared" si="58"/>
        <v>0.13547339794931176</v>
      </c>
      <c r="H80">
        <f t="shared" si="59"/>
        <v>-3.0061192520506883</v>
      </c>
      <c r="J80">
        <f t="shared" si="60"/>
        <v>15</v>
      </c>
      <c r="M80">
        <f t="shared" si="61"/>
        <v>4.7755556537869101E-2</v>
      </c>
      <c r="N80">
        <f t="shared" si="62"/>
        <v>-1.5707963250000001</v>
      </c>
      <c r="O80">
        <f t="shared" si="63"/>
        <v>7.9833607401445192</v>
      </c>
      <c r="P80">
        <f t="shared" si="64"/>
        <v>1.445205901405594</v>
      </c>
      <c r="Q80">
        <f t="shared" si="65"/>
        <v>3.2023048722484448</v>
      </c>
      <c r="R80">
        <f t="shared" si="66"/>
        <v>1.2532093953820891</v>
      </c>
      <c r="S80">
        <f t="shared" si="67"/>
        <v>0.99997273475212212</v>
      </c>
      <c r="T80">
        <f t="shared" si="68"/>
        <v>-7.3844934528558767E-3</v>
      </c>
      <c r="U80">
        <f t="shared" si="69"/>
        <v>0.99347607539371485</v>
      </c>
      <c r="V80">
        <f t="shared" si="70"/>
        <v>-0.11428937458716487</v>
      </c>
      <c r="X80">
        <f t="shared" si="87"/>
        <v>9.4162583907129189</v>
      </c>
      <c r="Y80">
        <f t="shared" si="71"/>
        <v>-114.18754432467163</v>
      </c>
      <c r="Z80">
        <f t="shared" si="88"/>
        <v>65.812455675328366</v>
      </c>
      <c r="AC80">
        <v>1</v>
      </c>
      <c r="AD80">
        <f t="shared" si="72"/>
        <v>7.9204828582152</v>
      </c>
      <c r="AE80">
        <f t="shared" si="73"/>
        <v>-1.1446148136637141E-4</v>
      </c>
      <c r="AF80">
        <f t="shared" si="74"/>
        <v>9.9714150711000004E-4</v>
      </c>
      <c r="AG80">
        <f t="shared" si="89"/>
        <v>7726.2634348566307</v>
      </c>
      <c r="AH80">
        <f t="shared" si="90"/>
        <v>-1889.7614277856401</v>
      </c>
      <c r="AJ80">
        <f t="shared" si="75"/>
        <v>21000</v>
      </c>
      <c r="AK80">
        <f t="shared" si="76"/>
        <v>155.07718134489002</v>
      </c>
      <c r="AL80">
        <v>1</v>
      </c>
      <c r="AM80">
        <f t="shared" si="77"/>
        <v>3.0421631275830903</v>
      </c>
      <c r="AN80">
        <f t="shared" si="91"/>
        <v>2093.8351967548106</v>
      </c>
      <c r="AO80">
        <f t="shared" si="92"/>
        <v>-6214.7110494582803</v>
      </c>
      <c r="AQ80">
        <f t="shared" si="78"/>
        <v>4.7236655644780345</v>
      </c>
      <c r="AR80">
        <f t="shared" si="79"/>
        <v>-217.28861596598961</v>
      </c>
      <c r="AT80">
        <f t="shared" si="52"/>
        <v>-374127.36062013608</v>
      </c>
      <c r="AU80">
        <f t="shared" si="53"/>
        <v>-1687755.6893301399</v>
      </c>
      <c r="AV80">
        <f t="shared" si="93"/>
        <v>-1.7889404199295713</v>
      </c>
      <c r="AW80">
        <f t="shared" si="94"/>
        <v>-1327719.8193216494</v>
      </c>
      <c r="AX80">
        <f t="shared" si="95"/>
        <v>-527076.13683887688</v>
      </c>
      <c r="AY80">
        <f t="shared" si="103"/>
        <v>-2.7636937842496732</v>
      </c>
      <c r="BA80">
        <f t="shared" si="80"/>
        <v>1.2101571459027429</v>
      </c>
      <c r="BB80">
        <f t="shared" si="96"/>
        <v>1.6568353925612413</v>
      </c>
      <c r="BC80">
        <f t="shared" si="97"/>
        <v>0.97475336432010184</v>
      </c>
      <c r="BD80">
        <f t="shared" si="81"/>
        <v>-124.15074609446316</v>
      </c>
      <c r="BF80">
        <f t="shared" si="82"/>
        <v>9.3967355343532635</v>
      </c>
      <c r="BG80">
        <f t="shared" si="83"/>
        <v>-115.97469935158476</v>
      </c>
      <c r="BH80">
        <f t="shared" si="98"/>
        <v>64.025300648415239</v>
      </c>
      <c r="BI80">
        <f t="shared" si="99"/>
        <v>64.025300648415239</v>
      </c>
      <c r="BJ80">
        <f t="shared" si="84"/>
        <v>0</v>
      </c>
      <c r="BK80">
        <f t="shared" si="100"/>
        <v>0</v>
      </c>
      <c r="BM80">
        <f t="shared" si="101"/>
        <v>7.7399001417920221</v>
      </c>
      <c r="BN80">
        <f t="shared" si="85"/>
        <v>-171.82395325712162</v>
      </c>
      <c r="BQ80" s="66">
        <f t="shared" si="102"/>
        <v>18.55879619284638</v>
      </c>
      <c r="BR80" s="71"/>
      <c r="BS80" s="71"/>
      <c r="BT80" s="71">
        <v>501.18700000000001</v>
      </c>
      <c r="BU80" s="71">
        <v>20.7819</v>
      </c>
      <c r="BV80" s="71">
        <v>-264.7826</v>
      </c>
      <c r="BW80" s="75"/>
      <c r="BY80" s="71"/>
      <c r="BZ80" s="71"/>
      <c r="CA80" s="71"/>
      <c r="CC80" s="71"/>
    </row>
    <row r="81" spans="1:81" ht="13" x14ac:dyDescent="0.3">
      <c r="A81">
        <f t="shared" si="54"/>
        <v>23500</v>
      </c>
      <c r="B81">
        <f t="shared" si="86"/>
        <v>23.5</v>
      </c>
      <c r="C81">
        <f t="shared" si="55"/>
        <v>1.0000272520737525</v>
      </c>
      <c r="D81">
        <f t="shared" si="56"/>
        <v>7.3826086000258039E-3</v>
      </c>
      <c r="F81">
        <f t="shared" si="57"/>
        <v>0.15467358690541494</v>
      </c>
      <c r="G81">
        <f t="shared" si="58"/>
        <v>0.13171798552808525</v>
      </c>
      <c r="H81">
        <f t="shared" si="59"/>
        <v>-3.0098746644719148</v>
      </c>
      <c r="J81">
        <f t="shared" si="60"/>
        <v>15</v>
      </c>
      <c r="M81">
        <f t="shared" si="61"/>
        <v>4.6739480866850612E-2</v>
      </c>
      <c r="N81">
        <f t="shared" si="62"/>
        <v>-1.5707963250000001</v>
      </c>
      <c r="O81">
        <f t="shared" si="63"/>
        <v>8.1542175291939376</v>
      </c>
      <c r="P81">
        <f t="shared" si="64"/>
        <v>1.4478509051198956</v>
      </c>
      <c r="Q81">
        <f t="shared" si="65"/>
        <v>3.2651969183251328</v>
      </c>
      <c r="R81">
        <f t="shared" si="66"/>
        <v>1.2595343222461235</v>
      </c>
      <c r="S81">
        <f t="shared" si="67"/>
        <v>0.99997153647244708</v>
      </c>
      <c r="T81">
        <f t="shared" si="68"/>
        <v>-7.5450198916445031E-3</v>
      </c>
      <c r="U81">
        <f t="shared" si="69"/>
        <v>0.99319226484540379</v>
      </c>
      <c r="V81">
        <f t="shared" si="70"/>
        <v>-0.11675164596278832</v>
      </c>
      <c r="X81">
        <f t="shared" si="87"/>
        <v>9.1503154673362292</v>
      </c>
      <c r="Y81">
        <f t="shared" si="71"/>
        <v>-114.03005016734254</v>
      </c>
      <c r="Z81">
        <f t="shared" si="88"/>
        <v>65.969949832657463</v>
      </c>
      <c r="AC81">
        <v>1</v>
      </c>
      <c r="AD81">
        <f t="shared" si="72"/>
        <v>8.0926672681764007</v>
      </c>
      <c r="AE81">
        <f t="shared" si="73"/>
        <v>-1.1949216084041324E-4</v>
      </c>
      <c r="AF81">
        <f t="shared" si="74"/>
        <v>1.0188184963949999E-3</v>
      </c>
      <c r="AG81">
        <f t="shared" si="89"/>
        <v>7721.849676128897</v>
      </c>
      <c r="AH81">
        <f t="shared" si="90"/>
        <v>-1887.1864913022237</v>
      </c>
      <c r="AJ81">
        <f t="shared" si="75"/>
        <v>21000</v>
      </c>
      <c r="AK81">
        <f t="shared" si="76"/>
        <v>158.448424417605</v>
      </c>
      <c r="AL81">
        <v>1</v>
      </c>
      <c r="AM81">
        <f t="shared" si="77"/>
        <v>3.1082971086175051</v>
      </c>
      <c r="AN81">
        <f t="shared" si="91"/>
        <v>2015.8967101329804</v>
      </c>
      <c r="AO81">
        <f t="shared" si="92"/>
        <v>-6107.5574909602792</v>
      </c>
      <c r="AQ81">
        <f t="shared" si="78"/>
        <v>4.5248868778280542</v>
      </c>
      <c r="AR81">
        <f t="shared" si="79"/>
        <v>-212.66968325791856</v>
      </c>
      <c r="AT81">
        <f t="shared" si="52"/>
        <v>-366406.85708179016</v>
      </c>
      <c r="AU81">
        <f t="shared" si="53"/>
        <v>-1650742.6301781016</v>
      </c>
      <c r="AV81">
        <f t="shared" si="93"/>
        <v>-1.7892200084086247</v>
      </c>
      <c r="AW81">
        <f t="shared" si="94"/>
        <v>-1277339.2985474127</v>
      </c>
      <c r="AX81">
        <f t="shared" si="95"/>
        <v>-498328.20813517261</v>
      </c>
      <c r="AY81">
        <f t="shared" si="103"/>
        <v>-2.7696238644238949</v>
      </c>
      <c r="BA81">
        <f t="shared" si="80"/>
        <v>1.2332530756270472</v>
      </c>
      <c r="BB81">
        <f t="shared" si="96"/>
        <v>1.8210441445719108</v>
      </c>
      <c r="BC81">
        <f t="shared" si="97"/>
        <v>0.98040385601527014</v>
      </c>
      <c r="BD81">
        <f t="shared" si="81"/>
        <v>-123.82699676778635</v>
      </c>
      <c r="BF81">
        <f t="shared" si="82"/>
        <v>9.1314291710663316</v>
      </c>
      <c r="BG81">
        <f t="shared" si="83"/>
        <v>-115.85711978737643</v>
      </c>
      <c r="BH81">
        <f t="shared" si="98"/>
        <v>64.142880212623567</v>
      </c>
      <c r="BI81">
        <f t="shared" si="99"/>
        <v>64.142880212623567</v>
      </c>
      <c r="BJ81">
        <f t="shared" si="84"/>
        <v>0</v>
      </c>
      <c r="BK81">
        <f t="shared" si="100"/>
        <v>0</v>
      </c>
      <c r="BM81">
        <f t="shared" si="101"/>
        <v>7.310385026494421</v>
      </c>
      <c r="BN81">
        <f t="shared" si="85"/>
        <v>-172.03012301959009</v>
      </c>
      <c r="BQ81" s="66">
        <f t="shared" si="102"/>
        <v>18.723004944857045</v>
      </c>
      <c r="BR81" s="71"/>
      <c r="BS81" s="71"/>
      <c r="BT81" s="71">
        <v>512.86099999999999</v>
      </c>
      <c r="BU81" s="71">
        <v>20.634799999999998</v>
      </c>
      <c r="BV81" s="71">
        <v>-265.04300000000001</v>
      </c>
      <c r="BW81" s="75"/>
      <c r="BY81" s="71"/>
      <c r="BZ81" s="71"/>
      <c r="CA81" s="71"/>
      <c r="CC81" s="71"/>
    </row>
    <row r="82" spans="1:81" ht="13" x14ac:dyDescent="0.3">
      <c r="A82">
        <f t="shared" si="54"/>
        <v>24000</v>
      </c>
      <c r="B82">
        <f t="shared" si="86"/>
        <v>24</v>
      </c>
      <c r="C82">
        <f t="shared" si="55"/>
        <v>1.0000284240566466</v>
      </c>
      <c r="D82">
        <f t="shared" si="56"/>
        <v>7.5396794879507897E-3</v>
      </c>
      <c r="F82">
        <f t="shared" si="57"/>
        <v>0.14740768069834487</v>
      </c>
      <c r="G82">
        <f t="shared" si="58"/>
        <v>0.12818163716822939</v>
      </c>
      <c r="H82">
        <f t="shared" si="59"/>
        <v>-3.0134110128317708</v>
      </c>
      <c r="J82">
        <f t="shared" si="60"/>
        <v>15</v>
      </c>
      <c r="M82">
        <f t="shared" si="61"/>
        <v>4.5765741682124564E-2</v>
      </c>
      <c r="N82">
        <f t="shared" si="62"/>
        <v>-1.5707963250000001</v>
      </c>
      <c r="O82">
        <f t="shared" si="63"/>
        <v>8.3251290237217308</v>
      </c>
      <c r="P82">
        <f t="shared" si="64"/>
        <v>1.4503873242877023</v>
      </c>
      <c r="Q82">
        <f t="shared" si="65"/>
        <v>3.3282146479679882</v>
      </c>
      <c r="R82">
        <f t="shared" si="66"/>
        <v>1.2656199676239048</v>
      </c>
      <c r="S82">
        <f t="shared" si="67"/>
        <v>0.99997031242776413</v>
      </c>
      <c r="T82">
        <f t="shared" si="68"/>
        <v>-7.7055459415754212E-3</v>
      </c>
      <c r="U82">
        <f t="shared" si="69"/>
        <v>0.99290260183302481</v>
      </c>
      <c r="V82">
        <f t="shared" si="70"/>
        <v>-0.11921249601542339</v>
      </c>
      <c r="X82">
        <f t="shared" si="87"/>
        <v>8.8932055472891207</v>
      </c>
      <c r="Y82">
        <f t="shared" si="71"/>
        <v>-113.87985438215804</v>
      </c>
      <c r="Z82">
        <f t="shared" si="88"/>
        <v>66.120145617841956</v>
      </c>
      <c r="AC82">
        <v>1</v>
      </c>
      <c r="AD82">
        <f t="shared" si="72"/>
        <v>8.2648516781376014</v>
      </c>
      <c r="AE82">
        <f t="shared" si="73"/>
        <v>-1.2463102696981084E-4</v>
      </c>
      <c r="AF82">
        <f t="shared" si="74"/>
        <v>1.0404954856799999E-3</v>
      </c>
      <c r="AG82">
        <f t="shared" si="89"/>
        <v>7717.3462015300393</v>
      </c>
      <c r="AH82">
        <f t="shared" si="90"/>
        <v>-1885.4678464040999</v>
      </c>
      <c r="AJ82">
        <f t="shared" si="75"/>
        <v>21000</v>
      </c>
      <c r="AK82">
        <f t="shared" si="76"/>
        <v>161.81966749032</v>
      </c>
      <c r="AL82">
        <v>1</v>
      </c>
      <c r="AM82">
        <f t="shared" si="77"/>
        <v>3.1744310896519199</v>
      </c>
      <c r="AN82">
        <f t="shared" si="91"/>
        <v>1942.1919864715724</v>
      </c>
      <c r="AO82">
        <f t="shared" si="92"/>
        <v>-6003.5349564378603</v>
      </c>
      <c r="AQ82">
        <f t="shared" si="78"/>
        <v>4.3383947939262475</v>
      </c>
      <c r="AR82">
        <f t="shared" si="79"/>
        <v>-208.24295010845987</v>
      </c>
      <c r="AT82">
        <f t="shared" si="52"/>
        <v>-359154.49208618986</v>
      </c>
      <c r="AU82">
        <f t="shared" si="53"/>
        <v>-1615262.8439038871</v>
      </c>
      <c r="AV82">
        <f t="shared" si="93"/>
        <v>-1.7895875052812971</v>
      </c>
      <c r="AW82">
        <f t="shared" si="94"/>
        <v>-1229662.2327340946</v>
      </c>
      <c r="AX82">
        <f t="shared" si="95"/>
        <v>-471711.3620320927</v>
      </c>
      <c r="AY82">
        <f t="shared" si="103"/>
        <v>-2.7752944907228354</v>
      </c>
      <c r="BA82">
        <f t="shared" si="80"/>
        <v>1.2563906250761274</v>
      </c>
      <c r="BB82">
        <f t="shared" si="96"/>
        <v>1.9824937424806908</v>
      </c>
      <c r="BC82">
        <f t="shared" si="97"/>
        <v>0.98570698544153834</v>
      </c>
      <c r="BD82">
        <f t="shared" si="81"/>
        <v>-123.52314983310237</v>
      </c>
      <c r="BF82">
        <f t="shared" si="82"/>
        <v>8.8749680700819944</v>
      </c>
      <c r="BG82">
        <f t="shared" si="83"/>
        <v>-115.74689118985894</v>
      </c>
      <c r="BH82">
        <f t="shared" si="98"/>
        <v>64.253108810141057</v>
      </c>
      <c r="BI82">
        <f t="shared" si="99"/>
        <v>64.253108810141057</v>
      </c>
      <c r="BJ82">
        <f t="shared" si="84"/>
        <v>0</v>
      </c>
      <c r="BK82">
        <f t="shared" si="100"/>
        <v>0</v>
      </c>
      <c r="BM82">
        <f t="shared" si="101"/>
        <v>6.8924743276013034</v>
      </c>
      <c r="BN82">
        <f t="shared" si="85"/>
        <v>-172.22374135675662</v>
      </c>
      <c r="BQ82" s="66">
        <f t="shared" si="102"/>
        <v>18.884454542765827</v>
      </c>
      <c r="BR82" s="71"/>
      <c r="BS82" s="71"/>
      <c r="BT82" s="71">
        <v>524.80700000000002</v>
      </c>
      <c r="BU82" s="71">
        <v>20.243600000000001</v>
      </c>
      <c r="BV82" s="71">
        <v>-263.95569999999998</v>
      </c>
      <c r="BW82" s="75"/>
      <c r="BY82" s="71"/>
      <c r="BZ82" s="71"/>
      <c r="CA82" s="71"/>
      <c r="CC82" s="71"/>
    </row>
    <row r="83" spans="1:81" ht="13" x14ac:dyDescent="0.3">
      <c r="A83">
        <f t="shared" si="54"/>
        <v>24500</v>
      </c>
      <c r="B83">
        <f t="shared" si="86"/>
        <v>24.5</v>
      </c>
      <c r="C83">
        <f t="shared" si="55"/>
        <v>1.0000296207114479</v>
      </c>
      <c r="D83">
        <f t="shared" si="56"/>
        <v>7.6967500038427642E-3</v>
      </c>
      <c r="F83">
        <f t="shared" si="57"/>
        <v>0.14066028362734939</v>
      </c>
      <c r="G83">
        <f t="shared" si="58"/>
        <v>0.12484491449759598</v>
      </c>
      <c r="H83">
        <f t="shared" si="59"/>
        <v>-3.0167477355024044</v>
      </c>
      <c r="J83">
        <f t="shared" si="60"/>
        <v>15</v>
      </c>
      <c r="M83">
        <f t="shared" si="61"/>
        <v>4.4831746953917936E-2</v>
      </c>
      <c r="N83">
        <f t="shared" si="62"/>
        <v>-1.5707963250000001</v>
      </c>
      <c r="O83">
        <f t="shared" si="63"/>
        <v>8.496091922282945</v>
      </c>
      <c r="P83">
        <f t="shared" si="64"/>
        <v>1.4528216802339284</v>
      </c>
      <c r="Q83">
        <f t="shared" si="65"/>
        <v>3.391351054867711</v>
      </c>
      <c r="R83">
        <f t="shared" si="66"/>
        <v>1.2714792317509691</v>
      </c>
      <c r="S83">
        <f t="shared" si="67"/>
        <v>0.99996906261835772</v>
      </c>
      <c r="T83">
        <f t="shared" si="68"/>
        <v>-7.8660715943770065E-3</v>
      </c>
      <c r="U83">
        <f t="shared" si="69"/>
        <v>0.9926071019956938</v>
      </c>
      <c r="V83">
        <f t="shared" si="70"/>
        <v>-0.12167189619678513</v>
      </c>
      <c r="X83">
        <f t="shared" si="87"/>
        <v>8.6443433334290525</v>
      </c>
      <c r="Y83">
        <f t="shared" si="71"/>
        <v>-113.7369562966315</v>
      </c>
      <c r="Z83">
        <f t="shared" si="88"/>
        <v>66.263043703368496</v>
      </c>
      <c r="AC83">
        <v>1</v>
      </c>
      <c r="AD83">
        <f t="shared" si="72"/>
        <v>8.437036088098802</v>
      </c>
      <c r="AE83">
        <f t="shared" si="73"/>
        <v>-1.2987807975456411E-4</v>
      </c>
      <c r="AF83">
        <f t="shared" si="74"/>
        <v>1.062172474965E-3</v>
      </c>
      <c r="AG83">
        <f t="shared" si="89"/>
        <v>7712.7533337209516</v>
      </c>
      <c r="AH83">
        <f t="shared" si="90"/>
        <v>-1884.550428281668</v>
      </c>
      <c r="AJ83">
        <f t="shared" si="75"/>
        <v>21000</v>
      </c>
      <c r="AK83">
        <f t="shared" si="76"/>
        <v>165.190910563035</v>
      </c>
      <c r="AL83">
        <v>1</v>
      </c>
      <c r="AM83">
        <f t="shared" si="77"/>
        <v>3.2405650706863351</v>
      </c>
      <c r="AN83">
        <f t="shared" si="91"/>
        <v>1872.4303417461165</v>
      </c>
      <c r="AO83">
        <f t="shared" si="92"/>
        <v>-5902.5414521927069</v>
      </c>
      <c r="AQ83">
        <f t="shared" si="78"/>
        <v>4.1631973355537051</v>
      </c>
      <c r="AR83">
        <f t="shared" si="79"/>
        <v>-203.99666944213155</v>
      </c>
      <c r="AT83">
        <f t="shared" si="52"/>
        <v>-352332.29663647286</v>
      </c>
      <c r="AU83">
        <f t="shared" si="53"/>
        <v>-1581221.7476295098</v>
      </c>
      <c r="AV83">
        <f t="shared" si="93"/>
        <v>-1.7900375388661118</v>
      </c>
      <c r="AW83">
        <f t="shared" si="94"/>
        <v>-1184506.3459136786</v>
      </c>
      <c r="AX83">
        <f t="shared" si="95"/>
        <v>-447032.44731603202</v>
      </c>
      <c r="AY83">
        <f t="shared" si="103"/>
        <v>-2.7807197187429398</v>
      </c>
      <c r="BA83">
        <f t="shared" si="80"/>
        <v>1.2795661142626389</v>
      </c>
      <c r="BB83">
        <f t="shared" si="96"/>
        <v>2.1412546097416909</v>
      </c>
      <c r="BC83">
        <f t="shared" si="97"/>
        <v>0.99068217987682794</v>
      </c>
      <c r="BD83">
        <f t="shared" si="81"/>
        <v>-123.23809218937757</v>
      </c>
      <c r="BF83">
        <f t="shared" si="82"/>
        <v>8.6267668450659869</v>
      </c>
      <c r="BG83">
        <f t="shared" si="83"/>
        <v>-115.6440141951287</v>
      </c>
      <c r="BH83">
        <f t="shared" si="98"/>
        <v>64.355985804871295</v>
      </c>
      <c r="BI83">
        <f t="shared" si="99"/>
        <v>64.355985804871295</v>
      </c>
      <c r="BJ83">
        <f t="shared" si="84"/>
        <v>0</v>
      </c>
      <c r="BK83">
        <f t="shared" si="100"/>
        <v>0</v>
      </c>
      <c r="BM83">
        <f t="shared" si="101"/>
        <v>6.4855122353242951</v>
      </c>
      <c r="BN83">
        <f t="shared" si="85"/>
        <v>-172.40592200575117</v>
      </c>
      <c r="BQ83" s="66">
        <f t="shared" si="102"/>
        <v>19.043215410026828</v>
      </c>
      <c r="BR83" s="71"/>
      <c r="BS83" s="71"/>
      <c r="BT83" s="71">
        <v>537.03200000000004</v>
      </c>
      <c r="BU83" s="71">
        <v>20.2926</v>
      </c>
      <c r="BV83" s="71">
        <v>-264.56819999999999</v>
      </c>
      <c r="BW83" s="75"/>
      <c r="BY83" s="71"/>
      <c r="BZ83" s="71"/>
      <c r="CA83" s="71"/>
      <c r="CC83" s="71"/>
    </row>
    <row r="84" spans="1:81" ht="13" x14ac:dyDescent="0.3">
      <c r="A84">
        <f t="shared" si="54"/>
        <v>25000</v>
      </c>
      <c r="B84">
        <f t="shared" si="86"/>
        <v>25</v>
      </c>
      <c r="C84">
        <f t="shared" si="55"/>
        <v>1.0000308420380672</v>
      </c>
      <c r="D84">
        <f t="shared" si="56"/>
        <v>7.853820139952861E-3</v>
      </c>
      <c r="F84">
        <f t="shared" si="57"/>
        <v>0.13438175228386023</v>
      </c>
      <c r="G84">
        <f t="shared" si="58"/>
        <v>0.12169066021557123</v>
      </c>
      <c r="H84">
        <f t="shared" si="59"/>
        <v>-3.019901989784429</v>
      </c>
      <c r="J84">
        <f t="shared" si="60"/>
        <v>15</v>
      </c>
      <c r="M84">
        <f t="shared" si="61"/>
        <v>4.3935112014839579E-2</v>
      </c>
      <c r="N84">
        <f t="shared" si="62"/>
        <v>-1.5707963250000001</v>
      </c>
      <c r="O84">
        <f t="shared" si="63"/>
        <v>8.6671031829681411</v>
      </c>
      <c r="P84">
        <f t="shared" si="64"/>
        <v>1.455159984666879</v>
      </c>
      <c r="Q84">
        <f t="shared" si="65"/>
        <v>3.4545996321789461</v>
      </c>
      <c r="R84">
        <f t="shared" si="66"/>
        <v>1.2771241349974523</v>
      </c>
      <c r="S84">
        <f t="shared" si="67"/>
        <v>0.99996778704451694</v>
      </c>
      <c r="T84">
        <f t="shared" si="68"/>
        <v>-8.026596841777759E-3</v>
      </c>
      <c r="U84">
        <f t="shared" si="69"/>
        <v>0.99230578126245683</v>
      </c>
      <c r="V84">
        <f t="shared" si="70"/>
        <v>-0.12412981806237491</v>
      </c>
      <c r="X84">
        <f t="shared" si="87"/>
        <v>8.4031982404963497</v>
      </c>
      <c r="Y84">
        <f t="shared" si="71"/>
        <v>-113.60130415990551</v>
      </c>
      <c r="Z84">
        <f t="shared" si="88"/>
        <v>66.39869584009449</v>
      </c>
      <c r="AC84">
        <v>1</v>
      </c>
      <c r="AD84">
        <f t="shared" si="72"/>
        <v>8.6092204980600009</v>
      </c>
      <c r="AE84">
        <f t="shared" si="73"/>
        <v>-1.352333191946732E-4</v>
      </c>
      <c r="AF84">
        <f t="shared" si="74"/>
        <v>1.08384946425E-3</v>
      </c>
      <c r="AG84">
        <f t="shared" si="89"/>
        <v>7708.0714011803811</v>
      </c>
      <c r="AH84">
        <f t="shared" si="90"/>
        <v>-1884.3835306819533</v>
      </c>
      <c r="AJ84">
        <f t="shared" si="75"/>
        <v>21000</v>
      </c>
      <c r="AK84">
        <f t="shared" si="76"/>
        <v>168.56215363575001</v>
      </c>
      <c r="AL84">
        <v>1</v>
      </c>
      <c r="AM84">
        <f t="shared" si="77"/>
        <v>3.30669905172075</v>
      </c>
      <c r="AN84">
        <f t="shared" si="91"/>
        <v>1806.3446588875975</v>
      </c>
      <c r="AO84">
        <f t="shared" si="92"/>
        <v>-5804.4760169887095</v>
      </c>
      <c r="AQ84">
        <f t="shared" si="78"/>
        <v>3.9984006397441023</v>
      </c>
      <c r="AR84">
        <f t="shared" si="79"/>
        <v>-199.92003198720511</v>
      </c>
      <c r="AT84">
        <f t="shared" si="52"/>
        <v>-345906.05810842576</v>
      </c>
      <c r="AU84">
        <f t="shared" si="53"/>
        <v>-1548532.4013982445</v>
      </c>
      <c r="AV84">
        <f t="shared" si="93"/>
        <v>-1.7905651530121385</v>
      </c>
      <c r="AW84">
        <f t="shared" si="94"/>
        <v>-1141703.7422221221</v>
      </c>
      <c r="AX84">
        <f t="shared" si="95"/>
        <v>-424118.73662632395</v>
      </c>
      <c r="AY84">
        <f t="shared" si="103"/>
        <v>-2.7859126304521888</v>
      </c>
      <c r="BA84">
        <f t="shared" si="80"/>
        <v>1.3027761154813877</v>
      </c>
      <c r="BB84">
        <f t="shared" si="96"/>
        <v>2.2973957560740597</v>
      </c>
      <c r="BC84">
        <f t="shared" si="97"/>
        <v>0.99534747744005037</v>
      </c>
      <c r="BD84">
        <f t="shared" si="81"/>
        <v>-122.97079032852682</v>
      </c>
      <c r="BF84">
        <f t="shared" si="82"/>
        <v>8.3862948199065439</v>
      </c>
      <c r="BG84">
        <f t="shared" si="83"/>
        <v>-115.54843833645862</v>
      </c>
      <c r="BH84">
        <f t="shared" si="98"/>
        <v>64.451561663541383</v>
      </c>
      <c r="BI84">
        <f t="shared" si="99"/>
        <v>64.451561663541383</v>
      </c>
      <c r="BJ84">
        <f t="shared" si="84"/>
        <v>0</v>
      </c>
      <c r="BK84">
        <f t="shared" si="100"/>
        <v>0</v>
      </c>
      <c r="BM84">
        <f t="shared" si="101"/>
        <v>6.088899063832482</v>
      </c>
      <c r="BN84">
        <f t="shared" si="85"/>
        <v>-172.5776480079318</v>
      </c>
      <c r="BQ84" s="66">
        <f t="shared" si="102"/>
        <v>19.199356556359199</v>
      </c>
      <c r="BR84" s="71"/>
      <c r="BS84" s="71"/>
      <c r="BT84" s="71">
        <v>549.54100000000005</v>
      </c>
      <c r="BU84" s="71">
        <v>19.992000000000001</v>
      </c>
      <c r="BV84" s="71">
        <v>-264.47620000000001</v>
      </c>
      <c r="BW84" s="75"/>
      <c r="BY84" s="71"/>
      <c r="BZ84" s="71"/>
      <c r="CA84" s="71"/>
      <c r="CC84" s="71"/>
    </row>
    <row r="85" spans="1:81" ht="13" x14ac:dyDescent="0.3">
      <c r="A85">
        <f t="shared" si="54"/>
        <v>25500</v>
      </c>
      <c r="B85">
        <f t="shared" si="86"/>
        <v>25.5</v>
      </c>
      <c r="C85">
        <f t="shared" si="55"/>
        <v>1.0000320880364146</v>
      </c>
      <c r="D85">
        <f t="shared" si="56"/>
        <v>8.0108898885323208E-3</v>
      </c>
      <c r="F85">
        <f t="shared" si="57"/>
        <v>0.12852838534962421</v>
      </c>
      <c r="G85">
        <f t="shared" si="58"/>
        <v>0.11870366996034566</v>
      </c>
      <c r="H85">
        <f t="shared" si="59"/>
        <v>-3.0228889800396543</v>
      </c>
      <c r="J85">
        <f t="shared" si="60"/>
        <v>15</v>
      </c>
      <c r="M85">
        <f t="shared" si="61"/>
        <v>4.3073639230234877E-2</v>
      </c>
      <c r="N85">
        <f t="shared" si="62"/>
        <v>-1.5707963250000001</v>
      </c>
      <c r="O85">
        <f t="shared" si="63"/>
        <v>8.8381599984735981</v>
      </c>
      <c r="P85">
        <f t="shared" si="64"/>
        <v>1.4574077882859369</v>
      </c>
      <c r="Q85">
        <f t="shared" si="65"/>
        <v>3.5179543298406259</v>
      </c>
      <c r="R85">
        <f t="shared" si="66"/>
        <v>1.2825658888118983</v>
      </c>
      <c r="S85">
        <f t="shared" si="67"/>
        <v>0.99996648570653823</v>
      </c>
      <c r="T85">
        <f t="shared" si="68"/>
        <v>-8.1871216755063023E-3</v>
      </c>
      <c r="U85">
        <f t="shared" si="69"/>
        <v>0.99199865584995173</v>
      </c>
      <c r="V85">
        <f t="shared" si="70"/>
        <v>-0.1265862332733261</v>
      </c>
      <c r="X85">
        <f t="shared" si="87"/>
        <v>8.1692879466759507</v>
      </c>
      <c r="Y85">
        <f t="shared" si="71"/>
        <v>-113.47280709368272</v>
      </c>
      <c r="Z85">
        <f t="shared" si="88"/>
        <v>66.527192906317282</v>
      </c>
      <c r="AC85">
        <v>1</v>
      </c>
      <c r="AD85">
        <f t="shared" si="72"/>
        <v>8.7814049080212015</v>
      </c>
      <c r="AE85">
        <f t="shared" si="73"/>
        <v>-1.40696745290138E-4</v>
      </c>
      <c r="AF85">
        <f t="shared" si="74"/>
        <v>1.105526453535E-3</v>
      </c>
      <c r="AG85">
        <f t="shared" si="89"/>
        <v>7703.3007381473853</v>
      </c>
      <c r="AH85">
        <f t="shared" si="90"/>
        <v>-1884.9203790513209</v>
      </c>
      <c r="AJ85">
        <f t="shared" si="75"/>
        <v>21000</v>
      </c>
      <c r="AK85">
        <f t="shared" si="76"/>
        <v>171.93339670846501</v>
      </c>
      <c r="AL85">
        <v>1</v>
      </c>
      <c r="AM85">
        <f t="shared" si="77"/>
        <v>3.3728330327551648</v>
      </c>
      <c r="AN85">
        <f t="shared" si="91"/>
        <v>1743.6892364014407</v>
      </c>
      <c r="AO85">
        <f t="shared" si="92"/>
        <v>-5709.2392586859442</v>
      </c>
      <c r="AQ85">
        <f t="shared" si="78"/>
        <v>3.8431975403535743</v>
      </c>
      <c r="AR85">
        <f t="shared" si="79"/>
        <v>-196.0030745580323</v>
      </c>
      <c r="AT85">
        <f t="shared" si="52"/>
        <v>-339844.88314169866</v>
      </c>
      <c r="AU85">
        <f t="shared" si="53"/>
        <v>-1517114.7502865794</v>
      </c>
      <c r="AV85">
        <f t="shared" si="93"/>
        <v>-1.7911657677199777</v>
      </c>
      <c r="AW85">
        <f t="shared" si="94"/>
        <v>-1101099.6484946422</v>
      </c>
      <c r="AX85">
        <f t="shared" si="95"/>
        <v>-402815.48023718648</v>
      </c>
      <c r="AY85">
        <f t="shared" si="103"/>
        <v>-2.7908854143324211</v>
      </c>
      <c r="BA85">
        <f t="shared" si="80"/>
        <v>1.3260174302215864</v>
      </c>
      <c r="BB85">
        <f t="shared" si="96"/>
        <v>2.4509846563268369</v>
      </c>
      <c r="BC85">
        <f t="shared" si="97"/>
        <v>0.99971964661244339</v>
      </c>
      <c r="BD85">
        <f t="shared" si="81"/>
        <v>-122.72028348734526</v>
      </c>
      <c r="BF85">
        <f t="shared" si="82"/>
        <v>8.1530695802892854</v>
      </c>
      <c r="BG85">
        <f t="shared" si="83"/>
        <v>-115.46007399685065</v>
      </c>
      <c r="BH85">
        <f t="shared" si="98"/>
        <v>64.539926003149347</v>
      </c>
      <c r="BI85">
        <f t="shared" si="99"/>
        <v>64.539926003149347</v>
      </c>
      <c r="BJ85">
        <f t="shared" si="84"/>
        <v>0</v>
      </c>
      <c r="BK85">
        <f t="shared" si="100"/>
        <v>0</v>
      </c>
      <c r="BM85">
        <f t="shared" si="101"/>
        <v>5.7020849239624489</v>
      </c>
      <c r="BN85">
        <f t="shared" si="85"/>
        <v>-172.73979050950541</v>
      </c>
      <c r="BQ85" s="66">
        <f t="shared" si="102"/>
        <v>19.352945456611973</v>
      </c>
      <c r="BR85" s="71"/>
      <c r="BS85" s="71"/>
      <c r="BT85" s="71">
        <v>562.34100000000001</v>
      </c>
      <c r="BU85" s="71">
        <v>19.682300000000001</v>
      </c>
      <c r="BV85" s="71">
        <v>-264.60399999999998</v>
      </c>
      <c r="BW85" s="75"/>
      <c r="BY85" s="71"/>
      <c r="BZ85" s="71"/>
      <c r="CA85" s="71"/>
      <c r="CC85" s="71"/>
    </row>
    <row r="86" spans="1:81" ht="13" x14ac:dyDescent="0.3">
      <c r="A86">
        <f t="shared" si="54"/>
        <v>26000</v>
      </c>
      <c r="B86">
        <f t="shared" si="86"/>
        <v>26</v>
      </c>
      <c r="C86">
        <f t="shared" si="55"/>
        <v>1.0000333587063979</v>
      </c>
      <c r="D86">
        <f t="shared" si="56"/>
        <v>8.1679592418325009E-3</v>
      </c>
      <c r="F86">
        <f t="shared" si="57"/>
        <v>0.12306157441686694</v>
      </c>
      <c r="G86">
        <f t="shared" si="58"/>
        <v>0.11587041943446129</v>
      </c>
      <c r="H86">
        <f t="shared" si="59"/>
        <v>-3.0257222305655391</v>
      </c>
      <c r="J86">
        <f t="shared" si="60"/>
        <v>15</v>
      </c>
      <c r="M86">
        <f t="shared" si="61"/>
        <v>4.2245300014268822E-2</v>
      </c>
      <c r="N86">
        <f t="shared" si="62"/>
        <v>-1.5707963250000001</v>
      </c>
      <c r="O86">
        <f t="shared" si="63"/>
        <v>9.009259773981908</v>
      </c>
      <c r="P86">
        <f t="shared" si="64"/>
        <v>1.4595702239540942</v>
      </c>
      <c r="Q86">
        <f t="shared" si="65"/>
        <v>3.5814095160889972</v>
      </c>
      <c r="R86">
        <f t="shared" si="66"/>
        <v>1.2878149602144244</v>
      </c>
      <c r="S86">
        <f t="shared" si="67"/>
        <v>0.99996515860472313</v>
      </c>
      <c r="T86">
        <f t="shared" si="68"/>
        <v>-8.3476460872913914E-3</v>
      </c>
      <c r="U86">
        <f t="shared" si="69"/>
        <v>0.99168574226003514</v>
      </c>
      <c r="V86">
        <f t="shared" si="70"/>
        <v>-0.12904111359823084</v>
      </c>
      <c r="X86">
        <f t="shared" si="87"/>
        <v>7.9421728497998769</v>
      </c>
      <c r="Y86">
        <f t="shared" si="71"/>
        <v>-113.35134455809471</v>
      </c>
      <c r="Z86">
        <f t="shared" si="88"/>
        <v>66.648655441905291</v>
      </c>
      <c r="AC86">
        <v>1</v>
      </c>
      <c r="AD86">
        <f t="shared" si="72"/>
        <v>8.9535893179824004</v>
      </c>
      <c r="AE86">
        <f t="shared" si="73"/>
        <v>-1.4626835804095855E-4</v>
      </c>
      <c r="AF86">
        <f t="shared" si="74"/>
        <v>1.1272034428200001E-3</v>
      </c>
      <c r="AG86">
        <f t="shared" si="89"/>
        <v>7698.4416845629221</v>
      </c>
      <c r="AH86">
        <f t="shared" si="90"/>
        <v>-1886.1177529375154</v>
      </c>
      <c r="AJ86">
        <f t="shared" si="75"/>
        <v>21000</v>
      </c>
      <c r="AK86">
        <f t="shared" si="76"/>
        <v>175.30463978118001</v>
      </c>
      <c r="AL86">
        <v>1</v>
      </c>
      <c r="AM86">
        <f t="shared" si="77"/>
        <v>3.43896701378958</v>
      </c>
      <c r="AN86">
        <f t="shared" si="91"/>
        <v>1684.2378492679193</v>
      </c>
      <c r="AO86">
        <f t="shared" si="92"/>
        <v>-5616.7337672271005</v>
      </c>
      <c r="AQ86">
        <f t="shared" si="78"/>
        <v>3.6968576709796674</v>
      </c>
      <c r="AR86">
        <f t="shared" si="79"/>
        <v>-192.2365988909427</v>
      </c>
      <c r="AT86">
        <f t="shared" ref="AT86:AT149" si="104">-AR86*AH86+AG86*AQ86</f>
        <v>-334120.81873636926</v>
      </c>
      <c r="AU86">
        <f t="shared" ref="AU86:AU149" si="105">AQ86*AH86+AG86*AR86</f>
        <v>-1486894.9550839537</v>
      </c>
      <c r="AV86">
        <f t="shared" si="93"/>
        <v>-1.7918351441342226</v>
      </c>
      <c r="AW86">
        <f t="shared" si="94"/>
        <v>-1062551.272078577</v>
      </c>
      <c r="AX86">
        <f t="shared" si="95"/>
        <v>-382983.78488164081</v>
      </c>
      <c r="AY86">
        <f t="shared" si="103"/>
        <v>-2.7956494380108374</v>
      </c>
      <c r="BA86">
        <f t="shared" si="80"/>
        <v>1.3492870685630305</v>
      </c>
      <c r="BB86">
        <f t="shared" si="96"/>
        <v>2.6020871628901041</v>
      </c>
      <c r="BC86">
        <f t="shared" si="97"/>
        <v>1.0038142938766148</v>
      </c>
      <c r="BD86">
        <f t="shared" si="81"/>
        <v>-122.48567748024536</v>
      </c>
      <c r="BF86">
        <f t="shared" si="82"/>
        <v>7.9266514299130444</v>
      </c>
      <c r="BG86">
        <f t="shared" si="83"/>
        <v>-115.37880187632744</v>
      </c>
      <c r="BH86">
        <f t="shared" si="98"/>
        <v>64.621198123672556</v>
      </c>
      <c r="BI86">
        <f t="shared" si="99"/>
        <v>64.621198123672556</v>
      </c>
      <c r="BJ86">
        <f t="shared" si="84"/>
        <v>0</v>
      </c>
      <c r="BK86">
        <f t="shared" si="100"/>
        <v>0</v>
      </c>
      <c r="BM86">
        <f t="shared" si="101"/>
        <v>5.3245642670229385</v>
      </c>
      <c r="BN86">
        <f t="shared" si="85"/>
        <v>-172.89312439608207</v>
      </c>
      <c r="BQ86" s="66">
        <f t="shared" si="102"/>
        <v>19.504047963175239</v>
      </c>
      <c r="BR86" s="71"/>
      <c r="BS86" s="71"/>
      <c r="BT86" s="71">
        <v>575.44000000000005</v>
      </c>
      <c r="BU86" s="71">
        <v>19.596</v>
      </c>
      <c r="BV86" s="71">
        <v>-264.9076</v>
      </c>
      <c r="BW86" s="75"/>
      <c r="BY86" s="71"/>
      <c r="BZ86" s="71"/>
      <c r="CA86" s="71"/>
      <c r="CC86" s="71"/>
    </row>
    <row r="87" spans="1:81" ht="13" x14ac:dyDescent="0.3">
      <c r="A87">
        <f t="shared" si="54"/>
        <v>26500</v>
      </c>
      <c r="B87">
        <f t="shared" si="86"/>
        <v>26.5</v>
      </c>
      <c r="C87">
        <f t="shared" si="55"/>
        <v>1.0000346540479226</v>
      </c>
      <c r="D87">
        <f t="shared" si="56"/>
        <v>8.3250281921048788E-3</v>
      </c>
      <c r="F87">
        <f t="shared" si="57"/>
        <v>0.11794709508691868</v>
      </c>
      <c r="G87">
        <f t="shared" si="58"/>
        <v>0.11317883621968021</v>
      </c>
      <c r="H87">
        <f t="shared" si="59"/>
        <v>-3.02841381378032</v>
      </c>
      <c r="J87">
        <f t="shared" si="60"/>
        <v>15</v>
      </c>
      <c r="M87">
        <f t="shared" si="61"/>
        <v>4.1448218881924133E-2</v>
      </c>
      <c r="N87">
        <f t="shared" si="62"/>
        <v>-1.5707963250000001</v>
      </c>
      <c r="O87">
        <f t="shared" si="63"/>
        <v>9.1804001074912662</v>
      </c>
      <c r="P87">
        <f t="shared" si="64"/>
        <v>1.4616520451283292</v>
      </c>
      <c r="Q87">
        <f t="shared" si="65"/>
        <v>3.6449599427039199</v>
      </c>
      <c r="R87">
        <f t="shared" si="66"/>
        <v>1.2928811304746974</v>
      </c>
      <c r="S87">
        <f t="shared" si="67"/>
        <v>0.99996380573937926</v>
      </c>
      <c r="T87">
        <f t="shared" si="68"/>
        <v>-8.5081700688619047E-3</v>
      </c>
      <c r="U87">
        <f t="shared" si="69"/>
        <v>0.99136705727737229</v>
      </c>
      <c r="V87">
        <f t="shared" si="70"/>
        <v>-0.13149443091494839</v>
      </c>
      <c r="X87">
        <f t="shared" si="87"/>
        <v>7.7214512822660817</v>
      </c>
      <c r="Y87">
        <f t="shared" si="71"/>
        <v>-113.23677386195173</v>
      </c>
      <c r="Z87">
        <f t="shared" si="88"/>
        <v>66.763226138048267</v>
      </c>
      <c r="AC87">
        <v>1</v>
      </c>
      <c r="AD87">
        <f t="shared" si="72"/>
        <v>9.1257737279436011</v>
      </c>
      <c r="AE87">
        <f t="shared" si="73"/>
        <v>-1.5194815744713484E-4</v>
      </c>
      <c r="AF87">
        <f t="shared" si="74"/>
        <v>1.1488804321050001E-3</v>
      </c>
      <c r="AG87">
        <f t="shared" si="89"/>
        <v>7693.4945860106309</v>
      </c>
      <c r="AH87">
        <f t="shared" si="90"/>
        <v>-1887.9356511449307</v>
      </c>
      <c r="AJ87">
        <f t="shared" si="75"/>
        <v>21000</v>
      </c>
      <c r="AK87">
        <f t="shared" si="76"/>
        <v>178.67588285389502</v>
      </c>
      <c r="AL87">
        <v>1</v>
      </c>
      <c r="AM87">
        <f t="shared" si="77"/>
        <v>3.5051009948239948</v>
      </c>
      <c r="AN87">
        <f t="shared" si="91"/>
        <v>1627.7820005055974</v>
      </c>
      <c r="AO87">
        <f t="shared" si="92"/>
        <v>-5526.8644264748664</v>
      </c>
      <c r="AQ87">
        <f t="shared" si="78"/>
        <v>3.5587188612099645</v>
      </c>
      <c r="AR87">
        <f t="shared" si="79"/>
        <v>-188.61209964412811</v>
      </c>
      <c r="AT87">
        <f t="shared" si="104"/>
        <v>-328708.52286359674</v>
      </c>
      <c r="AU87">
        <f t="shared" si="105"/>
        <v>-1457804.7996786775</v>
      </c>
      <c r="AV87">
        <f t="shared" si="93"/>
        <v>-1.7925693533547415</v>
      </c>
      <c r="AW87">
        <f t="shared" si="94"/>
        <v>-1025926.7637533384</v>
      </c>
      <c r="AX87">
        <f t="shared" si="95"/>
        <v>-364498.77044290997</v>
      </c>
      <c r="AY87">
        <f t="shared" si="103"/>
        <v>-2.8002153141560169</v>
      </c>
      <c r="BA87">
        <f t="shared" si="80"/>
        <v>1.3725822307507429</v>
      </c>
      <c r="BB87">
        <f t="shared" si="96"/>
        <v>2.7507674455611877</v>
      </c>
      <c r="BC87">
        <f t="shared" si="97"/>
        <v>1.0076459608012753</v>
      </c>
      <c r="BD87">
        <f t="shared" si="81"/>
        <v>-122.26613913671159</v>
      </c>
      <c r="BF87">
        <f t="shared" si="82"/>
        <v>7.7066386054221825</v>
      </c>
      <c r="BG87">
        <f t="shared" si="83"/>
        <v>-115.30448050343165</v>
      </c>
      <c r="BH87">
        <f t="shared" si="98"/>
        <v>64.695519496568352</v>
      </c>
      <c r="BI87">
        <f t="shared" si="99"/>
        <v>64.695519496568352</v>
      </c>
      <c r="BJ87">
        <f t="shared" si="84"/>
        <v>0</v>
      </c>
      <c r="BK87">
        <f t="shared" si="100"/>
        <v>0</v>
      </c>
      <c r="BM87">
        <f t="shared" si="101"/>
        <v>4.9558711598609957</v>
      </c>
      <c r="BN87">
        <f t="shared" si="85"/>
        <v>-173.03834136672006</v>
      </c>
      <c r="BQ87" s="66">
        <f t="shared" si="102"/>
        <v>19.652728245846326</v>
      </c>
      <c r="BR87" s="71"/>
      <c r="BS87" s="71"/>
      <c r="BT87" s="71">
        <v>588.84400000000005</v>
      </c>
      <c r="BU87" s="71">
        <v>19.373200000000001</v>
      </c>
      <c r="BV87" s="71">
        <v>-263.88170000000002</v>
      </c>
      <c r="BW87" s="75"/>
      <c r="BY87" s="71"/>
      <c r="BZ87" s="71"/>
      <c r="CA87" s="71"/>
      <c r="CC87" s="71"/>
    </row>
    <row r="88" spans="1:81" ht="13" x14ac:dyDescent="0.3">
      <c r="A88">
        <f t="shared" si="54"/>
        <v>27000</v>
      </c>
      <c r="B88">
        <f t="shared" si="86"/>
        <v>27</v>
      </c>
      <c r="C88">
        <f t="shared" si="55"/>
        <v>1.0000359740608933</v>
      </c>
      <c r="D88">
        <f t="shared" si="56"/>
        <v>8.4820967316010434E-3</v>
      </c>
      <c r="F88">
        <f t="shared" si="57"/>
        <v>0.1131545121918936</v>
      </c>
      <c r="G88">
        <f t="shared" si="58"/>
        <v>0.1106181079598942</v>
      </c>
      <c r="H88">
        <f t="shared" si="59"/>
        <v>-3.0309745420401062</v>
      </c>
      <c r="J88">
        <f t="shared" si="60"/>
        <v>15</v>
      </c>
      <c r="M88">
        <f t="shared" si="61"/>
        <v>4.068065927299961E-2</v>
      </c>
      <c r="N88">
        <f t="shared" si="62"/>
        <v>-1.5707963250000001</v>
      </c>
      <c r="O88">
        <f t="shared" si="63"/>
        <v>9.3515787722838599</v>
      </c>
      <c r="P88">
        <f t="shared" si="64"/>
        <v>1.4636576601420799</v>
      </c>
      <c r="Q88">
        <f t="shared" si="65"/>
        <v>3.7086007135838206</v>
      </c>
      <c r="R88">
        <f t="shared" si="66"/>
        <v>1.2977735485452886</v>
      </c>
      <c r="S88">
        <f t="shared" si="67"/>
        <v>0.9999624271108204</v>
      </c>
      <c r="T88">
        <f t="shared" si="68"/>
        <v>-8.6686936119468594E-3</v>
      </c>
      <c r="U88">
        <f t="shared" si="69"/>
        <v>0.99104261796699233</v>
      </c>
      <c r="V88">
        <f t="shared" si="70"/>
        <v>-0.13394615721239436</v>
      </c>
      <c r="X88">
        <f t="shared" si="87"/>
        <v>7.5067553651821388</v>
      </c>
      <c r="Y88">
        <f t="shared" si="71"/>
        <v>-113.12893612740848</v>
      </c>
      <c r="Z88">
        <f t="shared" si="88"/>
        <v>66.87106387259152</v>
      </c>
      <c r="AC88">
        <v>1</v>
      </c>
      <c r="AD88">
        <f t="shared" si="72"/>
        <v>9.2979581379048</v>
      </c>
      <c r="AE88">
        <f t="shared" si="73"/>
        <v>-1.5773614350866679E-4</v>
      </c>
      <c r="AF88">
        <f t="shared" si="74"/>
        <v>1.1705574213900002E-3</v>
      </c>
      <c r="AG88">
        <f t="shared" si="89"/>
        <v>7688.4597936567698</v>
      </c>
      <c r="AH88">
        <f t="shared" si="90"/>
        <v>-1890.3369941008878</v>
      </c>
      <c r="AJ88">
        <f t="shared" si="75"/>
        <v>21000</v>
      </c>
      <c r="AK88">
        <f t="shared" si="76"/>
        <v>182.04712592661002</v>
      </c>
      <c r="AL88">
        <v>1</v>
      </c>
      <c r="AM88">
        <f t="shared" si="77"/>
        <v>3.5712349758584097</v>
      </c>
      <c r="AN88">
        <f t="shared" si="91"/>
        <v>1574.1293438838254</v>
      </c>
      <c r="AO88">
        <f t="shared" si="92"/>
        <v>-5439.5386434763577</v>
      </c>
      <c r="AQ88">
        <f t="shared" si="78"/>
        <v>3.4281796366129584</v>
      </c>
      <c r="AR88">
        <f t="shared" si="79"/>
        <v>-185.12170037709976</v>
      </c>
      <c r="AT88">
        <f t="shared" si="104"/>
        <v>-323584.97733216034</v>
      </c>
      <c r="AU88">
        <f t="shared" si="105"/>
        <v>-1429781.1650722194</v>
      </c>
      <c r="AV88">
        <f t="shared" si="93"/>
        <v>-1.7933647485920985</v>
      </c>
      <c r="AW88">
        <f t="shared" si="94"/>
        <v>-991104.27628640691</v>
      </c>
      <c r="AX88">
        <f t="shared" si="95"/>
        <v>-347247.9647267434</v>
      </c>
      <c r="AY88">
        <f t="shared" si="103"/>
        <v>-2.8045929603281938</v>
      </c>
      <c r="BA88">
        <f t="shared" si="80"/>
        <v>1.3959002906848401</v>
      </c>
      <c r="BB88">
        <f t="shared" si="96"/>
        <v>2.897087953824395</v>
      </c>
      <c r="BC88">
        <f t="shared" si="97"/>
        <v>1.0112282117360953</v>
      </c>
      <c r="BD88">
        <f t="shared" si="81"/>
        <v>-122.06089127675509</v>
      </c>
      <c r="BF88">
        <f t="shared" si="82"/>
        <v>7.492663130564102</v>
      </c>
      <c r="BG88">
        <f t="shared" si="83"/>
        <v>-115.23695220099071</v>
      </c>
      <c r="BH88">
        <f t="shared" si="98"/>
        <v>64.763047799009286</v>
      </c>
      <c r="BI88">
        <f t="shared" si="99"/>
        <v>64.763047799009286</v>
      </c>
      <c r="BJ88">
        <f t="shared" si="84"/>
        <v>0</v>
      </c>
      <c r="BK88">
        <f t="shared" si="100"/>
        <v>0</v>
      </c>
      <c r="BM88">
        <f t="shared" si="101"/>
        <v>4.5955751767397075</v>
      </c>
      <c r="BN88">
        <f t="shared" si="85"/>
        <v>-173.17606092423566</v>
      </c>
      <c r="BQ88" s="66">
        <f t="shared" si="102"/>
        <v>19.799048754109531</v>
      </c>
      <c r="BR88" s="71"/>
      <c r="BS88" s="71"/>
      <c r="BT88" s="71">
        <v>602.55999999999995</v>
      </c>
      <c r="BU88" s="71">
        <v>19.198</v>
      </c>
      <c r="BV88" s="71">
        <v>-264.00260000000003</v>
      </c>
      <c r="BW88" s="75"/>
      <c r="BY88" s="71"/>
      <c r="BZ88" s="71"/>
      <c r="CA88" s="71"/>
      <c r="CC88" s="71"/>
    </row>
    <row r="89" spans="1:81" ht="13" x14ac:dyDescent="0.3">
      <c r="A89">
        <f t="shared" si="54"/>
        <v>27500</v>
      </c>
      <c r="B89">
        <f t="shared" si="86"/>
        <v>27.5</v>
      </c>
      <c r="C89">
        <f t="shared" si="55"/>
        <v>1.0000373187452121</v>
      </c>
      <c r="D89">
        <f t="shared" si="56"/>
        <v>8.6391648525727116E-3</v>
      </c>
      <c r="F89">
        <f t="shared" si="57"/>
        <v>0.10865667838946441</v>
      </c>
      <c r="G89">
        <f t="shared" si="58"/>
        <v>0.10817852031523209</v>
      </c>
      <c r="H89">
        <f t="shared" si="59"/>
        <v>-3.0334141296847683</v>
      </c>
      <c r="J89">
        <f t="shared" si="60"/>
        <v>15</v>
      </c>
      <c r="M89">
        <f t="shared" si="61"/>
        <v>3.9941010922581434E-2</v>
      </c>
      <c r="N89">
        <f t="shared" si="62"/>
        <v>-1.5707963250000001</v>
      </c>
      <c r="O89">
        <f t="shared" si="63"/>
        <v>9.522793701267604</v>
      </c>
      <c r="P89">
        <f t="shared" si="64"/>
        <v>1.4655911628508149</v>
      </c>
      <c r="Q89">
        <f t="shared" si="65"/>
        <v>3.7723272562925398</v>
      </c>
      <c r="R89">
        <f t="shared" si="66"/>
        <v>1.3025007797624928</v>
      </c>
      <c r="S89">
        <f t="shared" si="67"/>
        <v>0.99996102271936649</v>
      </c>
      <c r="T89">
        <f t="shared" si="68"/>
        <v>-8.8292167082754079E-3</v>
      </c>
      <c r="U89">
        <f t="shared" si="69"/>
        <v>0.99071244167180939</v>
      </c>
      <c r="V89">
        <f t="shared" si="70"/>
        <v>-0.13639626459231058</v>
      </c>
      <c r="X89">
        <f t="shared" si="87"/>
        <v>7.297747403392866</v>
      </c>
      <c r="Y89">
        <f t="shared" si="71"/>
        <v>-113.02766102839759</v>
      </c>
      <c r="Z89">
        <f t="shared" si="88"/>
        <v>66.972338971602412</v>
      </c>
      <c r="AC89">
        <v>1</v>
      </c>
      <c r="AD89">
        <f t="shared" si="72"/>
        <v>9.4701425478660006</v>
      </c>
      <c r="AE89">
        <f t="shared" si="73"/>
        <v>-1.6363231622555457E-4</v>
      </c>
      <c r="AF89">
        <f t="shared" si="74"/>
        <v>1.192234410675E-3</v>
      </c>
      <c r="AG89">
        <f t="shared" si="89"/>
        <v>7683.3376641893956</v>
      </c>
      <c r="AH89">
        <f t="shared" si="90"/>
        <v>-1893.2873586968387</v>
      </c>
      <c r="AJ89">
        <f t="shared" si="75"/>
        <v>21000</v>
      </c>
      <c r="AK89">
        <f t="shared" si="76"/>
        <v>185.418368999325</v>
      </c>
      <c r="AL89">
        <v>1</v>
      </c>
      <c r="AM89">
        <f t="shared" si="77"/>
        <v>3.6373689568928249</v>
      </c>
      <c r="AN89">
        <f t="shared" si="91"/>
        <v>1523.1022602186097</v>
      </c>
      <c r="AO89">
        <f t="shared" si="92"/>
        <v>-5354.6665104931435</v>
      </c>
      <c r="AQ89">
        <f t="shared" si="78"/>
        <v>3.3046926635822866</v>
      </c>
      <c r="AR89">
        <f t="shared" si="79"/>
        <v>-181.75809649702578</v>
      </c>
      <c r="AT89">
        <f t="shared" si="104"/>
        <v>-318729.23682794697</v>
      </c>
      <c r="AU89">
        <f t="shared" si="105"/>
        <v>-1402765.5614313073</v>
      </c>
      <c r="AV89">
        <f t="shared" si="93"/>
        <v>-1.7942179402583105</v>
      </c>
      <c r="AW89">
        <f t="shared" si="94"/>
        <v>-957971.10983530327</v>
      </c>
      <c r="AX89">
        <f t="shared" si="95"/>
        <v>-331129.90267967858</v>
      </c>
      <c r="AY89">
        <f t="shared" si="103"/>
        <v>-2.8087916533977402</v>
      </c>
      <c r="BA89">
        <f t="shared" si="80"/>
        <v>1.4192387810980902</v>
      </c>
      <c r="BB89">
        <f t="shared" si="96"/>
        <v>3.0411093973684227</v>
      </c>
      <c r="BC89">
        <f t="shared" si="97"/>
        <v>1.0145737131394297</v>
      </c>
      <c r="BD89">
        <f t="shared" si="81"/>
        <v>-121.86920816576989</v>
      </c>
      <c r="BF89">
        <f t="shared" si="82"/>
        <v>7.2843872112307722</v>
      </c>
      <c r="BG89">
        <f t="shared" si="83"/>
        <v>-115.17604782551864</v>
      </c>
      <c r="BH89">
        <f t="shared" si="98"/>
        <v>64.823952174481363</v>
      </c>
      <c r="BI89">
        <f t="shared" si="99"/>
        <v>64.823952174481363</v>
      </c>
      <c r="BJ89">
        <f t="shared" si="84"/>
        <v>0</v>
      </c>
      <c r="BK89">
        <f t="shared" si="100"/>
        <v>0</v>
      </c>
      <c r="BM89">
        <f t="shared" si="101"/>
        <v>4.2432778138623481</v>
      </c>
      <c r="BN89">
        <f t="shared" si="85"/>
        <v>-173.30683965974876</v>
      </c>
      <c r="BQ89" s="66">
        <f t="shared" si="102"/>
        <v>19.943070197653558</v>
      </c>
      <c r="BR89" s="71"/>
      <c r="BS89" s="71"/>
      <c r="BT89" s="71">
        <v>616.59500000000003</v>
      </c>
      <c r="BU89" s="71">
        <v>18.983699999999999</v>
      </c>
      <c r="BV89" s="71">
        <v>-264.13310000000001</v>
      </c>
      <c r="BW89" s="75"/>
      <c r="BY89" s="71"/>
      <c r="BZ89" s="71"/>
      <c r="CA89" s="71"/>
      <c r="CC89" s="71"/>
    </row>
    <row r="90" spans="1:81" ht="13" x14ac:dyDescent="0.3">
      <c r="A90">
        <f t="shared" si="54"/>
        <v>28000</v>
      </c>
      <c r="B90">
        <f t="shared" si="86"/>
        <v>28</v>
      </c>
      <c r="C90">
        <f t="shared" si="55"/>
        <v>1.0000386881007792</v>
      </c>
      <c r="D90">
        <f t="shared" si="56"/>
        <v>8.7962325472717238E-3</v>
      </c>
      <c r="F90">
        <f t="shared" si="57"/>
        <v>0.10442930956540518</v>
      </c>
      <c r="G90">
        <f t="shared" si="58"/>
        <v>0.10585131942345286</v>
      </c>
      <c r="H90">
        <f t="shared" si="59"/>
        <v>-3.0357413305765473</v>
      </c>
      <c r="J90">
        <f t="shared" si="60"/>
        <v>15</v>
      </c>
      <c r="M90">
        <f t="shared" si="61"/>
        <v>3.9227778584678193E-2</v>
      </c>
      <c r="N90">
        <f t="shared" si="62"/>
        <v>-1.5707963250000001</v>
      </c>
      <c r="O90">
        <f t="shared" si="63"/>
        <v>9.6940429729623734</v>
      </c>
      <c r="P90">
        <f t="shared" si="64"/>
        <v>1.4674563600812849</v>
      </c>
      <c r="Q90">
        <f t="shared" si="65"/>
        <v>3.8361352962631159</v>
      </c>
      <c r="R90">
        <f t="shared" si="66"/>
        <v>1.3070708502741022</v>
      </c>
      <c r="S90">
        <f t="shared" si="67"/>
        <v>0.99995959256534306</v>
      </c>
      <c r="T90">
        <f t="shared" si="68"/>
        <v>-8.989739349576838E-3</v>
      </c>
      <c r="U90">
        <f t="shared" si="69"/>
        <v>0.99037654601011083</v>
      </c>
      <c r="V90">
        <f t="shared" si="70"/>
        <v>-0.1388447252710156</v>
      </c>
      <c r="X90">
        <f t="shared" si="87"/>
        <v>7.0941167400672525</v>
      </c>
      <c r="Y90">
        <f t="shared" si="71"/>
        <v>-112.93277055286163</v>
      </c>
      <c r="Z90">
        <f t="shared" si="88"/>
        <v>67.067229447138374</v>
      </c>
      <c r="AC90">
        <v>1</v>
      </c>
      <c r="AD90">
        <f t="shared" si="72"/>
        <v>9.6423269578272013</v>
      </c>
      <c r="AE90">
        <f t="shared" si="73"/>
        <v>-1.6963667559779806E-4</v>
      </c>
      <c r="AF90">
        <f t="shared" si="74"/>
        <v>1.21391139996E-3</v>
      </c>
      <c r="AG90">
        <f t="shared" si="89"/>
        <v>7678.1285597567294</v>
      </c>
      <c r="AH90">
        <f t="shared" si="90"/>
        <v>-1896.7547415449849</v>
      </c>
      <c r="AJ90">
        <f t="shared" si="75"/>
        <v>21000</v>
      </c>
      <c r="AK90">
        <f t="shared" si="76"/>
        <v>188.78961207204003</v>
      </c>
      <c r="AL90">
        <v>1</v>
      </c>
      <c r="AM90">
        <f t="shared" si="77"/>
        <v>3.7035029379272397</v>
      </c>
      <c r="AN90">
        <f t="shared" si="91"/>
        <v>1474.536571473581</v>
      </c>
      <c r="AO90">
        <f t="shared" si="92"/>
        <v>-5272.160912461527</v>
      </c>
      <c r="AQ90">
        <f t="shared" si="78"/>
        <v>3.1877590054191902</v>
      </c>
      <c r="AR90">
        <f t="shared" si="79"/>
        <v>-178.51450430347467</v>
      </c>
      <c r="AT90">
        <f t="shared" si="104"/>
        <v>-314122.20901103737</v>
      </c>
      <c r="AU90">
        <f t="shared" si="105"/>
        <v>-1376703.710831756</v>
      </c>
      <c r="AV90">
        <f t="shared" si="93"/>
        <v>-1.7951257736399713</v>
      </c>
      <c r="AW90">
        <f t="shared" si="94"/>
        <v>-926422.93609516742</v>
      </c>
      <c r="AX90">
        <f t="shared" si="95"/>
        <v>-316052.90155276144</v>
      </c>
      <c r="AY90">
        <f t="shared" si="103"/>
        <v>-2.8128200790786626</v>
      </c>
      <c r="BA90">
        <f t="shared" si="80"/>
        <v>1.4425953802240048</v>
      </c>
      <c r="BB90">
        <f t="shared" si="96"/>
        <v>3.1828907413810308</v>
      </c>
      <c r="BC90">
        <f t="shared" si="97"/>
        <v>1.0176943054386913</v>
      </c>
      <c r="BD90">
        <f t="shared" si="81"/>
        <v>-121.69041139723686</v>
      </c>
      <c r="BF90">
        <f t="shared" si="82"/>
        <v>7.0815000900597713</v>
      </c>
      <c r="BG90">
        <f t="shared" si="83"/>
        <v>-115.12159053030159</v>
      </c>
      <c r="BH90">
        <f t="shared" si="98"/>
        <v>64.878409469698411</v>
      </c>
      <c r="BI90">
        <f t="shared" si="99"/>
        <v>64.878409469698411</v>
      </c>
      <c r="BJ90">
        <f t="shared" si="84"/>
        <v>0</v>
      </c>
      <c r="BK90">
        <f t="shared" si="100"/>
        <v>0</v>
      </c>
      <c r="BM90">
        <f t="shared" si="101"/>
        <v>3.8986093486787414</v>
      </c>
      <c r="BN90">
        <f t="shared" si="85"/>
        <v>-173.43117913306475</v>
      </c>
      <c r="BQ90" s="66">
        <f t="shared" si="102"/>
        <v>20.084851541666168</v>
      </c>
      <c r="BR90" s="71"/>
      <c r="BS90" s="71"/>
      <c r="BT90" s="71">
        <v>630.95699999999999</v>
      </c>
      <c r="BU90" s="71">
        <v>18.802900000000001</v>
      </c>
      <c r="BV90" s="71">
        <v>-263.74850000000004</v>
      </c>
      <c r="BW90" s="75"/>
      <c r="BY90" s="71"/>
      <c r="BZ90" s="71"/>
      <c r="CA90" s="71"/>
      <c r="CC90" s="71"/>
    </row>
    <row r="91" spans="1:81" ht="13" x14ac:dyDescent="0.3">
      <c r="A91">
        <f t="shared" si="54"/>
        <v>28500</v>
      </c>
      <c r="B91">
        <f t="shared" si="86"/>
        <v>28.5</v>
      </c>
      <c r="C91">
        <f t="shared" si="55"/>
        <v>1.0000400821274937</v>
      </c>
      <c r="D91">
        <f t="shared" si="56"/>
        <v>8.9532998079500433E-3</v>
      </c>
      <c r="F91">
        <f t="shared" si="57"/>
        <v>0.10045062374031898</v>
      </c>
      <c r="G91">
        <f t="shared" si="58"/>
        <v>0.10362859464235177</v>
      </c>
      <c r="H91">
        <f t="shared" si="59"/>
        <v>-3.0379640553576484</v>
      </c>
      <c r="J91">
        <f t="shared" si="60"/>
        <v>15</v>
      </c>
      <c r="M91">
        <f t="shared" si="61"/>
        <v>3.8539571942841737E-2</v>
      </c>
      <c r="N91">
        <f t="shared" si="62"/>
        <v>-1.5707963250000001</v>
      </c>
      <c r="O91">
        <f t="shared" si="63"/>
        <v>9.8653247989332691</v>
      </c>
      <c r="P91">
        <f t="shared" si="64"/>
        <v>1.4692567962653134</v>
      </c>
      <c r="Q91">
        <f t="shared" si="65"/>
        <v>3.9000208333800885</v>
      </c>
      <c r="R91">
        <f t="shared" si="66"/>
        <v>1.31149128760643</v>
      </c>
      <c r="S91">
        <f t="shared" si="67"/>
        <v>0.99995813664908184</v>
      </c>
      <c r="T91">
        <f t="shared" si="68"/>
        <v>-9.1502615275805849E-3</v>
      </c>
      <c r="U91">
        <f t="shared" si="69"/>
        <v>0.99003494887301058</v>
      </c>
      <c r="V91">
        <f t="shared" si="70"/>
        <v>-0.14129151158113532</v>
      </c>
      <c r="X91">
        <f t="shared" si="87"/>
        <v>6.8955770032822858</v>
      </c>
      <c r="Y91">
        <f t="shared" si="71"/>
        <v>-112.84408198548618</v>
      </c>
      <c r="Z91">
        <f t="shared" si="88"/>
        <v>67.155918014513816</v>
      </c>
      <c r="AC91">
        <v>1</v>
      </c>
      <c r="AD91">
        <f t="shared" si="72"/>
        <v>9.8145113677884002</v>
      </c>
      <c r="AE91">
        <f t="shared" si="73"/>
        <v>-1.7574922162539729E-4</v>
      </c>
      <c r="AF91">
        <f t="shared" si="74"/>
        <v>1.2355883892449999E-3</v>
      </c>
      <c r="AG91">
        <f t="shared" si="89"/>
        <v>7672.8328479047968</v>
      </c>
      <c r="AH91">
        <f t="shared" si="90"/>
        <v>-1900.709347160574</v>
      </c>
      <c r="AJ91">
        <f t="shared" si="75"/>
        <v>21000</v>
      </c>
      <c r="AK91">
        <f t="shared" si="76"/>
        <v>192.160855144755</v>
      </c>
      <c r="AL91">
        <v>1</v>
      </c>
      <c r="AM91">
        <f t="shared" si="77"/>
        <v>3.7696369189616554</v>
      </c>
      <c r="AN91">
        <f t="shared" si="91"/>
        <v>1428.2803785161475</v>
      </c>
      <c r="AO91">
        <f t="shared" si="92"/>
        <v>-5191.9375903382424</v>
      </c>
      <c r="AQ91">
        <f t="shared" si="78"/>
        <v>3.0769230769230771</v>
      </c>
      <c r="AR91">
        <f t="shared" si="79"/>
        <v>-175.38461538461539</v>
      </c>
      <c r="AT91">
        <f t="shared" si="104"/>
        <v>-309746.461354609</v>
      </c>
      <c r="AU91">
        <f t="shared" si="105"/>
        <v>-1351545.1743930276</v>
      </c>
      <c r="AV91">
        <f t="shared" si="93"/>
        <v>-1.7960853088482127</v>
      </c>
      <c r="AW91">
        <f t="shared" si="94"/>
        <v>-896363.09376802819</v>
      </c>
      <c r="AX91">
        <f t="shared" si="95"/>
        <v>-301933.98780608946</v>
      </c>
      <c r="AY91">
        <f t="shared" si="103"/>
        <v>-2.8166863770645025</v>
      </c>
      <c r="BA91">
        <f t="shared" si="80"/>
        <v>1.4659678997841874</v>
      </c>
      <c r="BB91">
        <f t="shared" si="96"/>
        <v>3.3224892137525748</v>
      </c>
      <c r="BC91">
        <f t="shared" si="97"/>
        <v>1.0206010682162898</v>
      </c>
      <c r="BD91">
        <f t="shared" si="81"/>
        <v>-121.52386615784445</v>
      </c>
      <c r="BF91">
        <f t="shared" si="82"/>
        <v>6.8837152930325187</v>
      </c>
      <c r="BG91">
        <f t="shared" si="83"/>
        <v>-115.07339874888409</v>
      </c>
      <c r="BH91">
        <f t="shared" si="98"/>
        <v>64.926601251115912</v>
      </c>
      <c r="BI91">
        <f t="shared" si="99"/>
        <v>64.926601251115912</v>
      </c>
      <c r="BJ91">
        <f t="shared" si="84"/>
        <v>0</v>
      </c>
      <c r="BK91">
        <f t="shared" si="100"/>
        <v>0</v>
      </c>
      <c r="BM91">
        <f t="shared" si="101"/>
        <v>3.5612260792799448</v>
      </c>
      <c r="BN91">
        <f t="shared" si="85"/>
        <v>-173.54953259103965</v>
      </c>
      <c r="BQ91" s="66">
        <f t="shared" si="102"/>
        <v>20.224450014037711</v>
      </c>
      <c r="BR91" s="71"/>
      <c r="BS91" s="71"/>
      <c r="BT91" s="71">
        <v>645.654</v>
      </c>
      <c r="BU91" s="71">
        <v>18.598600000000001</v>
      </c>
      <c r="BV91" s="71">
        <v>-263.7636</v>
      </c>
      <c r="BW91" s="75"/>
      <c r="BY91" s="71"/>
      <c r="BZ91" s="71"/>
      <c r="CA91" s="71"/>
      <c r="CC91" s="71"/>
    </row>
    <row r="92" spans="1:81" ht="13" x14ac:dyDescent="0.3">
      <c r="A92">
        <f t="shared" si="54"/>
        <v>29000</v>
      </c>
      <c r="B92">
        <f t="shared" si="86"/>
        <v>29</v>
      </c>
      <c r="C92">
        <f t="shared" si="55"/>
        <v>1.0000415008252526</v>
      </c>
      <c r="D92">
        <f t="shared" si="56"/>
        <v>9.1103666268597654E-3</v>
      </c>
      <c r="F92">
        <f t="shared" si="57"/>
        <v>9.6701032735906689E-2</v>
      </c>
      <c r="G92">
        <f t="shared" si="58"/>
        <v>0.10150317816011015</v>
      </c>
      <c r="H92">
        <f t="shared" si="59"/>
        <v>-3.0400894718398899</v>
      </c>
      <c r="J92">
        <f t="shared" si="60"/>
        <v>15</v>
      </c>
      <c r="M92">
        <f t="shared" si="61"/>
        <v>3.7875096564516875E-2</v>
      </c>
      <c r="N92">
        <f t="shared" si="62"/>
        <v>-1.5707963250000001</v>
      </c>
      <c r="O92">
        <f t="shared" si="63"/>
        <v>10.036637512499976</v>
      </c>
      <c r="P92">
        <f t="shared" si="64"/>
        <v>1.4709957755881751</v>
      </c>
      <c r="Q92">
        <f t="shared" si="65"/>
        <v>3.9639801206939302</v>
      </c>
      <c r="R92">
        <f t="shared" si="66"/>
        <v>1.3157691577405763</v>
      </c>
      <c r="S92">
        <f t="shared" si="67"/>
        <v>0.99995665497092012</v>
      </c>
      <c r="T92">
        <f t="shared" si="68"/>
        <v>-9.310783234016214E-3</v>
      </c>
      <c r="U92">
        <f t="shared" si="69"/>
        <v>0.9896876684218725</v>
      </c>
      <c r="V92">
        <f t="shared" si="70"/>
        <v>-0.14373659597331362</v>
      </c>
      <c r="X92">
        <f t="shared" si="87"/>
        <v>6.701863688227566</v>
      </c>
      <c r="Y92">
        <f t="shared" si="71"/>
        <v>-112.76141026637859</v>
      </c>
      <c r="Z92">
        <f t="shared" si="88"/>
        <v>67.23858973362141</v>
      </c>
      <c r="AC92">
        <v>1</v>
      </c>
      <c r="AD92">
        <f t="shared" si="72"/>
        <v>9.9866957777496008</v>
      </c>
      <c r="AE92">
        <f t="shared" si="73"/>
        <v>-1.8196995430835229E-4</v>
      </c>
      <c r="AF92">
        <f t="shared" si="74"/>
        <v>1.2572653785299999E-3</v>
      </c>
      <c r="AG92">
        <f t="shared" si="89"/>
        <v>7667.4509015143158</v>
      </c>
      <c r="AH92">
        <f t="shared" si="90"/>
        <v>-1905.1233980614547</v>
      </c>
      <c r="AJ92">
        <f t="shared" si="75"/>
        <v>21000</v>
      </c>
      <c r="AK92">
        <f t="shared" si="76"/>
        <v>195.53209821747001</v>
      </c>
      <c r="AL92">
        <v>1</v>
      </c>
      <c r="AM92">
        <f t="shared" si="77"/>
        <v>3.8357708999960702</v>
      </c>
      <c r="AN92">
        <f t="shared" si="91"/>
        <v>1384.1930098544194</v>
      </c>
      <c r="AO92">
        <f t="shared" si="92"/>
        <v>-5113.9151689600849</v>
      </c>
      <c r="AQ92">
        <f t="shared" si="78"/>
        <v>2.9717682020802378</v>
      </c>
      <c r="AR92">
        <f t="shared" si="79"/>
        <v>-172.3625557206538</v>
      </c>
      <c r="AT92">
        <f t="shared" si="104"/>
        <v>-305586.05107295711</v>
      </c>
      <c r="AU92">
        <f t="shared" si="105"/>
        <v>-1327243.0183830364</v>
      </c>
      <c r="AV92">
        <f t="shared" si="93"/>
        <v>-1.797093802780402</v>
      </c>
      <c r="AW92">
        <f t="shared" si="94"/>
        <v>-867701.9485788563</v>
      </c>
      <c r="AX92">
        <f t="shared" si="95"/>
        <v>-288697.95515212312</v>
      </c>
      <c r="AY92">
        <f t="shared" si="103"/>
        <v>-2.8203981822013544</v>
      </c>
      <c r="BA92">
        <f t="shared" si="80"/>
        <v>1.489354274145712</v>
      </c>
      <c r="BB92">
        <f t="shared" si="96"/>
        <v>3.4599603218102297</v>
      </c>
      <c r="BC92">
        <f t="shared" si="97"/>
        <v>1.0233043794209524</v>
      </c>
      <c r="BD92">
        <f t="shared" si="81"/>
        <v>-121.36897783492986</v>
      </c>
      <c r="BF92">
        <f t="shared" si="82"/>
        <v>6.6907682116933396</v>
      </c>
      <c r="BG92">
        <f t="shared" si="83"/>
        <v>-115.03128855441329</v>
      </c>
      <c r="BH92">
        <f t="shared" si="98"/>
        <v>64.968711445586706</v>
      </c>
      <c r="BI92">
        <f t="shared" si="99"/>
        <v>64.968711445586706</v>
      </c>
      <c r="BJ92">
        <f t="shared" si="84"/>
        <v>0</v>
      </c>
      <c r="BK92">
        <f t="shared" si="100"/>
        <v>0</v>
      </c>
      <c r="BM92">
        <f t="shared" si="101"/>
        <v>3.2308078898831107</v>
      </c>
      <c r="BN92">
        <f t="shared" si="85"/>
        <v>-173.66231071948346</v>
      </c>
      <c r="BQ92" s="66">
        <f t="shared" si="102"/>
        <v>20.361921122095367</v>
      </c>
      <c r="BR92" s="73"/>
      <c r="BS92" s="73"/>
      <c r="BT92" s="73">
        <v>660.69299999999998</v>
      </c>
      <c r="BU92" s="73">
        <v>18.468</v>
      </c>
      <c r="BV92" s="73">
        <v>-263.60980000000001</v>
      </c>
      <c r="BW92" s="75"/>
      <c r="BY92" s="73"/>
      <c r="BZ92" s="73"/>
      <c r="CA92" s="73"/>
      <c r="CC92" s="73"/>
    </row>
    <row r="93" spans="1:81" ht="13" x14ac:dyDescent="0.3">
      <c r="A93">
        <f t="shared" si="54"/>
        <v>29500</v>
      </c>
      <c r="B93">
        <f t="shared" si="86"/>
        <v>29.5</v>
      </c>
      <c r="C93">
        <f t="shared" si="55"/>
        <v>1.0000429441939502</v>
      </c>
      <c r="D93">
        <f t="shared" si="56"/>
        <v>9.2674329962531155E-3</v>
      </c>
      <c r="F93">
        <f t="shared" si="57"/>
        <v>9.3162877876121389E-2</v>
      </c>
      <c r="G93">
        <f t="shared" si="58"/>
        <v>9.94685587019047E-2</v>
      </c>
      <c r="H93">
        <f t="shared" si="59"/>
        <v>-3.0421240912980956</v>
      </c>
      <c r="J93">
        <f t="shared" si="60"/>
        <v>15</v>
      </c>
      <c r="M93">
        <f t="shared" si="61"/>
        <v>3.7233145775287781E-2</v>
      </c>
      <c r="N93">
        <f t="shared" si="62"/>
        <v>-1.5707963250000001</v>
      </c>
      <c r="O93">
        <f t="shared" si="63"/>
        <v>10.207979558573923</v>
      </c>
      <c r="P93">
        <f t="shared" si="64"/>
        <v>1.4726763819382835</v>
      </c>
      <c r="Q93">
        <f t="shared" si="65"/>
        <v>4.0280096450492175</v>
      </c>
      <c r="R93">
        <f t="shared" si="66"/>
        <v>1.3199110990300538</v>
      </c>
      <c r="S93">
        <f t="shared" si="67"/>
        <v>0.99995514753120174</v>
      </c>
      <c r="T93">
        <f t="shared" si="68"/>
        <v>-9.47130446061345E-3</v>
      </c>
      <c r="U93">
        <f t="shared" si="69"/>
        <v>0.98933472308570058</v>
      </c>
      <c r="V93">
        <f t="shared" si="70"/>
        <v>-0.1461799510179029</v>
      </c>
      <c r="X93">
        <f t="shared" si="87"/>
        <v>6.5127320277912588</v>
      </c>
      <c r="Y93">
        <f t="shared" si="71"/>
        <v>-112.68456984904262</v>
      </c>
      <c r="Z93">
        <f t="shared" si="88"/>
        <v>67.315430150957383</v>
      </c>
      <c r="AC93">
        <v>1</v>
      </c>
      <c r="AD93">
        <f t="shared" si="72"/>
        <v>10.1588801877108</v>
      </c>
      <c r="AE93">
        <f t="shared" si="73"/>
        <v>-1.8829887364666295E-4</v>
      </c>
      <c r="AF93">
        <f t="shared" si="74"/>
        <v>1.278942367815E-3</v>
      </c>
      <c r="AG93">
        <f t="shared" si="89"/>
        <v>7661.9830987368705</v>
      </c>
      <c r="AH93">
        <f t="shared" si="90"/>
        <v>-1909.9709641844202</v>
      </c>
      <c r="AJ93">
        <f t="shared" si="75"/>
        <v>21000</v>
      </c>
      <c r="AK93">
        <f t="shared" si="76"/>
        <v>198.90334129018501</v>
      </c>
      <c r="AL93">
        <v>1</v>
      </c>
      <c r="AM93">
        <f t="shared" si="77"/>
        <v>3.9019048810304855</v>
      </c>
      <c r="AN93">
        <f t="shared" si="91"/>
        <v>1342.1440700117262</v>
      </c>
      <c r="AO93">
        <f t="shared" si="92"/>
        <v>-5038.0151565346905</v>
      </c>
      <c r="AQ93">
        <f t="shared" si="78"/>
        <v>2.8719126938541066</v>
      </c>
      <c r="AR93">
        <f t="shared" si="79"/>
        <v>-169.44284893739231</v>
      </c>
      <c r="AT93">
        <f t="shared" si="104"/>
        <v>-301626.37503774825</v>
      </c>
      <c r="AU93">
        <f t="shared" si="105"/>
        <v>-1303753.5146170587</v>
      </c>
      <c r="AV93">
        <f t="shared" si="93"/>
        <v>-1.7981486928630075</v>
      </c>
      <c r="AW93">
        <f t="shared" si="94"/>
        <v>-840356.31167633913</v>
      </c>
      <c r="AX93">
        <f t="shared" si="95"/>
        <v>-276276.53616383008</v>
      </c>
      <c r="AY93">
        <f t="shared" si="103"/>
        <v>-2.8239626620860903</v>
      </c>
      <c r="BA93">
        <f t="shared" si="80"/>
        <v>1.5127525505183255</v>
      </c>
      <c r="BB93">
        <f t="shared" si="96"/>
        <v>3.5953578766122112</v>
      </c>
      <c r="BC93">
        <f t="shared" si="97"/>
        <v>1.0258139692230828</v>
      </c>
      <c r="BD93">
        <f t="shared" si="81"/>
        <v>-121.22518893079442</v>
      </c>
      <c r="BF93">
        <f t="shared" si="82"/>
        <v>6.5024139737501994</v>
      </c>
      <c r="BG93">
        <f t="shared" si="83"/>
        <v>-114.99507551820147</v>
      </c>
      <c r="BH93">
        <f t="shared" si="98"/>
        <v>65.004924481798525</v>
      </c>
      <c r="BI93">
        <f t="shared" si="99"/>
        <v>65.004924481798525</v>
      </c>
      <c r="BJ93">
        <f t="shared" si="84"/>
        <v>0</v>
      </c>
      <c r="BK93">
        <f t="shared" si="100"/>
        <v>0</v>
      </c>
      <c r="BM93">
        <f t="shared" si="101"/>
        <v>2.9070560971379873</v>
      </c>
      <c r="BN93">
        <f t="shared" si="85"/>
        <v>-173.76988658740709</v>
      </c>
      <c r="BQ93" s="66">
        <f t="shared" si="102"/>
        <v>20.497318676897347</v>
      </c>
      <c r="BR93" s="73"/>
      <c r="BS93" s="73"/>
      <c r="BT93" s="73">
        <v>676.08299999999997</v>
      </c>
      <c r="BU93" s="73">
        <v>18.2744</v>
      </c>
      <c r="BV93" s="73">
        <v>-263.3252</v>
      </c>
      <c r="BW93" s="75"/>
      <c r="BY93" s="73"/>
      <c r="BZ93" s="73"/>
      <c r="CA93" s="73"/>
      <c r="CC93" s="73"/>
    </row>
    <row r="94" spans="1:81" ht="13" x14ac:dyDescent="0.3">
      <c r="A94">
        <f t="shared" si="54"/>
        <v>30000</v>
      </c>
      <c r="B94">
        <f t="shared" si="86"/>
        <v>30</v>
      </c>
      <c r="C94">
        <f t="shared" si="55"/>
        <v>1.0000444122334802</v>
      </c>
      <c r="D94">
        <f t="shared" si="56"/>
        <v>9.4244989083824473E-3</v>
      </c>
      <c r="F94">
        <f t="shared" si="57"/>
        <v>8.9820202602481719E-2</v>
      </c>
      <c r="G94">
        <f t="shared" si="58"/>
        <v>9.7518807070038793E-2</v>
      </c>
      <c r="H94">
        <f t="shared" si="59"/>
        <v>-3.0440738429299614</v>
      </c>
      <c r="J94">
        <f t="shared" si="60"/>
        <v>15</v>
      </c>
      <c r="M94">
        <f t="shared" si="61"/>
        <v>3.6612593345699648E-2</v>
      </c>
      <c r="N94">
        <f t="shared" si="62"/>
        <v>-1.5707963250000001</v>
      </c>
      <c r="O94">
        <f t="shared" si="63"/>
        <v>10.379349484494282</v>
      </c>
      <c r="P94">
        <f t="shared" si="64"/>
        <v>1.4743014969078438</v>
      </c>
      <c r="Q94">
        <f t="shared" si="65"/>
        <v>4.0921061094328079</v>
      </c>
      <c r="R94">
        <f t="shared" si="66"/>
        <v>1.3239233532580086</v>
      </c>
      <c r="S94">
        <f t="shared" si="67"/>
        <v>0.9999536143302763</v>
      </c>
      <c r="T94">
        <f t="shared" si="68"/>
        <v>-9.6318251991021585E-3</v>
      </c>
      <c r="U94">
        <f t="shared" si="69"/>
        <v>0.98897613155849973</v>
      </c>
      <c r="V94">
        <f t="shared" si="70"/>
        <v>-0.14862154940663405</v>
      </c>
      <c r="X94">
        <f t="shared" si="87"/>
        <v>6.3279551117844859</v>
      </c>
      <c r="Y94">
        <f t="shared" si="71"/>
        <v>-112.61337615590082</v>
      </c>
      <c r="Z94">
        <f t="shared" si="88"/>
        <v>67.386623844099176</v>
      </c>
      <c r="AC94">
        <v>1</v>
      </c>
      <c r="AD94">
        <f t="shared" si="72"/>
        <v>10.331064597672</v>
      </c>
      <c r="AE94">
        <f t="shared" si="73"/>
        <v>-1.9473597964032939E-4</v>
      </c>
      <c r="AF94">
        <f t="shared" si="74"/>
        <v>1.3006193571E-3</v>
      </c>
      <c r="AG94">
        <f t="shared" si="89"/>
        <v>7656.4298229303886</v>
      </c>
      <c r="AH94">
        <f t="shared" si="90"/>
        <v>-1915.2278093645659</v>
      </c>
      <c r="AJ94">
        <f t="shared" si="75"/>
        <v>21000</v>
      </c>
      <c r="AK94">
        <f t="shared" si="76"/>
        <v>202.27458436289999</v>
      </c>
      <c r="AL94">
        <v>1</v>
      </c>
      <c r="AM94">
        <f t="shared" si="77"/>
        <v>3.9680388620649003</v>
      </c>
      <c r="AN94">
        <f t="shared" si="91"/>
        <v>1302.0125773928298</v>
      </c>
      <c r="AO94">
        <f t="shared" si="92"/>
        <v>-4964.1619216291319</v>
      </c>
      <c r="AQ94">
        <f t="shared" si="78"/>
        <v>2.7770063871146902</v>
      </c>
      <c r="AR94">
        <f t="shared" si="79"/>
        <v>-166.62038322688142</v>
      </c>
      <c r="AT94">
        <f t="shared" si="104"/>
        <v>-297854.03704233147</v>
      </c>
      <c r="AU94">
        <f t="shared" si="105"/>
        <v>-1281035.8711057701</v>
      </c>
      <c r="AV94">
        <f t="shared" si="93"/>
        <v>-1.7992475823746428</v>
      </c>
      <c r="AW94">
        <f t="shared" si="94"/>
        <v>-814248.91082836583</v>
      </c>
      <c r="AX94">
        <f t="shared" si="95"/>
        <v>-264607.6724247635</v>
      </c>
      <c r="AY94">
        <f t="shared" si="103"/>
        <v>-2.8273865514365366</v>
      </c>
      <c r="BA94">
        <f t="shared" si="80"/>
        <v>1.5361608800774684</v>
      </c>
      <c r="BB94">
        <f t="shared" si="96"/>
        <v>3.7287340231690331</v>
      </c>
      <c r="BC94">
        <f t="shared" si="97"/>
        <v>1.0281389690618938</v>
      </c>
      <c r="BD94">
        <f t="shared" si="81"/>
        <v>-121.09197625250974</v>
      </c>
      <c r="BF94">
        <f t="shared" si="82"/>
        <v>6.3184255623139336</v>
      </c>
      <c r="BG94">
        <f t="shared" si="83"/>
        <v>-114.96457616576842</v>
      </c>
      <c r="BH94">
        <f t="shared" si="98"/>
        <v>65.03542383423158</v>
      </c>
      <c r="BI94">
        <f t="shared" si="99"/>
        <v>65.03542383423158</v>
      </c>
      <c r="BJ94">
        <f t="shared" si="84"/>
        <v>0</v>
      </c>
      <c r="BK94">
        <f t="shared" si="100"/>
        <v>0</v>
      </c>
      <c r="BM94">
        <f t="shared" si="101"/>
        <v>2.5896915391449027</v>
      </c>
      <c r="BN94">
        <f t="shared" si="85"/>
        <v>-173.87259991325871</v>
      </c>
      <c r="BQ94" s="66">
        <f t="shared" si="102"/>
        <v>20.630694823454171</v>
      </c>
      <c r="BR94" s="71"/>
      <c r="BS94" s="71"/>
      <c r="BT94" s="71">
        <v>691.83100000000002</v>
      </c>
      <c r="BU94" s="71">
        <v>18.092600000000001</v>
      </c>
      <c r="BV94" s="71">
        <v>-263.57819999999998</v>
      </c>
      <c r="BW94" s="75"/>
      <c r="BY94" s="71"/>
      <c r="BZ94" s="71"/>
      <c r="CA94" s="71"/>
      <c r="CC94" s="71"/>
    </row>
    <row r="95" spans="1:81" ht="13" x14ac:dyDescent="0.3">
      <c r="A95">
        <f t="shared" si="54"/>
        <v>30500</v>
      </c>
      <c r="B95">
        <f t="shared" si="86"/>
        <v>30.5</v>
      </c>
      <c r="C95">
        <f t="shared" si="55"/>
        <v>1.0000459049437338</v>
      </c>
      <c r="D95">
        <f t="shared" si="56"/>
        <v>9.5815643555002585E-3</v>
      </c>
      <c r="F95">
        <f t="shared" si="57"/>
        <v>8.6658556163525455E-2</v>
      </c>
      <c r="G95">
        <f t="shared" si="58"/>
        <v>9.5648511661043184E-2</v>
      </c>
      <c r="H95">
        <f t="shared" si="59"/>
        <v>-3.0459441383389572</v>
      </c>
      <c r="J95">
        <f t="shared" si="60"/>
        <v>15</v>
      </c>
      <c r="M95">
        <f t="shared" si="61"/>
        <v>3.6012386897409487E-2</v>
      </c>
      <c r="N95">
        <f t="shared" si="62"/>
        <v>-1.5707963250000001</v>
      </c>
      <c r="O95">
        <f t="shared" si="63"/>
        <v>10.550745931750409</v>
      </c>
      <c r="P95">
        <f t="shared" si="64"/>
        <v>1.4758738160623541</v>
      </c>
      <c r="Q95">
        <f t="shared" si="65"/>
        <v>4.1562664168698351</v>
      </c>
      <c r="R95">
        <f t="shared" si="66"/>
        <v>1.3278117941019623</v>
      </c>
      <c r="S95">
        <f t="shared" si="67"/>
        <v>0.9999520553684994</v>
      </c>
      <c r="T95">
        <f t="shared" si="68"/>
        <v>-9.7923454412123575E-3</v>
      </c>
      <c r="U95">
        <f t="shared" si="69"/>
        <v>0.98861191279660465</v>
      </c>
      <c r="V95">
        <f t="shared" si="70"/>
        <v>-0.15106136395426559</v>
      </c>
      <c r="X95">
        <f t="shared" si="87"/>
        <v>6.1473222212399214</v>
      </c>
      <c r="Y95">
        <f t="shared" si="71"/>
        <v>-112.54764670990404</v>
      </c>
      <c r="Z95">
        <f t="shared" si="88"/>
        <v>67.452353290095957</v>
      </c>
      <c r="AC95">
        <v>1</v>
      </c>
      <c r="AD95">
        <f t="shared" si="72"/>
        <v>10.503249007633201</v>
      </c>
      <c r="AE95">
        <f t="shared" si="73"/>
        <v>-2.0128127228935159E-4</v>
      </c>
      <c r="AF95">
        <f t="shared" si="74"/>
        <v>1.322296346385E-3</v>
      </c>
      <c r="AG95">
        <f t="shared" si="89"/>
        <v>7650.7914625939466</v>
      </c>
      <c r="AH95">
        <f t="shared" si="90"/>
        <v>-1920.87125291949</v>
      </c>
      <c r="AJ95">
        <f t="shared" si="75"/>
        <v>21000</v>
      </c>
      <c r="AK95">
        <f t="shared" si="76"/>
        <v>205.64582743561505</v>
      </c>
      <c r="AL95">
        <v>1</v>
      </c>
      <c r="AM95">
        <f t="shared" si="77"/>
        <v>4.0341728430993156</v>
      </c>
      <c r="AN95">
        <f t="shared" si="91"/>
        <v>1263.686182569799</v>
      </c>
      <c r="AO95">
        <f t="shared" si="92"/>
        <v>-4892.2826524873108</v>
      </c>
      <c r="AQ95">
        <f t="shared" si="78"/>
        <v>2.6867275658248255</v>
      </c>
      <c r="AR95">
        <f t="shared" si="79"/>
        <v>-163.89038151531435</v>
      </c>
      <c r="AT95">
        <f t="shared" si="104"/>
        <v>-294256.73015984672</v>
      </c>
      <c r="AU95">
        <f t="shared" si="105"/>
        <v>-1259051.9894442509</v>
      </c>
      <c r="AV95">
        <f t="shared" si="93"/>
        <v>-1.8003882271736993</v>
      </c>
      <c r="AW95">
        <f t="shared" si="94"/>
        <v>-789307.90935135121</v>
      </c>
      <c r="AX95">
        <f t="shared" si="95"/>
        <v>-253634.87035201743</v>
      </c>
      <c r="AY95">
        <f t="shared" si="103"/>
        <v>-2.8306761835436811</v>
      </c>
      <c r="BA95">
        <f t="shared" si="80"/>
        <v>1.5595775099132125</v>
      </c>
      <c r="BB95">
        <f t="shared" si="96"/>
        <v>3.8601392752405523</v>
      </c>
      <c r="BC95">
        <f t="shared" si="97"/>
        <v>1.0302879563699818</v>
      </c>
      <c r="BD95">
        <f t="shared" si="81"/>
        <v>-120.96884834938842</v>
      </c>
      <c r="BF95">
        <f t="shared" si="82"/>
        <v>6.1385921502120189</v>
      </c>
      <c r="BG95">
        <f t="shared" si="83"/>
        <v>-114.93960910891023</v>
      </c>
      <c r="BH95">
        <f t="shared" si="98"/>
        <v>65.060390891089767</v>
      </c>
      <c r="BI95">
        <f t="shared" si="99"/>
        <v>65.060390891089767</v>
      </c>
      <c r="BJ95">
        <f t="shared" si="84"/>
        <v>0</v>
      </c>
      <c r="BK95">
        <f t="shared" si="100"/>
        <v>0</v>
      </c>
      <c r="BM95">
        <f t="shared" si="101"/>
        <v>2.2784528749714652</v>
      </c>
      <c r="BN95">
        <f t="shared" si="85"/>
        <v>-173.97076075952182</v>
      </c>
      <c r="BQ95" s="66">
        <f t="shared" si="102"/>
        <v>20.762100075525687</v>
      </c>
      <c r="BR95" s="71"/>
      <c r="BS95" s="71"/>
      <c r="BT95" s="71">
        <v>707.94600000000003</v>
      </c>
      <c r="BU95" s="71">
        <v>17.887</v>
      </c>
      <c r="BV95" s="71">
        <v>-262.84989999999999</v>
      </c>
      <c r="BW95" s="75"/>
      <c r="BY95" s="71"/>
      <c r="BZ95" s="71"/>
      <c r="CA95" s="71"/>
      <c r="CC95" s="71"/>
    </row>
    <row r="96" spans="1:81" ht="13" x14ac:dyDescent="0.3">
      <c r="A96">
        <f t="shared" si="54"/>
        <v>31000</v>
      </c>
      <c r="B96">
        <f t="shared" si="86"/>
        <v>31</v>
      </c>
      <c r="C96">
        <f t="shared" si="55"/>
        <v>1.0000474223246003</v>
      </c>
      <c r="D96">
        <f t="shared" si="56"/>
        <v>9.7386293298591751E-3</v>
      </c>
      <c r="F96">
        <f t="shared" si="57"/>
        <v>8.366482356646604E-2</v>
      </c>
      <c r="G96">
        <f t="shared" si="58"/>
        <v>9.3852722429152949E-2</v>
      </c>
      <c r="H96">
        <f t="shared" si="59"/>
        <v>-3.0477399275708472</v>
      </c>
      <c r="J96">
        <f t="shared" si="60"/>
        <v>15</v>
      </c>
      <c r="M96">
        <f t="shared" si="61"/>
        <v>3.5431541947451274E-2</v>
      </c>
      <c r="N96">
        <f t="shared" si="62"/>
        <v>-1.5707963250000001</v>
      </c>
      <c r="O96">
        <f t="shared" si="63"/>
        <v>10.722167628492443</v>
      </c>
      <c r="P96">
        <f t="shared" si="64"/>
        <v>1.477395863669533</v>
      </c>
      <c r="Q96">
        <f t="shared" si="65"/>
        <v>4.2204876557144013</v>
      </c>
      <c r="R96">
        <f t="shared" si="66"/>
        <v>1.3315819532469144</v>
      </c>
      <c r="S96">
        <f t="shared" si="67"/>
        <v>0.99995047064623244</v>
      </c>
      <c r="T96">
        <f t="shared" si="68"/>
        <v>-9.952865178674223E-3</v>
      </c>
      <c r="U96">
        <f t="shared" si="69"/>
        <v>0.98824208601598151</v>
      </c>
      <c r="V96">
        <f t="shared" si="70"/>
        <v>-0.15349936760021227</v>
      </c>
      <c r="X96">
        <f t="shared" si="87"/>
        <v>5.9706373493338818</v>
      </c>
      <c r="Y96">
        <f t="shared" si="71"/>
        <v>-112.48720200520485</v>
      </c>
      <c r="Z96">
        <f t="shared" si="88"/>
        <v>67.51279799479515</v>
      </c>
      <c r="AC96">
        <v>1</v>
      </c>
      <c r="AD96">
        <f t="shared" si="72"/>
        <v>10.675433417594402</v>
      </c>
      <c r="AE96">
        <f t="shared" si="73"/>
        <v>-2.0793475159372953E-4</v>
      </c>
      <c r="AF96">
        <f t="shared" si="74"/>
        <v>1.3439733356700001E-3</v>
      </c>
      <c r="AG96">
        <f t="shared" si="89"/>
        <v>7645.0684113019006</v>
      </c>
      <c r="AH96">
        <f t="shared" si="90"/>
        <v>-1926.8800446328196</v>
      </c>
      <c r="AJ96">
        <f t="shared" si="75"/>
        <v>21000</v>
      </c>
      <c r="AK96">
        <f t="shared" si="76"/>
        <v>209.01707050833002</v>
      </c>
      <c r="AL96">
        <v>1</v>
      </c>
      <c r="AM96">
        <f t="shared" si="77"/>
        <v>4.1003068241337299</v>
      </c>
      <c r="AN96">
        <f t="shared" si="91"/>
        <v>1227.060458876917</v>
      </c>
      <c r="AO96">
        <f t="shared" si="92"/>
        <v>-4822.3073026493594</v>
      </c>
      <c r="AQ96">
        <f t="shared" si="78"/>
        <v>2.6007802340702209</v>
      </c>
      <c r="AR96">
        <f t="shared" si="79"/>
        <v>-161.24837451235371</v>
      </c>
      <c r="AT96">
        <f t="shared" si="104"/>
        <v>-290823.13226510515</v>
      </c>
      <c r="AU96">
        <f t="shared" si="105"/>
        <v>-1237766.2458916793</v>
      </c>
      <c r="AV96">
        <f t="shared" si="93"/>
        <v>-1.8015685236768362</v>
      </c>
      <c r="AW96">
        <f t="shared" si="94"/>
        <v>-765466.46819872351</v>
      </c>
      <c r="AX96">
        <f t="shared" si="95"/>
        <v>-243306.63164547284</v>
      </c>
      <c r="AY96">
        <f t="shared" si="103"/>
        <v>-2.8338375190834637</v>
      </c>
      <c r="BA96">
        <f t="shared" si="80"/>
        <v>1.583000775717242</v>
      </c>
      <c r="BB96">
        <f t="shared" si="96"/>
        <v>3.989622553591214</v>
      </c>
      <c r="BC96">
        <f t="shared" si="97"/>
        <v>1.0322689954066275</v>
      </c>
      <c r="BD96">
        <f t="shared" si="81"/>
        <v>-120.85534317340826</v>
      </c>
      <c r="BF96">
        <f t="shared" si="82"/>
        <v>5.9627176209258215</v>
      </c>
      <c r="BG96">
        <f t="shared" si="83"/>
        <v>-114.9199959167796</v>
      </c>
      <c r="BH96">
        <f t="shared" si="98"/>
        <v>65.080004083220402</v>
      </c>
      <c r="BI96">
        <f t="shared" si="99"/>
        <v>65.080004083220402</v>
      </c>
      <c r="BJ96">
        <f t="shared" si="84"/>
        <v>0</v>
      </c>
      <c r="BK96">
        <f t="shared" si="100"/>
        <v>0</v>
      </c>
      <c r="BM96">
        <f t="shared" si="101"/>
        <v>1.973095067334607</v>
      </c>
      <c r="BN96">
        <f t="shared" si="85"/>
        <v>-174.06465274337137</v>
      </c>
      <c r="BQ96" s="66">
        <f t="shared" si="102"/>
        <v>20.891583353876349</v>
      </c>
      <c r="BR96" s="71"/>
      <c r="BS96" s="71"/>
      <c r="BT96" s="71">
        <v>724.43600000000004</v>
      </c>
      <c r="BU96" s="71">
        <v>17.753599999999999</v>
      </c>
      <c r="BV96" s="71">
        <v>-262.81690000000003</v>
      </c>
      <c r="BW96" s="75"/>
      <c r="BY96" s="71"/>
      <c r="BZ96" s="71"/>
      <c r="CA96" s="71"/>
      <c r="CC96" s="71"/>
    </row>
    <row r="97" spans="1:81" ht="13" x14ac:dyDescent="0.3">
      <c r="A97">
        <f t="shared" si="54"/>
        <v>31500</v>
      </c>
      <c r="B97">
        <f t="shared" si="86"/>
        <v>31.5</v>
      </c>
      <c r="C97">
        <f t="shared" si="55"/>
        <v>1.000048964375968</v>
      </c>
      <c r="D97">
        <f t="shared" si="56"/>
        <v>9.8956938237119724E-3</v>
      </c>
      <c r="F97">
        <f t="shared" si="57"/>
        <v>8.0827077808612285E-2</v>
      </c>
      <c r="G97">
        <f t="shared" si="58"/>
        <v>9.2126902028519281E-2</v>
      </c>
      <c r="H97">
        <f t="shared" si="59"/>
        <v>-3.0494657479714808</v>
      </c>
      <c r="J97">
        <f t="shared" si="60"/>
        <v>15</v>
      </c>
      <c r="M97">
        <f t="shared" si="61"/>
        <v>3.4869136519713947E-2</v>
      </c>
      <c r="N97">
        <f t="shared" si="62"/>
        <v>-1.5707963250000001</v>
      </c>
      <c r="O97">
        <f t="shared" si="63"/>
        <v>10.893613382744133</v>
      </c>
      <c r="P97">
        <f t="shared" si="64"/>
        <v>1.478870006054708</v>
      </c>
      <c r="Q97">
        <f t="shared" si="65"/>
        <v>4.2847670861985234</v>
      </c>
      <c r="R97">
        <f t="shared" si="66"/>
        <v>1.3352390443634148</v>
      </c>
      <c r="S97">
        <f t="shared" si="67"/>
        <v>0.99994886016384266</v>
      </c>
      <c r="T97">
        <f t="shared" si="68"/>
        <v>-1.0113384403218077E-2</v>
      </c>
      <c r="U97">
        <f t="shared" si="69"/>
        <v>0.9878666706894994</v>
      </c>
      <c r="V97">
        <f t="shared" si="70"/>
        <v>-0.15593553341015223</v>
      </c>
      <c r="X97">
        <f t="shared" si="87"/>
        <v>5.7977178847308197</v>
      </c>
      <c r="Y97">
        <f t="shared" si="71"/>
        <v>-112.43186616754498</v>
      </c>
      <c r="Z97">
        <f t="shared" si="88"/>
        <v>67.568133832455018</v>
      </c>
      <c r="AC97">
        <v>1</v>
      </c>
      <c r="AD97">
        <f t="shared" si="72"/>
        <v>10.847617827555601</v>
      </c>
      <c r="AE97">
        <f t="shared" si="73"/>
        <v>-2.1469641755346319E-4</v>
      </c>
      <c r="AF97">
        <f t="shared" si="74"/>
        <v>1.3656503249550001E-3</v>
      </c>
      <c r="AG97">
        <f t="shared" si="89"/>
        <v>7639.2610676374024</v>
      </c>
      <c r="AH97">
        <f t="shared" si="90"/>
        <v>-1933.2342516481222</v>
      </c>
      <c r="AJ97">
        <f t="shared" si="75"/>
        <v>21000</v>
      </c>
      <c r="AK97">
        <f t="shared" si="76"/>
        <v>212.38831358104503</v>
      </c>
      <c r="AL97">
        <v>1</v>
      </c>
      <c r="AM97">
        <f t="shared" si="77"/>
        <v>4.1664408051681452</v>
      </c>
      <c r="AN97">
        <f t="shared" si="91"/>
        <v>1192.0382580632938</v>
      </c>
      <c r="AO97">
        <f t="shared" si="92"/>
        <v>-4754.1685261354187</v>
      </c>
      <c r="AQ97">
        <f t="shared" si="78"/>
        <v>2.5188916876574305</v>
      </c>
      <c r="AR97">
        <f t="shared" si="79"/>
        <v>-158.69017632241813</v>
      </c>
      <c r="AT97">
        <f t="shared" si="104"/>
        <v>-287542.81306346168</v>
      </c>
      <c r="AU97">
        <f t="shared" si="105"/>
        <v>-1217145.2934831346</v>
      </c>
      <c r="AV97">
        <f t="shared" si="93"/>
        <v>-1.8027864979534474</v>
      </c>
      <c r="AW97">
        <f t="shared" si="94"/>
        <v>-742662.34707819787</v>
      </c>
      <c r="AX97">
        <f t="shared" si="95"/>
        <v>-233575.94886209175</v>
      </c>
      <c r="AY97">
        <f t="shared" si="103"/>
        <v>-2.8368761725368339</v>
      </c>
      <c r="BA97">
        <f t="shared" si="80"/>
        <v>1.606429095130586</v>
      </c>
      <c r="BB97">
        <f t="shared" si="96"/>
        <v>4.1172312267815085</v>
      </c>
      <c r="BC97">
        <f t="shared" si="97"/>
        <v>1.0340896745833865</v>
      </c>
      <c r="BD97">
        <f t="shared" si="81"/>
        <v>-120.7510259406134</v>
      </c>
      <c r="BF97">
        <f t="shared" si="82"/>
        <v>5.7906192519506385</v>
      </c>
      <c r="BG97">
        <f t="shared" si="83"/>
        <v>-114.90556177663223</v>
      </c>
      <c r="BH97">
        <f t="shared" si="98"/>
        <v>65.094438223367774</v>
      </c>
      <c r="BI97">
        <f t="shared" si="99"/>
        <v>65.094438223367774</v>
      </c>
      <c r="BJ97">
        <f t="shared" si="84"/>
        <v>0</v>
      </c>
      <c r="BK97">
        <f t="shared" si="100"/>
        <v>0</v>
      </c>
      <c r="BM97">
        <f t="shared" si="101"/>
        <v>1.6733880251691313</v>
      </c>
      <c r="BN97">
        <f t="shared" si="85"/>
        <v>-174.15453583601882</v>
      </c>
      <c r="BQ97" s="66">
        <f t="shared" si="102"/>
        <v>21.019192027066644</v>
      </c>
      <c r="BR97" s="71"/>
      <c r="BS97" s="71"/>
      <c r="BT97" s="71">
        <v>741.31</v>
      </c>
      <c r="BU97" s="71">
        <v>17.416399999999999</v>
      </c>
      <c r="BV97" s="71">
        <v>-262.19720000000001</v>
      </c>
      <c r="BW97" s="75"/>
      <c r="BY97" s="71"/>
      <c r="BZ97" s="71"/>
      <c r="CA97" s="71"/>
      <c r="CC97" s="71"/>
    </row>
    <row r="98" spans="1:81" ht="13" x14ac:dyDescent="0.3">
      <c r="A98">
        <f t="shared" si="54"/>
        <v>32000</v>
      </c>
      <c r="B98">
        <f t="shared" si="86"/>
        <v>32</v>
      </c>
      <c r="C98">
        <f t="shared" si="55"/>
        <v>1.0000505310977221</v>
      </c>
      <c r="D98">
        <f t="shared" si="56"/>
        <v>1.0052757829311559E-2</v>
      </c>
      <c r="F98">
        <f t="shared" si="57"/>
        <v>7.8134451078641365E-2</v>
      </c>
      <c r="G98">
        <f t="shared" si="58"/>
        <v>9.0466883079699786E-2</v>
      </c>
      <c r="H98">
        <f t="shared" si="59"/>
        <v>-3.0511257669203005</v>
      </c>
      <c r="J98">
        <f t="shared" si="60"/>
        <v>15</v>
      </c>
      <c r="M98">
        <f t="shared" si="61"/>
        <v>3.4324306261593419E-2</v>
      </c>
      <c r="N98">
        <f t="shared" si="62"/>
        <v>-1.5707963250000001</v>
      </c>
      <c r="O98">
        <f t="shared" si="63"/>
        <v>11.065082076242376</v>
      </c>
      <c r="P98">
        <f t="shared" si="64"/>
        <v>1.4802984637293894</v>
      </c>
      <c r="Q98">
        <f t="shared" si="65"/>
        <v>4.3491021281176705</v>
      </c>
      <c r="R98">
        <f t="shared" si="66"/>
        <v>1.3387879851455644</v>
      </c>
      <c r="S98">
        <f t="shared" si="67"/>
        <v>0.99994722392170399</v>
      </c>
      <c r="T98">
        <f t="shared" si="68"/>
        <v>-1.027390310657441E-2</v>
      </c>
      <c r="U98">
        <f t="shared" si="69"/>
        <v>0.98748568654417457</v>
      </c>
      <c r="V98">
        <f t="shared" si="70"/>
        <v>-0.15836983457761319</v>
      </c>
      <c r="X98">
        <f t="shared" si="87"/>
        <v>5.6283934366942932</v>
      </c>
      <c r="Y98">
        <f t="shared" si="71"/>
        <v>-112.38146744519537</v>
      </c>
      <c r="Z98">
        <f t="shared" si="88"/>
        <v>67.618532554804631</v>
      </c>
      <c r="AC98">
        <v>1</v>
      </c>
      <c r="AD98">
        <f t="shared" si="72"/>
        <v>11.019802237516801</v>
      </c>
      <c r="AE98">
        <f t="shared" si="73"/>
        <v>-2.2156627016855254E-4</v>
      </c>
      <c r="AF98">
        <f t="shared" si="74"/>
        <v>1.3873273142400002E-3</v>
      </c>
      <c r="AG98">
        <f t="shared" si="89"/>
        <v>7633.3698351252897</v>
      </c>
      <c r="AH98">
        <f t="shared" si="90"/>
        <v>-1939.9151559703732</v>
      </c>
      <c r="AJ98">
        <f t="shared" si="75"/>
        <v>21000</v>
      </c>
      <c r="AK98">
        <f t="shared" si="76"/>
        <v>215.75955665376</v>
      </c>
      <c r="AL98">
        <v>1</v>
      </c>
      <c r="AM98">
        <f t="shared" si="77"/>
        <v>4.2325747862025604</v>
      </c>
      <c r="AN98">
        <f t="shared" si="91"/>
        <v>1158.5291245191252</v>
      </c>
      <c r="AO98">
        <f t="shared" si="92"/>
        <v>-4687.8016048672162</v>
      </c>
      <c r="AQ98">
        <f t="shared" si="78"/>
        <v>2.4408103490358801</v>
      </c>
      <c r="AR98">
        <f t="shared" si="79"/>
        <v>-156.21186233829633</v>
      </c>
      <c r="AT98">
        <f t="shared" si="104"/>
        <v>-284406.15120082651</v>
      </c>
      <c r="AU98">
        <f t="shared" si="105"/>
        <v>-1197157.8828508395</v>
      </c>
      <c r="AV98">
        <f t="shared" si="93"/>
        <v>-1.8040402958175401</v>
      </c>
      <c r="AW98">
        <f t="shared" si="94"/>
        <v>-720837.54087182914</v>
      </c>
      <c r="AX98">
        <f t="shared" si="95"/>
        <v>-224399.8579271351</v>
      </c>
      <c r="AY98">
        <f t="shared" si="103"/>
        <v>-2.8397974364410699</v>
      </c>
      <c r="BA98">
        <f t="shared" si="80"/>
        <v>1.6298609616838218</v>
      </c>
      <c r="BB98">
        <f t="shared" si="96"/>
        <v>4.2430111537358126</v>
      </c>
      <c r="BC98">
        <f t="shared" si="97"/>
        <v>1.0357571406235297</v>
      </c>
      <c r="BD98">
        <f t="shared" si="81"/>
        <v>-120.65548717392264</v>
      </c>
      <c r="BF98">
        <f t="shared" si="82"/>
        <v>5.6221265399222116</v>
      </c>
      <c r="BG98">
        <f t="shared" si="83"/>
        <v>-114.89613598508471</v>
      </c>
      <c r="BH98">
        <f t="shared" si="98"/>
        <v>65.103864014915288</v>
      </c>
      <c r="BI98">
        <f t="shared" si="99"/>
        <v>65.103864014915288</v>
      </c>
      <c r="BJ98">
        <f t="shared" si="84"/>
        <v>0</v>
      </c>
      <c r="BK98">
        <f t="shared" si="100"/>
        <v>0</v>
      </c>
      <c r="BM98">
        <f t="shared" si="101"/>
        <v>1.3791153861863976</v>
      </c>
      <c r="BN98">
        <f t="shared" si="85"/>
        <v>-174.24064881116206</v>
      </c>
      <c r="BQ98" s="66">
        <f t="shared" si="102"/>
        <v>21.144971954020949</v>
      </c>
      <c r="BR98" s="71"/>
      <c r="BS98" s="71"/>
      <c r="BT98" s="71">
        <v>758.57799999999997</v>
      </c>
      <c r="BU98" s="71">
        <v>17.283200000000001</v>
      </c>
      <c r="BV98" s="71">
        <v>-262.56690000000003</v>
      </c>
      <c r="BW98" s="75"/>
      <c r="BY98" s="71"/>
      <c r="BZ98" s="71"/>
      <c r="CA98" s="71"/>
      <c r="CC98" s="71"/>
    </row>
    <row r="99" spans="1:81" ht="13" x14ac:dyDescent="0.3">
      <c r="A99">
        <f t="shared" si="54"/>
        <v>32500</v>
      </c>
      <c r="B99">
        <f t="shared" si="86"/>
        <v>32.5</v>
      </c>
      <c r="C99">
        <f t="shared" si="55"/>
        <v>1.0000521224897472</v>
      </c>
      <c r="D99">
        <f t="shared" si="56"/>
        <v>1.0209821338910994E-2</v>
      </c>
      <c r="F99">
        <f t="shared" si="57"/>
        <v>7.5577022165618943E-2</v>
      </c>
      <c r="G99">
        <f t="shared" si="58"/>
        <v>8.8868830679638716E-2</v>
      </c>
      <c r="H99">
        <f t="shared" si="59"/>
        <v>-3.0527238193203616</v>
      </c>
      <c r="J99">
        <f t="shared" si="60"/>
        <v>15</v>
      </c>
      <c r="M99">
        <f t="shared" si="61"/>
        <v>3.3796240011415062E-2</v>
      </c>
      <c r="N99">
        <f t="shared" si="62"/>
        <v>-1.5707963250000001</v>
      </c>
      <c r="O99">
        <f t="shared" si="63"/>
        <v>11.236572658837117</v>
      </c>
      <c r="P99">
        <f t="shared" si="64"/>
        <v>1.4816833224221544</v>
      </c>
      <c r="Q99">
        <f t="shared" si="65"/>
        <v>4.4134903495442286</v>
      </c>
      <c r="R99">
        <f t="shared" si="66"/>
        <v>1.3422334175845294</v>
      </c>
      <c r="S99">
        <f t="shared" si="67"/>
        <v>0.99994556192019546</v>
      </c>
      <c r="T99">
        <f t="shared" si="68"/>
        <v>-1.0434421280473867E-2</v>
      </c>
      <c r="U99">
        <f t="shared" si="69"/>
        <v>0.98709915355838729</v>
      </c>
      <c r="V99">
        <f t="shared" si="70"/>
        <v>-0.16080224442553681</v>
      </c>
      <c r="X99">
        <f t="shared" si="87"/>
        <v>5.462504784277237</v>
      </c>
      <c r="Y99">
        <f t="shared" si="71"/>
        <v>-112.33583856345601</v>
      </c>
      <c r="Z99">
        <f t="shared" si="88"/>
        <v>67.664161436543992</v>
      </c>
      <c r="AC99">
        <v>1</v>
      </c>
      <c r="AD99">
        <f t="shared" si="72"/>
        <v>11.191986647478002</v>
      </c>
      <c r="AE99">
        <f t="shared" si="73"/>
        <v>-2.2854430943899771E-4</v>
      </c>
      <c r="AF99">
        <f t="shared" si="74"/>
        <v>1.4090043035250002E-3</v>
      </c>
      <c r="AG99">
        <f t="shared" si="89"/>
        <v>7627.3951221643665</v>
      </c>
      <c r="AH99">
        <f t="shared" si="90"/>
        <v>-1946.9051614325051</v>
      </c>
      <c r="AJ99">
        <f t="shared" si="75"/>
        <v>21000</v>
      </c>
      <c r="AK99">
        <f t="shared" si="76"/>
        <v>219.13079972647503</v>
      </c>
      <c r="AL99">
        <v>1</v>
      </c>
      <c r="AM99">
        <f t="shared" si="77"/>
        <v>4.2987087672369748</v>
      </c>
      <c r="AN99">
        <f t="shared" si="91"/>
        <v>1126.4487622759591</v>
      </c>
      <c r="AO99">
        <f t="shared" si="92"/>
        <v>-4623.1443705124284</v>
      </c>
      <c r="AQ99">
        <f t="shared" si="78"/>
        <v>2.3663038334122102</v>
      </c>
      <c r="AR99">
        <f t="shared" si="79"/>
        <v>-153.80974917179367</v>
      </c>
      <c r="AT99">
        <f t="shared" si="104"/>
        <v>-281404.26022467692</v>
      </c>
      <c r="AU99">
        <f t="shared" si="105"/>
        <v>-1177774.6997210514</v>
      </c>
      <c r="AV99">
        <f t="shared" si="93"/>
        <v>-1.8053281738125804</v>
      </c>
      <c r="AW99">
        <f t="shared" si="94"/>
        <v>-699937.94799958123</v>
      </c>
      <c r="AX99">
        <f t="shared" si="95"/>
        <v>-215739.04051223092</v>
      </c>
      <c r="AY99">
        <f t="shared" si="103"/>
        <v>-2.8426063036725657</v>
      </c>
      <c r="BA99">
        <f t="shared" si="80"/>
        <v>1.6532949392694487</v>
      </c>
      <c r="BB99">
        <f t="shared" si="96"/>
        <v>4.3670067274627966</v>
      </c>
      <c r="BC99">
        <f t="shared" si="97"/>
        <v>1.0372781298599854</v>
      </c>
      <c r="BD99">
        <f t="shared" si="81"/>
        <v>-120.56834090988934</v>
      </c>
      <c r="BF99">
        <f t="shared" si="82"/>
        <v>5.4570801498228105</v>
      </c>
      <c r="BG99">
        <f t="shared" si="83"/>
        <v>-114.89155230289442</v>
      </c>
      <c r="BH99">
        <f t="shared" si="98"/>
        <v>65.108447697105575</v>
      </c>
      <c r="BI99">
        <f t="shared" si="99"/>
        <v>65.108447697105575</v>
      </c>
      <c r="BJ99">
        <f t="shared" si="84"/>
        <v>0</v>
      </c>
      <c r="BK99">
        <f t="shared" si="100"/>
        <v>0</v>
      </c>
      <c r="BM99">
        <f t="shared" si="101"/>
        <v>1.0900734223600146</v>
      </c>
      <c r="BN99">
        <f t="shared" si="85"/>
        <v>-174.32321139300512</v>
      </c>
      <c r="BQ99" s="66">
        <f t="shared" si="102"/>
        <v>21.268967527747936</v>
      </c>
      <c r="BR99" s="71"/>
      <c r="BS99" s="71"/>
      <c r="BT99" s="71">
        <v>776.24699999999996</v>
      </c>
      <c r="BU99" s="71">
        <v>17.007100000000001</v>
      </c>
      <c r="BV99" s="71">
        <v>-262.71769999999998</v>
      </c>
      <c r="BW99" s="75"/>
      <c r="BY99" s="71"/>
      <c r="BZ99" s="71"/>
      <c r="CA99" s="71"/>
      <c r="CC99" s="71"/>
    </row>
    <row r="100" spans="1:81" ht="13" x14ac:dyDescent="0.3">
      <c r="A100">
        <f t="shared" si="54"/>
        <v>33000</v>
      </c>
      <c r="B100">
        <f t="shared" si="86"/>
        <v>33</v>
      </c>
      <c r="C100">
        <f t="shared" si="55"/>
        <v>1.0000537385519253</v>
      </c>
      <c r="D100">
        <f t="shared" si="56"/>
        <v>1.0366884344763483E-2</v>
      </c>
      <c r="F100">
        <f t="shared" si="57"/>
        <v>7.314571776185827E-2</v>
      </c>
      <c r="G100">
        <f t="shared" si="58"/>
        <v>8.7329209416468073E-2</v>
      </c>
      <c r="H100">
        <f t="shared" si="59"/>
        <v>-3.0542634405835321</v>
      </c>
      <c r="J100">
        <f t="shared" si="60"/>
        <v>15</v>
      </c>
      <c r="M100">
        <f t="shared" si="61"/>
        <v>3.3284175768817863E-2</v>
      </c>
      <c r="N100">
        <f t="shared" si="62"/>
        <v>-1.5707963250000001</v>
      </c>
      <c r="O100">
        <f t="shared" si="63"/>
        <v>11.408084143393175</v>
      </c>
      <c r="P100">
        <f t="shared" si="64"/>
        <v>1.4830265431257126</v>
      </c>
      <c r="Q100">
        <f t="shared" si="65"/>
        <v>4.4779294564717462</v>
      </c>
      <c r="R100">
        <f t="shared" si="66"/>
        <v>1.3455797266358285</v>
      </c>
      <c r="S100">
        <f t="shared" si="67"/>
        <v>0.99994387415970254</v>
      </c>
      <c r="T100">
        <f t="shared" si="68"/>
        <v>-1.0594938916647261E-2</v>
      </c>
      <c r="U100">
        <f t="shared" si="69"/>
        <v>0.98670709195907269</v>
      </c>
      <c r="V100">
        <f t="shared" si="70"/>
        <v>-0.16323273640782163</v>
      </c>
      <c r="X100">
        <f t="shared" si="87"/>
        <v>5.2999029343992712</v>
      </c>
      <c r="Y100">
        <f t="shared" si="71"/>
        <v>-112.29481696944553</v>
      </c>
      <c r="Z100">
        <f t="shared" si="88"/>
        <v>67.705183030554466</v>
      </c>
      <c r="AC100">
        <v>1</v>
      </c>
      <c r="AD100">
        <f t="shared" si="72"/>
        <v>11.364171057439201</v>
      </c>
      <c r="AE100">
        <f t="shared" si="73"/>
        <v>-2.356305353647986E-4</v>
      </c>
      <c r="AF100">
        <f t="shared" si="74"/>
        <v>1.43068129281E-3</v>
      </c>
      <c r="AG100">
        <f t="shared" si="89"/>
        <v>7621.3373419591371</v>
      </c>
      <c r="AH100">
        <f t="shared" si="90"/>
        <v>-1954.1877091230399</v>
      </c>
      <c r="AJ100">
        <f t="shared" si="75"/>
        <v>21000</v>
      </c>
      <c r="AK100">
        <f t="shared" si="76"/>
        <v>222.50204279919004</v>
      </c>
      <c r="AL100">
        <v>1</v>
      </c>
      <c r="AM100">
        <f t="shared" si="77"/>
        <v>4.3648427482713901</v>
      </c>
      <c r="AN100">
        <f t="shared" si="91"/>
        <v>1095.718549591639</v>
      </c>
      <c r="AO100">
        <f t="shared" si="92"/>
        <v>-4560.137122532321</v>
      </c>
      <c r="AQ100">
        <f t="shared" si="78"/>
        <v>2.2951572182694515</v>
      </c>
      <c r="AR100">
        <f t="shared" si="79"/>
        <v>-151.4803764057838</v>
      </c>
      <c r="AT100">
        <f t="shared" si="104"/>
        <v>-278528.9223322504</v>
      </c>
      <c r="AU100">
        <f t="shared" si="105"/>
        <v>-1158968.2173018733</v>
      </c>
      <c r="AV100">
        <f t="shared" si="93"/>
        <v>-1.8066484909971323</v>
      </c>
      <c r="AW100">
        <f t="shared" si="94"/>
        <v>-679913.0676990049</v>
      </c>
      <c r="AX100">
        <f t="shared" si="95"/>
        <v>-207557.47016412803</v>
      </c>
      <c r="AY100">
        <f t="shared" si="103"/>
        <v>-2.8453074879409628</v>
      </c>
      <c r="BA100">
        <f t="shared" si="80"/>
        <v>1.6767296570930077</v>
      </c>
      <c r="BB100">
        <f t="shared" si="96"/>
        <v>4.4892609194176822</v>
      </c>
      <c r="BC100">
        <f t="shared" si="97"/>
        <v>1.0386589969438305</v>
      </c>
      <c r="BD100">
        <f t="shared" si="81"/>
        <v>-120.48922305382607</v>
      </c>
      <c r="BF100">
        <f t="shared" si="82"/>
        <v>5.2953309730745213</v>
      </c>
      <c r="BG100">
        <f t="shared" si="83"/>
        <v>-114.89164919999695</v>
      </c>
      <c r="BH100">
        <f t="shared" si="98"/>
        <v>65.108350800003052</v>
      </c>
      <c r="BI100">
        <f t="shared" si="99"/>
        <v>65.108350800003052</v>
      </c>
      <c r="BJ100">
        <f t="shared" si="84"/>
        <v>0</v>
      </c>
      <c r="BK100">
        <f t="shared" si="100"/>
        <v>0</v>
      </c>
      <c r="BM100">
        <f t="shared" si="101"/>
        <v>0.80607005365683893</v>
      </c>
      <c r="BN100">
        <f t="shared" si="85"/>
        <v>-174.40242614617091</v>
      </c>
      <c r="BQ100" s="66">
        <f t="shared" si="102"/>
        <v>21.39122171970282</v>
      </c>
      <c r="BR100" s="71"/>
      <c r="BS100" s="71"/>
      <c r="BT100" s="71">
        <v>794.32799999999997</v>
      </c>
      <c r="BU100" s="71">
        <v>16.8354</v>
      </c>
      <c r="BV100" s="71">
        <v>-262.79380000000003</v>
      </c>
      <c r="BW100" s="75"/>
      <c r="BY100" s="71"/>
      <c r="BZ100" s="71"/>
      <c r="CA100" s="71"/>
      <c r="CC100" s="71"/>
    </row>
    <row r="101" spans="1:81" ht="13" x14ac:dyDescent="0.3">
      <c r="A101">
        <f t="shared" si="54"/>
        <v>33500</v>
      </c>
      <c r="B101">
        <f t="shared" si="86"/>
        <v>33.5</v>
      </c>
      <c r="C101">
        <f t="shared" si="55"/>
        <v>1.0000553792841365</v>
      </c>
      <c r="D101">
        <f t="shared" si="56"/>
        <v>1.0523946839122377E-2</v>
      </c>
      <c r="F101">
        <f t="shared" si="57"/>
        <v>7.0832225713976127E-2</v>
      </c>
      <c r="G101">
        <f t="shared" si="58"/>
        <v>8.5844754267277973E-2</v>
      </c>
      <c r="H101">
        <f t="shared" si="59"/>
        <v>-3.0557478957327224</v>
      </c>
      <c r="J101">
        <f t="shared" si="60"/>
        <v>15</v>
      </c>
      <c r="M101">
        <f t="shared" si="61"/>
        <v>3.2787397025999684E-2</v>
      </c>
      <c r="N101">
        <f t="shared" si="62"/>
        <v>-1.5707963250000001</v>
      </c>
      <c r="O101">
        <f t="shared" si="63"/>
        <v>11.579615601142343</v>
      </c>
      <c r="P101">
        <f t="shared" si="64"/>
        <v>1.4843299712607509</v>
      </c>
      <c r="Q101">
        <f t="shared" si="65"/>
        <v>4.5424172833029743</v>
      </c>
      <c r="R101">
        <f t="shared" si="66"/>
        <v>1.3488310574231479</v>
      </c>
      <c r="S101">
        <f t="shared" si="67"/>
        <v>0.99994216064061636</v>
      </c>
      <c r="T101">
        <f t="shared" si="68"/>
        <v>-1.0755456006825573E-2</v>
      </c>
      <c r="U101">
        <f t="shared" si="69"/>
        <v>0.98630952221888513</v>
      </c>
      <c r="V101">
        <f t="shared" si="70"/>
        <v>-0.1656612841108441</v>
      </c>
      <c r="X101">
        <f t="shared" si="87"/>
        <v>5.140448275722628</v>
      </c>
      <c r="Y101">
        <f t="shared" si="71"/>
        <v>-112.2582449888679</v>
      </c>
      <c r="Z101">
        <f t="shared" si="88"/>
        <v>67.741755011132099</v>
      </c>
      <c r="AC101">
        <v>1</v>
      </c>
      <c r="AD101">
        <f t="shared" si="72"/>
        <v>11.536355467400401</v>
      </c>
      <c r="AE101">
        <f t="shared" si="73"/>
        <v>-2.428249479459552E-4</v>
      </c>
      <c r="AF101">
        <f t="shared" si="74"/>
        <v>1.4523582820949999E-3</v>
      </c>
      <c r="AG101">
        <f t="shared" si="89"/>
        <v>7615.1969124509496</v>
      </c>
      <c r="AH101">
        <f t="shared" si="90"/>
        <v>-1961.7472003906919</v>
      </c>
      <c r="AJ101">
        <f t="shared" si="75"/>
        <v>21000</v>
      </c>
      <c r="AK101">
        <f t="shared" si="76"/>
        <v>225.87328587190501</v>
      </c>
      <c r="AL101">
        <v>1</v>
      </c>
      <c r="AM101">
        <f t="shared" si="77"/>
        <v>4.4309767293058053</v>
      </c>
      <c r="AN101">
        <f t="shared" si="91"/>
        <v>1066.2650964745185</v>
      </c>
      <c r="AO101">
        <f t="shared" si="92"/>
        <v>-4498.7225438776959</v>
      </c>
      <c r="AQ101">
        <f t="shared" si="78"/>
        <v>2.2271714922048997</v>
      </c>
      <c r="AR101">
        <f t="shared" si="79"/>
        <v>-149.22048997772828</v>
      </c>
      <c r="AT101">
        <f t="shared" si="104"/>
        <v>-275772.52898379823</v>
      </c>
      <c r="AU101">
        <f t="shared" si="105"/>
        <v>-1140712.5619924373</v>
      </c>
      <c r="AV101">
        <f t="shared" si="93"/>
        <v>-1.8079997014498013</v>
      </c>
      <c r="AW101">
        <f t="shared" si="94"/>
        <v>-660715.72349319514</v>
      </c>
      <c r="AX101">
        <f t="shared" si="95"/>
        <v>-199822.09688340573</v>
      </c>
      <c r="AY101">
        <f t="shared" si="103"/>
        <v>-2.847905442656427</v>
      </c>
      <c r="BA101">
        <f t="shared" si="80"/>
        <v>1.7001638050555214</v>
      </c>
      <c r="BB101">
        <f t="shared" si="96"/>
        <v>4.6098153240899356</v>
      </c>
      <c r="BC101">
        <f t="shared" si="97"/>
        <v>1.0399057412066257</v>
      </c>
      <c r="BD101">
        <f t="shared" si="81"/>
        <v>-120.41778986935412</v>
      </c>
      <c r="BF101">
        <f t="shared" si="82"/>
        <v>5.1367392814312405</v>
      </c>
      <c r="BG101">
        <f t="shared" si="83"/>
        <v>-114.89627001249042</v>
      </c>
      <c r="BH101">
        <f t="shared" si="98"/>
        <v>65.103729987509581</v>
      </c>
      <c r="BI101">
        <f t="shared" si="99"/>
        <v>65.103729987509581</v>
      </c>
      <c r="BJ101">
        <f t="shared" si="84"/>
        <v>0</v>
      </c>
      <c r="BK101">
        <f t="shared" si="100"/>
        <v>0</v>
      </c>
      <c r="BM101">
        <f t="shared" si="101"/>
        <v>0.52692395734130482</v>
      </c>
      <c r="BN101">
        <f t="shared" si="85"/>
        <v>-174.47848014313632</v>
      </c>
      <c r="BQ101" s="66">
        <f t="shared" si="102"/>
        <v>21.511776124375071</v>
      </c>
      <c r="BR101" s="71"/>
      <c r="BS101" s="71"/>
      <c r="BT101" s="71">
        <v>812.83100000000002</v>
      </c>
      <c r="BU101" s="71">
        <v>16.6614</v>
      </c>
      <c r="BV101" s="71">
        <v>-262.23689999999999</v>
      </c>
      <c r="BW101" s="75"/>
      <c r="BY101" s="71"/>
      <c r="BZ101" s="71"/>
      <c r="CA101" s="71"/>
      <c r="CC101" s="71"/>
    </row>
    <row r="102" spans="1:81" ht="13" x14ac:dyDescent="0.3">
      <c r="A102">
        <f t="shared" ref="A102:A165" si="106">A101+500</f>
        <v>34000</v>
      </c>
      <c r="B102">
        <f t="shared" si="86"/>
        <v>34</v>
      </c>
      <c r="C102">
        <f t="shared" si="55"/>
        <v>1.0000570446862598</v>
      </c>
      <c r="D102">
        <f t="shared" si="56"/>
        <v>1.068100881424118E-2</v>
      </c>
      <c r="F102">
        <f t="shared" si="57"/>
        <v>6.8628918580331447E-2</v>
      </c>
      <c r="G102">
        <f t="shared" si="58"/>
        <v>8.4412444853422308E-2</v>
      </c>
      <c r="H102">
        <f t="shared" si="59"/>
        <v>-3.0571802051465777</v>
      </c>
      <c r="J102">
        <f t="shared" si="60"/>
        <v>15</v>
      </c>
      <c r="M102">
        <f t="shared" si="61"/>
        <v>3.2305229422676163E-2</v>
      </c>
      <c r="N102">
        <f t="shared" si="62"/>
        <v>-1.5707963250000001</v>
      </c>
      <c r="O102">
        <f t="shared" si="63"/>
        <v>11.751166157440155</v>
      </c>
      <c r="P102">
        <f t="shared" si="64"/>
        <v>1.4855953450456079</v>
      </c>
      <c r="Q102">
        <f t="shared" si="65"/>
        <v>4.6069517841037495</v>
      </c>
      <c r="R102">
        <f t="shared" si="66"/>
        <v>1.3519913311075482</v>
      </c>
      <c r="S102">
        <f t="shared" si="67"/>
        <v>0.99994042136333483</v>
      </c>
      <c r="T102">
        <f t="shared" si="68"/>
        <v>-1.0915972542739943E-2</v>
      </c>
      <c r="U102">
        <f t="shared" si="69"/>
        <v>0.98590646505333879</v>
      </c>
      <c r="V102">
        <f t="shared" si="70"/>
        <v>-0.16808786125495739</v>
      </c>
      <c r="X102">
        <f t="shared" si="87"/>
        <v>4.9840098170185403</v>
      </c>
      <c r="Y102">
        <f t="shared" si="71"/>
        <v>-112.22596991237485</v>
      </c>
      <c r="Z102">
        <f t="shared" si="88"/>
        <v>67.77403008762515</v>
      </c>
      <c r="AC102">
        <v>1</v>
      </c>
      <c r="AD102">
        <f t="shared" si="72"/>
        <v>11.7085398773616</v>
      </c>
      <c r="AE102">
        <f t="shared" si="73"/>
        <v>-2.5012754718246758E-4</v>
      </c>
      <c r="AF102">
        <f t="shared" si="74"/>
        <v>1.4740352713799999E-3</v>
      </c>
      <c r="AG102">
        <f t="shared" si="89"/>
        <v>7608.9742562486235</v>
      </c>
      <c r="AH102">
        <f t="shared" si="90"/>
        <v>-1969.5689266458348</v>
      </c>
      <c r="AJ102">
        <f t="shared" si="75"/>
        <v>21000</v>
      </c>
      <c r="AK102">
        <f t="shared" si="76"/>
        <v>229.24452894462001</v>
      </c>
      <c r="AL102">
        <v>1</v>
      </c>
      <c r="AM102">
        <f t="shared" si="77"/>
        <v>4.4971107103402197</v>
      </c>
      <c r="AN102">
        <f t="shared" si="91"/>
        <v>1038.0198409862803</v>
      </c>
      <c r="AO102">
        <f t="shared" si="92"/>
        <v>-4438.8456155004324</v>
      </c>
      <c r="AQ102">
        <f t="shared" si="78"/>
        <v>2.1621621621621623</v>
      </c>
      <c r="AR102">
        <f t="shared" si="79"/>
        <v>-147.02702702702703</v>
      </c>
      <c r="AT102">
        <f t="shared" si="104"/>
        <v>-273128.02757982304</v>
      </c>
      <c r="AU102">
        <f t="shared" si="105"/>
        <v>-1122983.3910303833</v>
      </c>
      <c r="AV102">
        <f t="shared" si="93"/>
        <v>-1.8093803474212913</v>
      </c>
      <c r="AW102">
        <f t="shared" si="94"/>
        <v>-642301.81038927869</v>
      </c>
      <c r="AX102">
        <f t="shared" si="95"/>
        <v>-192502.56555084305</v>
      </c>
      <c r="AY102">
        <f t="shared" si="103"/>
        <v>-2.850404378315738</v>
      </c>
      <c r="BA102">
        <f t="shared" si="80"/>
        <v>1.7235961295251627</v>
      </c>
      <c r="BB102">
        <f t="shared" si="96"/>
        <v>4.7287102034791735</v>
      </c>
      <c r="BC102">
        <f t="shared" si="97"/>
        <v>1.0410240308944467</v>
      </c>
      <c r="BD102">
        <f t="shared" si="81"/>
        <v>-120.35371658989575</v>
      </c>
      <c r="BF102">
        <f t="shared" si="82"/>
        <v>4.9811739653613607</v>
      </c>
      <c r="BG102">
        <f t="shared" si="83"/>
        <v>-114.90526302919002</v>
      </c>
      <c r="BH102">
        <f t="shared" si="98"/>
        <v>65.094736970809976</v>
      </c>
      <c r="BI102">
        <f t="shared" si="99"/>
        <v>65.094736970809976</v>
      </c>
      <c r="BJ102">
        <f t="shared" si="84"/>
        <v>0</v>
      </c>
      <c r="BK102">
        <f t="shared" si="100"/>
        <v>0</v>
      </c>
      <c r="BM102">
        <f t="shared" si="101"/>
        <v>0.25246376188218678</v>
      </c>
      <c r="BN102">
        <f t="shared" si="85"/>
        <v>-174.55154643929427</v>
      </c>
      <c r="BQ102" s="66">
        <f t="shared" si="102"/>
        <v>21.630671003764309</v>
      </c>
      <c r="BR102" s="71"/>
      <c r="BS102" s="71"/>
      <c r="BT102" s="71">
        <v>831.76400000000001</v>
      </c>
      <c r="BU102" s="71">
        <v>16.509799999999998</v>
      </c>
      <c r="BV102" s="71">
        <v>-262.34320000000002</v>
      </c>
      <c r="BW102" s="75"/>
      <c r="BY102" s="71"/>
      <c r="BZ102" s="71"/>
      <c r="CA102" s="71"/>
      <c r="CC102" s="71"/>
    </row>
    <row r="103" spans="1:81" ht="13" x14ac:dyDescent="0.3">
      <c r="A103">
        <f t="shared" si="106"/>
        <v>34500</v>
      </c>
      <c r="B103">
        <f t="shared" si="86"/>
        <v>34.5</v>
      </c>
      <c r="C103">
        <f t="shared" si="55"/>
        <v>1.0000587347581718</v>
      </c>
      <c r="D103">
        <f t="shared" si="56"/>
        <v>1.0838070262373553E-2</v>
      </c>
      <c r="F103">
        <f t="shared" si="57"/>
        <v>6.652878610468009E-2</v>
      </c>
      <c r="G103">
        <f t="shared" si="58"/>
        <v>8.3029482607832439E-2</v>
      </c>
      <c r="H103">
        <f t="shared" si="59"/>
        <v>-3.0585631673921676</v>
      </c>
      <c r="J103">
        <f t="shared" si="60"/>
        <v>15</v>
      </c>
      <c r="M103">
        <f t="shared" si="61"/>
        <v>3.1837037691912734E-2</v>
      </c>
      <c r="N103">
        <f t="shared" si="62"/>
        <v>-1.5707963250000001</v>
      </c>
      <c r="O103">
        <f t="shared" si="63"/>
        <v>11.922734987886876</v>
      </c>
      <c r="P103">
        <f t="shared" si="64"/>
        <v>1.4868243031507296</v>
      </c>
      <c r="Q103">
        <f t="shared" si="65"/>
        <v>4.6715310245527428</v>
      </c>
      <c r="R103">
        <f t="shared" si="66"/>
        <v>1.3550642595384923</v>
      </c>
      <c r="S103">
        <f t="shared" si="67"/>
        <v>0.99993865632826073</v>
      </c>
      <c r="T103">
        <f t="shared" si="68"/>
        <v>-1.1076488516121691E-2</v>
      </c>
      <c r="U103">
        <f t="shared" si="69"/>
        <v>0.98549794141792291</v>
      </c>
      <c r="V103">
        <f t="shared" si="70"/>
        <v>-0.17051244169596841</v>
      </c>
      <c r="X103">
        <f t="shared" si="87"/>
        <v>4.8304645002267197</v>
      </c>
      <c r="Y103">
        <f t="shared" si="71"/>
        <v>-112.19784402585715</v>
      </c>
      <c r="Z103">
        <f t="shared" si="88"/>
        <v>67.802155974142849</v>
      </c>
      <c r="AC103">
        <v>1</v>
      </c>
      <c r="AD103">
        <f t="shared" si="72"/>
        <v>11.880724287322801</v>
      </c>
      <c r="AE103">
        <f t="shared" si="73"/>
        <v>-2.5753833307433561E-4</v>
      </c>
      <c r="AF103">
        <f t="shared" si="74"/>
        <v>1.495712260665E-3</v>
      </c>
      <c r="AG103">
        <f t="shared" si="89"/>
        <v>7602.6698005585749</v>
      </c>
      <c r="AH103">
        <f t="shared" si="90"/>
        <v>-1977.63900526918</v>
      </c>
      <c r="AJ103">
        <f t="shared" si="75"/>
        <v>21000</v>
      </c>
      <c r="AK103">
        <f t="shared" si="76"/>
        <v>232.61577201733499</v>
      </c>
      <c r="AL103">
        <v>1</v>
      </c>
      <c r="AM103">
        <f t="shared" si="77"/>
        <v>4.563244691374635</v>
      </c>
      <c r="AN103">
        <f t="shared" si="91"/>
        <v>1010.9186805946993</v>
      </c>
      <c r="AO103">
        <f t="shared" si="92"/>
        <v>-4380.4535306178759</v>
      </c>
      <c r="AQ103">
        <f t="shared" si="78"/>
        <v>2.0999580008399832</v>
      </c>
      <c r="AR103">
        <f t="shared" si="79"/>
        <v>-144.89710205795885</v>
      </c>
      <c r="AT103">
        <f t="shared" si="104"/>
        <v>-270588.87350486108</v>
      </c>
      <c r="AU103">
        <f t="shared" si="105"/>
        <v>-1105757.7808563858</v>
      </c>
      <c r="AV103">
        <f t="shared" si="93"/>
        <v>-1.8107890530695319</v>
      </c>
      <c r="AW103">
        <f t="shared" si="94"/>
        <v>-624630.06359284522</v>
      </c>
      <c r="AX103">
        <f t="shared" si="95"/>
        <v>-185570.96419849509</v>
      </c>
      <c r="AY103">
        <f t="shared" si="103"/>
        <v>-2.8528082785384887</v>
      </c>
      <c r="BA103">
        <f t="shared" si="80"/>
        <v>1.7470254294606147</v>
      </c>
      <c r="BB103">
        <f t="shared" si="96"/>
        <v>4.8459845311874776</v>
      </c>
      <c r="BC103">
        <f t="shared" si="97"/>
        <v>1.0420192254689569</v>
      </c>
      <c r="BD103">
        <f t="shared" si="81"/>
        <v>-120.29669614091685</v>
      </c>
      <c r="BF103">
        <f t="shared" si="82"/>
        <v>4.828511847123699</v>
      </c>
      <c r="BG103">
        <f t="shared" si="83"/>
        <v>-114.91848152208745</v>
      </c>
      <c r="BH103">
        <f t="shared" si="98"/>
        <v>65.081518477912553</v>
      </c>
      <c r="BI103">
        <f t="shared" si="99"/>
        <v>65.081518477912553</v>
      </c>
      <c r="BJ103">
        <f t="shared" si="84"/>
        <v>0</v>
      </c>
      <c r="BK103">
        <f t="shared" si="100"/>
        <v>0</v>
      </c>
      <c r="BM103">
        <f t="shared" si="101"/>
        <v>-1.7472684063777756E-2</v>
      </c>
      <c r="BN103">
        <f t="shared" si="85"/>
        <v>-174.62178538117058</v>
      </c>
      <c r="BQ103" s="66">
        <f t="shared" si="102"/>
        <v>21.747945331472614</v>
      </c>
      <c r="BR103" s="71"/>
      <c r="BS103" s="71"/>
      <c r="BT103" s="71">
        <v>851.13800000000003</v>
      </c>
      <c r="BU103" s="71">
        <v>16.276800000000001</v>
      </c>
      <c r="BV103" s="71">
        <v>-262.197</v>
      </c>
      <c r="BW103" s="75"/>
      <c r="BY103" s="71"/>
      <c r="BZ103" s="71"/>
      <c r="CA103" s="71"/>
      <c r="CC103" s="71"/>
    </row>
    <row r="104" spans="1:81" ht="13" x14ac:dyDescent="0.3">
      <c r="A104">
        <f t="shared" si="106"/>
        <v>35000</v>
      </c>
      <c r="B104">
        <f t="shared" si="86"/>
        <v>35</v>
      </c>
      <c r="C104">
        <f t="shared" si="55"/>
        <v>1.0000604494997476</v>
      </c>
      <c r="D104">
        <f t="shared" si="56"/>
        <v>1.0995131175773311E-2</v>
      </c>
      <c r="F104">
        <f t="shared" si="57"/>
        <v>6.4525375425092749E-2</v>
      </c>
      <c r="G104">
        <f t="shared" si="58"/>
        <v>8.169327047528642E-2</v>
      </c>
      <c r="H104">
        <f t="shared" si="59"/>
        <v>-3.0598993795247136</v>
      </c>
      <c r="J104">
        <f t="shared" si="60"/>
        <v>15</v>
      </c>
      <c r="M104">
        <f t="shared" si="61"/>
        <v>3.138222286774256E-2</v>
      </c>
      <c r="N104">
        <f t="shared" si="62"/>
        <v>-1.5707963250000001</v>
      </c>
      <c r="O104">
        <f t="shared" si="63"/>
        <v>12.094321314776796</v>
      </c>
      <c r="P104">
        <f t="shared" si="64"/>
        <v>1.4880183917080436</v>
      </c>
      <c r="Q104">
        <f t="shared" si="65"/>
        <v>4.7361531745242127</v>
      </c>
      <c r="R104">
        <f t="shared" si="66"/>
        <v>1.3580533587919723</v>
      </c>
      <c r="S104">
        <f t="shared" si="67"/>
        <v>0.99993686553580341</v>
      </c>
      <c r="T104">
        <f t="shared" si="68"/>
        <v>-1.1237003918702309E-2</v>
      </c>
      <c r="U104">
        <f t="shared" si="69"/>
        <v>0.98508397250519464</v>
      </c>
      <c r="V104">
        <f t="shared" si="70"/>
        <v>-0.17293499942659196</v>
      </c>
      <c r="X104">
        <f t="shared" si="87"/>
        <v>4.6796965796972829</v>
      </c>
      <c r="Y104">
        <f t="shared" si="71"/>
        <v>-112.17372459633154</v>
      </c>
      <c r="Z104">
        <f t="shared" si="88"/>
        <v>67.826275403668461</v>
      </c>
      <c r="AC104">
        <v>1</v>
      </c>
      <c r="AD104">
        <f t="shared" si="72"/>
        <v>12.052908697284</v>
      </c>
      <c r="AE104">
        <f t="shared" si="73"/>
        <v>-2.6505730562155944E-4</v>
      </c>
      <c r="AF104">
        <f t="shared" si="74"/>
        <v>1.51738924995E-3</v>
      </c>
      <c r="AG104">
        <f t="shared" si="89"/>
        <v>7596.2839771144154</v>
      </c>
      <c r="AH104">
        <f t="shared" si="90"/>
        <v>-1985.9443210168174</v>
      </c>
      <c r="AJ104">
        <f t="shared" si="75"/>
        <v>21000</v>
      </c>
      <c r="AK104">
        <f t="shared" si="76"/>
        <v>235.98701509005002</v>
      </c>
      <c r="AL104">
        <v>1</v>
      </c>
      <c r="AM104">
        <f t="shared" si="77"/>
        <v>4.6293786724090502</v>
      </c>
      <c r="AN104">
        <f t="shared" si="91"/>
        <v>984.90163523271178</v>
      </c>
      <c r="AO104">
        <f t="shared" si="92"/>
        <v>-4323.4956094770641</v>
      </c>
      <c r="AQ104">
        <f t="shared" si="78"/>
        <v>2.0403999183840034</v>
      </c>
      <c r="AR104">
        <f t="shared" si="79"/>
        <v>-142.82799428688023</v>
      </c>
      <c r="AT104">
        <f t="shared" si="104"/>
        <v>-268148.98692932626</v>
      </c>
      <c r="AU104">
        <f t="shared" si="105"/>
        <v>-1089014.1251153355</v>
      </c>
      <c r="AV104">
        <f t="shared" si="93"/>
        <v>-1.8122245187209447</v>
      </c>
      <c r="AW104">
        <f t="shared" si="94"/>
        <v>-607661.8467424697</v>
      </c>
      <c r="AX104">
        <f t="shared" si="95"/>
        <v>-179001.5986377917</v>
      </c>
      <c r="AY104">
        <f t="shared" si="103"/>
        <v>-2.8551209148718169</v>
      </c>
      <c r="BA104">
        <f t="shared" si="80"/>
        <v>1.7704505528526968</v>
      </c>
      <c r="BB104">
        <f t="shared" si="96"/>
        <v>4.9616760359113954</v>
      </c>
      <c r="BC104">
        <f t="shared" si="97"/>
        <v>1.0428963961508722</v>
      </c>
      <c r="BD104">
        <f t="shared" si="81"/>
        <v>-120.24643796287307</v>
      </c>
      <c r="BF104">
        <f t="shared" si="82"/>
        <v>4.6786370600259843</v>
      </c>
      <c r="BG104">
        <f t="shared" si="83"/>
        <v>-114.9357837323856</v>
      </c>
      <c r="BH104">
        <f t="shared" si="98"/>
        <v>65.064216267614398</v>
      </c>
      <c r="BI104">
        <f t="shared" si="99"/>
        <v>65.064216267614398</v>
      </c>
      <c r="BJ104">
        <f t="shared" si="84"/>
        <v>0</v>
      </c>
      <c r="BK104">
        <f t="shared" si="100"/>
        <v>0</v>
      </c>
      <c r="BM104">
        <f t="shared" si="101"/>
        <v>-0.28303897588541177</v>
      </c>
      <c r="BN104">
        <f t="shared" si="85"/>
        <v>-174.68934576951253</v>
      </c>
      <c r="BQ104" s="66">
        <f t="shared" si="102"/>
        <v>21.863636836196534</v>
      </c>
      <c r="BR104" s="71"/>
      <c r="BS104" s="71"/>
      <c r="BT104" s="71">
        <v>870.96400000000006</v>
      </c>
      <c r="BU104" s="71">
        <v>16.106100000000001</v>
      </c>
      <c r="BV104" s="71">
        <v>-261.76800000000003</v>
      </c>
      <c r="BW104" s="75"/>
      <c r="BY104" s="71"/>
      <c r="BZ104" s="71"/>
      <c r="CA104" s="71"/>
      <c r="CC104" s="71"/>
    </row>
    <row r="105" spans="1:81" ht="13" x14ac:dyDescent="0.3">
      <c r="A105">
        <f t="shared" si="106"/>
        <v>35500</v>
      </c>
      <c r="B105">
        <f t="shared" si="86"/>
        <v>35.5</v>
      </c>
      <c r="C105">
        <f t="shared" si="55"/>
        <v>1.0000621889108599</v>
      </c>
      <c r="D105">
        <f t="shared" si="56"/>
        <v>1.1152191546694421E-2</v>
      </c>
      <c r="F105">
        <f t="shared" si="57"/>
        <v>6.2612738011747382E-2</v>
      </c>
      <c r="G105">
        <f t="shared" si="58"/>
        <v>8.0401394822089509E-2</v>
      </c>
      <c r="H105">
        <f t="shared" si="59"/>
        <v>-3.0611912551779108</v>
      </c>
      <c r="J105">
        <f t="shared" si="60"/>
        <v>15</v>
      </c>
      <c r="M105">
        <f t="shared" si="61"/>
        <v>3.0940219728760265E-2</v>
      </c>
      <c r="N105">
        <f t="shared" si="62"/>
        <v>-1.5707963250000001</v>
      </c>
      <c r="O105">
        <f t="shared" si="63"/>
        <v>12.265924403843933</v>
      </c>
      <c r="P105">
        <f t="shared" si="64"/>
        <v>1.4891790707376478</v>
      </c>
      <c r="Q105">
        <f t="shared" si="65"/>
        <v>4.8008165012472297</v>
      </c>
      <c r="R105">
        <f t="shared" si="66"/>
        <v>1.3609619616910023</v>
      </c>
      <c r="S105">
        <f t="shared" si="67"/>
        <v>0.99993504898637842</v>
      </c>
      <c r="T105">
        <f t="shared" si="68"/>
        <v>-1.1397518742213468E-2</v>
      </c>
      <c r="U105">
        <f t="shared" si="69"/>
        <v>0.98466457974184807</v>
      </c>
      <c r="V105">
        <f t="shared" si="70"/>
        <v>-0.17535550857788282</v>
      </c>
      <c r="X105">
        <f t="shared" si="87"/>
        <v>4.5315970602027198</v>
      </c>
      <c r="Y105">
        <f t="shared" si="71"/>
        <v>-112.1534738229284</v>
      </c>
      <c r="Z105">
        <f t="shared" si="88"/>
        <v>67.846526177071595</v>
      </c>
      <c r="AC105">
        <v>1</v>
      </c>
      <c r="AD105">
        <f t="shared" si="72"/>
        <v>12.2250931072452</v>
      </c>
      <c r="AE105">
        <f t="shared" si="73"/>
        <v>-2.7268446482413907E-4</v>
      </c>
      <c r="AF105">
        <f t="shared" si="74"/>
        <v>1.5390662392350003E-3</v>
      </c>
      <c r="AG105">
        <f t="shared" si="89"/>
        <v>7589.8172221061095</v>
      </c>
      <c r="AH105">
        <f t="shared" si="90"/>
        <v>-1994.4724723796221</v>
      </c>
      <c r="AJ105">
        <f t="shared" si="75"/>
        <v>21000</v>
      </c>
      <c r="AK105">
        <f t="shared" si="76"/>
        <v>239.35825816276503</v>
      </c>
      <c r="AL105">
        <v>1</v>
      </c>
      <c r="AM105">
        <f t="shared" si="77"/>
        <v>4.6955126534434646</v>
      </c>
      <c r="AN105">
        <f t="shared" si="91"/>
        <v>959.91253906340421</v>
      </c>
      <c r="AO105">
        <f t="shared" si="92"/>
        <v>-4267.9232152084933</v>
      </c>
      <c r="AQ105">
        <f t="shared" si="78"/>
        <v>1.9833399444664817</v>
      </c>
      <c r="AR105">
        <f t="shared" si="79"/>
        <v>-140.81713605712019</v>
      </c>
      <c r="AT105">
        <f t="shared" si="104"/>
        <v>-265802.71383745945</v>
      </c>
      <c r="AU105">
        <f t="shared" si="105"/>
        <v>-1072732.0413365995</v>
      </c>
      <c r="AV105">
        <f t="shared" si="93"/>
        <v>-1.8136855156071678</v>
      </c>
      <c r="AW105">
        <f t="shared" si="94"/>
        <v>-591360.95786511095</v>
      </c>
      <c r="AX105">
        <f t="shared" si="95"/>
        <v>-172770.79040076729</v>
      </c>
      <c r="AY105">
        <f t="shared" si="103"/>
        <v>-2.8573458604706352</v>
      </c>
      <c r="BA105">
        <f t="shared" si="80"/>
        <v>1.7938703934543809</v>
      </c>
      <c r="BB105">
        <f t="shared" si="96"/>
        <v>5.0758212441625217</v>
      </c>
      <c r="BC105">
        <f t="shared" si="97"/>
        <v>1.0436603448634674</v>
      </c>
      <c r="BD105">
        <f t="shared" si="81"/>
        <v>-120.20266692582689</v>
      </c>
      <c r="BF105">
        <f t="shared" si="82"/>
        <v>4.531440486453576</v>
      </c>
      <c r="BG105">
        <f t="shared" si="83"/>
        <v>-114.95703282161512</v>
      </c>
      <c r="BH105">
        <f t="shared" si="98"/>
        <v>65.042967178384885</v>
      </c>
      <c r="BI105">
        <f t="shared" si="99"/>
        <v>65.042967178384885</v>
      </c>
      <c r="BJ105">
        <f t="shared" si="84"/>
        <v>0</v>
      </c>
      <c r="BK105">
        <f t="shared" si="100"/>
        <v>0</v>
      </c>
      <c r="BM105">
        <f t="shared" si="101"/>
        <v>-0.54438075770894501</v>
      </c>
      <c r="BN105">
        <f t="shared" si="85"/>
        <v>-174.7543658957882</v>
      </c>
      <c r="BQ105" s="66">
        <f t="shared" si="102"/>
        <v>21.977782044447661</v>
      </c>
      <c r="BR105" s="71"/>
      <c r="BS105" s="71"/>
      <c r="BT105" s="71">
        <v>891.25099999999998</v>
      </c>
      <c r="BU105" s="71">
        <v>15.882400000000001</v>
      </c>
      <c r="BV105" s="71">
        <v>-261.38310000000001</v>
      </c>
      <c r="BW105" s="75"/>
      <c r="BY105" s="71"/>
      <c r="BZ105" s="71"/>
      <c r="CA105" s="71"/>
      <c r="CC105" s="71"/>
    </row>
    <row r="106" spans="1:81" ht="13" x14ac:dyDescent="0.3">
      <c r="A106">
        <f t="shared" si="106"/>
        <v>36000</v>
      </c>
      <c r="B106">
        <f t="shared" si="86"/>
        <v>36</v>
      </c>
      <c r="C106">
        <f t="shared" si="55"/>
        <v>1.0000639529913804</v>
      </c>
      <c r="D106">
        <f t="shared" si="56"/>
        <v>1.130925136739102E-2</v>
      </c>
      <c r="F106">
        <f t="shared" si="57"/>
        <v>6.0785382473368607E-2</v>
      </c>
      <c r="G106">
        <f t="shared" si="58"/>
        <v>7.9151609278139287E-2</v>
      </c>
      <c r="H106">
        <f t="shared" si="59"/>
        <v>-3.0624410407218607</v>
      </c>
      <c r="J106">
        <f t="shared" si="60"/>
        <v>15</v>
      </c>
      <c r="M106">
        <f t="shared" si="61"/>
        <v>3.0510494454749702E-2</v>
      </c>
      <c r="N106">
        <f t="shared" si="62"/>
        <v>-1.5707963250000001</v>
      </c>
      <c r="O106">
        <f t="shared" si="63"/>
        <v>12.437543561275728</v>
      </c>
      <c r="P106">
        <f t="shared" si="64"/>
        <v>1.4903077200474284</v>
      </c>
      <c r="Q106">
        <f t="shared" si="65"/>
        <v>4.8655193629904021</v>
      </c>
      <c r="R106">
        <f t="shared" si="66"/>
        <v>1.3637932293947757</v>
      </c>
      <c r="S106">
        <f t="shared" si="67"/>
        <v>0.99993320668040631</v>
      </c>
      <c r="T106">
        <f t="shared" si="68"/>
        <v>-1.155803297838701E-2</v>
      </c>
      <c r="U106">
        <f t="shared" si="69"/>
        <v>0.98423978478576346</v>
      </c>
      <c r="V106">
        <f t="shared" si="70"/>
        <v>-0.17777394342064487</v>
      </c>
      <c r="X106">
        <f t="shared" si="87"/>
        <v>4.3860631872485758</v>
      </c>
      <c r="Y106">
        <f t="shared" si="71"/>
        <v>-112.13695876072077</v>
      </c>
      <c r="Z106">
        <f t="shared" si="88"/>
        <v>67.863041239279227</v>
      </c>
      <c r="AC106">
        <v>1</v>
      </c>
      <c r="AD106">
        <f t="shared" si="72"/>
        <v>12.397277517206401</v>
      </c>
      <c r="AE106">
        <f t="shared" si="73"/>
        <v>-2.8041981068207438E-4</v>
      </c>
      <c r="AF106">
        <f t="shared" si="74"/>
        <v>1.5607432285199999E-3</v>
      </c>
      <c r="AG106">
        <f t="shared" si="89"/>
        <v>7583.2699761086587</v>
      </c>
      <c r="AH106">
        <f t="shared" si="90"/>
        <v>-2003.2117224152257</v>
      </c>
      <c r="AJ106">
        <f t="shared" si="75"/>
        <v>21000</v>
      </c>
      <c r="AK106">
        <f t="shared" si="76"/>
        <v>242.72950123548</v>
      </c>
      <c r="AL106">
        <v>1</v>
      </c>
      <c r="AM106">
        <f t="shared" si="77"/>
        <v>4.7616466344778798</v>
      </c>
      <c r="AN106">
        <f t="shared" si="91"/>
        <v>935.89875825665138</v>
      </c>
      <c r="AO106">
        <f t="shared" si="92"/>
        <v>-4213.6896712293319</v>
      </c>
      <c r="AQ106">
        <f t="shared" si="78"/>
        <v>1.9286403085824493</v>
      </c>
      <c r="AR106">
        <f t="shared" si="79"/>
        <v>-138.86210221793635</v>
      </c>
      <c r="AT106">
        <f t="shared" si="104"/>
        <v>-263544.7908154052</v>
      </c>
      <c r="AU106">
        <f t="shared" si="105"/>
        <v>-1056892.2854430832</v>
      </c>
      <c r="AV106">
        <f t="shared" si="93"/>
        <v>-1.8151708810320426</v>
      </c>
      <c r="AW106">
        <f t="shared" si="94"/>
        <v>-575693.45142985974</v>
      </c>
      <c r="AX106">
        <f t="shared" si="95"/>
        <v>-166856.69533344722</v>
      </c>
      <c r="AY106">
        <f t="shared" si="103"/>
        <v>-2.8594865027500211</v>
      </c>
      <c r="BA106">
        <f t="shared" si="80"/>
        <v>1.8172838877724777</v>
      </c>
      <c r="BB106">
        <f t="shared" si="96"/>
        <v>5.18845552208359</v>
      </c>
      <c r="BC106">
        <f t="shared" si="97"/>
        <v>1.0443156217179785</v>
      </c>
      <c r="BD106">
        <f t="shared" si="81"/>
        <v>-120.16512232760789</v>
      </c>
      <c r="BF106">
        <f t="shared" si="82"/>
        <v>4.386819248197015</v>
      </c>
      <c r="BG106">
        <f t="shared" si="83"/>
        <v>-114.98209679557544</v>
      </c>
      <c r="BH106">
        <f t="shared" si="98"/>
        <v>65.017903204424556</v>
      </c>
      <c r="BI106">
        <f t="shared" si="99"/>
        <v>65.017903204424556</v>
      </c>
      <c r="BJ106">
        <f t="shared" si="84"/>
        <v>0</v>
      </c>
      <c r="BK106">
        <f t="shared" si="100"/>
        <v>0</v>
      </c>
      <c r="BM106">
        <f t="shared" si="101"/>
        <v>-0.80163627388657455</v>
      </c>
      <c r="BN106">
        <f t="shared" si="85"/>
        <v>-174.81697446796755</v>
      </c>
      <c r="BQ106" s="66">
        <f t="shared" si="102"/>
        <v>22.090416322368725</v>
      </c>
      <c r="BR106" s="71"/>
      <c r="BS106" s="71"/>
      <c r="BT106" s="71">
        <v>912.01099999999997</v>
      </c>
      <c r="BU106" s="71">
        <v>15.6715</v>
      </c>
      <c r="BV106" s="71">
        <v>-261.74869999999999</v>
      </c>
      <c r="BW106" s="75"/>
      <c r="BY106" s="71"/>
      <c r="BZ106" s="71"/>
      <c r="CA106" s="71"/>
      <c r="CC106" s="71"/>
    </row>
    <row r="107" spans="1:81" ht="13" x14ac:dyDescent="0.3">
      <c r="A107">
        <f t="shared" si="106"/>
        <v>36500</v>
      </c>
      <c r="B107">
        <f t="shared" si="86"/>
        <v>36.5</v>
      </c>
      <c r="C107">
        <f t="shared" si="55"/>
        <v>1.0000657417411782</v>
      </c>
      <c r="D107">
        <f t="shared" si="56"/>
        <v>1.1466310630117407E-2</v>
      </c>
      <c r="F107">
        <f t="shared" si="57"/>
        <v>5.9038232494873076E-2</v>
      </c>
      <c r="G107">
        <f t="shared" si="58"/>
        <v>7.7941820273462983E-2</v>
      </c>
      <c r="H107">
        <f t="shared" si="59"/>
        <v>-3.0636508297265372</v>
      </c>
      <c r="J107">
        <f t="shared" si="60"/>
        <v>15</v>
      </c>
      <c r="M107">
        <f t="shared" si="61"/>
        <v>3.0092542475917517E-2</v>
      </c>
      <c r="N107">
        <f t="shared" si="62"/>
        <v>-1.5707963250000001</v>
      </c>
      <c r="O107">
        <f t="shared" si="63"/>
        <v>12.609178130969354</v>
      </c>
      <c r="P107">
        <f t="shared" si="64"/>
        <v>1.4914056446552484</v>
      </c>
      <c r="Q107">
        <f t="shared" si="65"/>
        <v>4.9302602032262239</v>
      </c>
      <c r="R107">
        <f t="shared" si="66"/>
        <v>1.3665501621347123</v>
      </c>
      <c r="S107">
        <f t="shared" si="67"/>
        <v>0.99993133861831485</v>
      </c>
      <c r="T107">
        <f t="shared" si="68"/>
        <v>-1.1718546618954967E-2</v>
      </c>
      <c r="U107">
        <f t="shared" si="69"/>
        <v>0.98380960952303154</v>
      </c>
      <c r="V107">
        <f t="shared" si="70"/>
        <v>-0.18019027836681756</v>
      </c>
      <c r="X107">
        <f t="shared" si="87"/>
        <v>4.2429979840190528</v>
      </c>
      <c r="Y107">
        <f t="shared" si="71"/>
        <v>-112.12405122370069</v>
      </c>
      <c r="Z107">
        <f t="shared" si="88"/>
        <v>67.87594877629931</v>
      </c>
      <c r="AC107">
        <v>1</v>
      </c>
      <c r="AD107">
        <f t="shared" si="72"/>
        <v>12.5694619271676</v>
      </c>
      <c r="AE107">
        <f t="shared" si="73"/>
        <v>-2.8826334319536544E-4</v>
      </c>
      <c r="AF107">
        <f t="shared" si="74"/>
        <v>1.5824202178049999E-3</v>
      </c>
      <c r="AG107">
        <f t="shared" si="89"/>
        <v>7576.6426840103586</v>
      </c>
      <c r="AH107">
        <f t="shared" si="90"/>
        <v>-2012.1509536235603</v>
      </c>
      <c r="AJ107">
        <f t="shared" si="75"/>
        <v>21000</v>
      </c>
      <c r="AK107">
        <f t="shared" si="76"/>
        <v>246.100744308195</v>
      </c>
      <c r="AL107">
        <v>1</v>
      </c>
      <c r="AM107">
        <f t="shared" si="77"/>
        <v>4.8277806155122951</v>
      </c>
      <c r="AN107">
        <f t="shared" si="91"/>
        <v>912.81093235624758</v>
      </c>
      <c r="AO107">
        <f t="shared" si="92"/>
        <v>-4160.750180549001</v>
      </c>
      <c r="AQ107">
        <f t="shared" si="78"/>
        <v>1.876172607879925</v>
      </c>
      <c r="AR107">
        <f t="shared" si="79"/>
        <v>-136.96060037523452</v>
      </c>
      <c r="AT107">
        <f t="shared" si="104"/>
        <v>-261370.31319044944</v>
      </c>
      <c r="AU107">
        <f t="shared" si="105"/>
        <v>-1041476.673332795</v>
      </c>
      <c r="AV107">
        <f t="shared" si="93"/>
        <v>-1.8166795139284966</v>
      </c>
      <c r="AW107">
        <f t="shared" si="94"/>
        <v>-560627.47503623611</v>
      </c>
      <c r="AX107">
        <f t="shared" si="95"/>
        <v>-161239.14051138598</v>
      </c>
      <c r="AY107">
        <f t="shared" si="103"/>
        <v>-2.8615460550972545</v>
      </c>
      <c r="BA107">
        <f t="shared" si="80"/>
        <v>1.84069001229706</v>
      </c>
      <c r="BB107">
        <f t="shared" si="96"/>
        <v>5.2996131162586728</v>
      </c>
      <c r="BC107">
        <f t="shared" si="97"/>
        <v>1.0448665411687579</v>
      </c>
      <c r="BD107">
        <f t="shared" si="81"/>
        <v>-120.1335569681905</v>
      </c>
      <c r="BF107">
        <f t="shared" si="82"/>
        <v>4.2446762434146486</v>
      </c>
      <c r="BG107">
        <f t="shared" si="83"/>
        <v>-115.01084840740862</v>
      </c>
      <c r="BH107">
        <f t="shared" si="98"/>
        <v>64.989151592591384</v>
      </c>
      <c r="BI107">
        <f t="shared" si="99"/>
        <v>64.989151592591384</v>
      </c>
      <c r="BJ107">
        <f t="shared" si="84"/>
        <v>0</v>
      </c>
      <c r="BK107">
        <f t="shared" si="100"/>
        <v>0</v>
      </c>
      <c r="BM107">
        <f t="shared" si="101"/>
        <v>-1.0549368728440225</v>
      </c>
      <c r="BN107">
        <f t="shared" si="85"/>
        <v>-174.87729143921808</v>
      </c>
      <c r="BQ107" s="66">
        <f t="shared" si="102"/>
        <v>22.201573916543808</v>
      </c>
      <c r="BR107" s="71"/>
      <c r="BS107" s="71"/>
      <c r="BT107" s="71">
        <v>933.25400000000002</v>
      </c>
      <c r="BU107" s="71">
        <v>15.471399999999999</v>
      </c>
      <c r="BV107" s="71">
        <v>-261.20730000000003</v>
      </c>
      <c r="BW107" s="75"/>
      <c r="BY107" s="71"/>
      <c r="BZ107" s="71"/>
      <c r="CA107" s="71"/>
      <c r="CC107" s="71"/>
    </row>
    <row r="108" spans="1:81" ht="13" x14ac:dyDescent="0.3">
      <c r="A108">
        <f t="shared" si="106"/>
        <v>37000</v>
      </c>
      <c r="B108">
        <f t="shared" si="86"/>
        <v>37</v>
      </c>
      <c r="C108">
        <f t="shared" si="55"/>
        <v>1.0000675551601212</v>
      </c>
      <c r="D108">
        <f t="shared" si="56"/>
        <v>1.1623369327128036E-2</v>
      </c>
      <c r="F108">
        <f t="shared" si="57"/>
        <v>5.7366589272265803E-2</v>
      </c>
      <c r="G108">
        <f t="shared" si="58"/>
        <v>7.6770074064314714E-2</v>
      </c>
      <c r="H108">
        <f t="shared" si="59"/>
        <v>-3.0648225759356853</v>
      </c>
      <c r="J108">
        <f t="shared" si="60"/>
        <v>15</v>
      </c>
      <c r="M108">
        <f t="shared" si="61"/>
        <v>2.9685886496513231E-2</v>
      </c>
      <c r="N108">
        <f t="shared" si="62"/>
        <v>-1.5707963250000001</v>
      </c>
      <c r="O108">
        <f t="shared" si="63"/>
        <v>12.78082749200801</v>
      </c>
      <c r="P108">
        <f t="shared" si="64"/>
        <v>1.4924740797780836</v>
      </c>
      <c r="Q108">
        <f t="shared" si="65"/>
        <v>4.995037545233564</v>
      </c>
      <c r="R108">
        <f t="shared" si="66"/>
        <v>1.369235609168366</v>
      </c>
      <c r="S108">
        <f t="shared" si="67"/>
        <v>0.99992944480053703</v>
      </c>
      <c r="T108">
        <f t="shared" si="68"/>
        <v>-1.1879059655649549E-2</v>
      </c>
      <c r="U108">
        <f t="shared" si="69"/>
        <v>0.98337407606496274</v>
      </c>
      <c r="V108">
        <f t="shared" si="70"/>
        <v>-0.18260448797083942</v>
      </c>
      <c r="X108">
        <f t="shared" si="87"/>
        <v>4.1023098299896636</v>
      </c>
      <c r="Y108">
        <f t="shared" si="71"/>
        <v>-112.11462767203361</v>
      </c>
      <c r="Z108">
        <f t="shared" si="88"/>
        <v>67.885372327966394</v>
      </c>
      <c r="AC108">
        <v>1</v>
      </c>
      <c r="AD108">
        <f t="shared" si="72"/>
        <v>12.741646337128802</v>
      </c>
      <c r="AE108">
        <f t="shared" si="73"/>
        <v>-2.9621506236401213E-4</v>
      </c>
      <c r="AF108">
        <f t="shared" si="74"/>
        <v>1.60409720709E-3</v>
      </c>
      <c r="AG108">
        <f t="shared" si="89"/>
        <v>7569.9357949406531</v>
      </c>
      <c r="AH108">
        <f t="shared" si="90"/>
        <v>-2021.2796264833833</v>
      </c>
      <c r="AJ108">
        <f t="shared" si="75"/>
        <v>21000</v>
      </c>
      <c r="AK108">
        <f t="shared" si="76"/>
        <v>249.47198738091004</v>
      </c>
      <c r="AL108">
        <v>1</v>
      </c>
      <c r="AM108">
        <f t="shared" si="77"/>
        <v>4.8939145965467103</v>
      </c>
      <c r="AN108">
        <f t="shared" si="91"/>
        <v>890.60273706012879</v>
      </c>
      <c r="AO108">
        <f t="shared" si="92"/>
        <v>-4109.0617472421054</v>
      </c>
      <c r="AQ108">
        <f t="shared" si="78"/>
        <v>1.8258170531312763</v>
      </c>
      <c r="AR108">
        <f t="shared" si="79"/>
        <v>-135.11046193171444</v>
      </c>
      <c r="AT108">
        <f t="shared" si="104"/>
        <v>-259274.70616182161</v>
      </c>
      <c r="AU108">
        <f t="shared" si="105"/>
        <v>-1026468.0088590317</v>
      </c>
      <c r="AV108">
        <f t="shared" si="93"/>
        <v>-1.8182103707692208</v>
      </c>
      <c r="AW108">
        <f t="shared" si="94"/>
        <v>-546133.1194158073</v>
      </c>
      <c r="AX108">
        <f t="shared" si="95"/>
        <v>-155899.47743390565</v>
      </c>
      <c r="AY108">
        <f t="shared" si="103"/>
        <v>-2.8635275677227079</v>
      </c>
      <c r="BA108">
        <f t="shared" si="80"/>
        <v>1.864087780947147</v>
      </c>
      <c r="BB108">
        <f t="shared" si="96"/>
        <v>5.4093271934422607</v>
      </c>
      <c r="BC108">
        <f t="shared" si="97"/>
        <v>1.0453171969534871</v>
      </c>
      <c r="BD108">
        <f t="shared" si="81"/>
        <v>-120.10773629368286</v>
      </c>
      <c r="BF108">
        <f t="shared" si="82"/>
        <v>4.1049197252624339</v>
      </c>
      <c r="BG108">
        <f t="shared" si="83"/>
        <v>-115.0431650449375</v>
      </c>
      <c r="BH108">
        <f t="shared" si="98"/>
        <v>64.956834955062504</v>
      </c>
      <c r="BI108">
        <f t="shared" si="99"/>
        <v>64.956834955062504</v>
      </c>
      <c r="BJ108">
        <f t="shared" si="84"/>
        <v>0</v>
      </c>
      <c r="BK108">
        <f t="shared" si="100"/>
        <v>0</v>
      </c>
      <c r="BM108">
        <f t="shared" si="101"/>
        <v>-1.304407468179825</v>
      </c>
      <c r="BN108">
        <f t="shared" si="85"/>
        <v>-174.93542875125465</v>
      </c>
      <c r="BQ108" s="66">
        <f t="shared" si="102"/>
        <v>22.311287993727397</v>
      </c>
      <c r="BR108" s="71"/>
      <c r="BS108" s="71"/>
      <c r="BT108" s="71">
        <v>954.99300000000005</v>
      </c>
      <c r="BU108" s="71">
        <v>15.352499999999999</v>
      </c>
      <c r="BV108" s="71">
        <v>-261.26609999999999</v>
      </c>
      <c r="BW108" s="75"/>
      <c r="BY108" s="71"/>
      <c r="BZ108" s="71"/>
      <c r="CA108" s="71"/>
      <c r="CC108" s="71"/>
    </row>
    <row r="109" spans="1:81" ht="13" x14ac:dyDescent="0.3">
      <c r="A109">
        <f t="shared" si="106"/>
        <v>37500</v>
      </c>
      <c r="B109">
        <f t="shared" si="86"/>
        <v>37.5</v>
      </c>
      <c r="C109">
        <f t="shared" si="55"/>
        <v>1.0000693932480751</v>
      </c>
      <c r="D109">
        <f t="shared" si="56"/>
        <v>1.178042745067754E-2</v>
      </c>
      <c r="F109">
        <f t="shared" si="57"/>
        <v>5.5766097898318143E-2</v>
      </c>
      <c r="G109">
        <f t="shared" si="58"/>
        <v>7.5634545071851161E-2</v>
      </c>
      <c r="H109">
        <f t="shared" si="59"/>
        <v>-3.065958104928149</v>
      </c>
      <c r="J109">
        <f t="shared" si="60"/>
        <v>15</v>
      </c>
      <c r="M109">
        <f t="shared" si="61"/>
        <v>2.9290074676559717E-2</v>
      </c>
      <c r="N109">
        <f t="shared" si="62"/>
        <v>-1.5707963250000001</v>
      </c>
      <c r="O109">
        <f t="shared" si="63"/>
        <v>12.952491056336889</v>
      </c>
      <c r="P109">
        <f t="shared" si="64"/>
        <v>1.4935141954278486</v>
      </c>
      <c r="Q109">
        <f t="shared" si="65"/>
        <v>5.0598499871008578</v>
      </c>
      <c r="R109">
        <f t="shared" si="66"/>
        <v>1.3718522780156532</v>
      </c>
      <c r="S109">
        <f t="shared" si="67"/>
        <v>0.99992752522751194</v>
      </c>
      <c r="T109">
        <f t="shared" si="68"/>
        <v>-1.2039572080203158E-2</v>
      </c>
      <c r="U109">
        <f t="shared" si="69"/>
        <v>0.98293320674507123</v>
      </c>
      <c r="V109">
        <f t="shared" si="70"/>
        <v>-0.18501654693098854</v>
      </c>
      <c r="X109">
        <f t="shared" si="87"/>
        <v>3.9639120768391667</v>
      </c>
      <c r="Y109">
        <f t="shared" si="71"/>
        <v>-112.10856908776159</v>
      </c>
      <c r="Z109">
        <f t="shared" si="88"/>
        <v>67.891430912238405</v>
      </c>
      <c r="AC109">
        <v>1</v>
      </c>
      <c r="AD109">
        <f t="shared" si="72"/>
        <v>12.91383074709</v>
      </c>
      <c r="AE109">
        <f t="shared" si="73"/>
        <v>-3.0427496818801467E-4</v>
      </c>
      <c r="AF109">
        <f t="shared" si="74"/>
        <v>1.625774196375E-3</v>
      </c>
      <c r="AG109">
        <f t="shared" si="89"/>
        <v>7563.1497621975841</v>
      </c>
      <c r="AH109">
        <f t="shared" si="90"/>
        <v>-2030.5877413079515</v>
      </c>
      <c r="AJ109">
        <f t="shared" si="75"/>
        <v>21000</v>
      </c>
      <c r="AK109">
        <f t="shared" si="76"/>
        <v>252.84323045362501</v>
      </c>
      <c r="AL109">
        <v>1</v>
      </c>
      <c r="AM109">
        <f t="shared" si="77"/>
        <v>4.9600485775811247</v>
      </c>
      <c r="AN109">
        <f t="shared" si="91"/>
        <v>869.23066645401161</v>
      </c>
      <c r="AO109">
        <f t="shared" si="92"/>
        <v>-4058.5831002814889</v>
      </c>
      <c r="AQ109">
        <f t="shared" si="78"/>
        <v>1.7774617845716316</v>
      </c>
      <c r="AR109">
        <f t="shared" si="79"/>
        <v>-133.30963384287239</v>
      </c>
      <c r="AT109">
        <f t="shared" si="104"/>
        <v>-257253.69860629004</v>
      </c>
      <c r="AU109">
        <f t="shared" si="105"/>
        <v>-1011850.0176077618</v>
      </c>
      <c r="AV109">
        <f t="shared" si="93"/>
        <v>-1.8197624617987875</v>
      </c>
      <c r="AW109">
        <f t="shared" si="94"/>
        <v>-532182.28055396024</v>
      </c>
      <c r="AX109">
        <f t="shared" si="95"/>
        <v>-150820.44970211061</v>
      </c>
      <c r="AY109">
        <f t="shared" si="103"/>
        <v>-2.8654339377214213</v>
      </c>
      <c r="BA109">
        <f t="shared" si="80"/>
        <v>1.8874762427133609</v>
      </c>
      <c r="BB109">
        <f t="shared" si="96"/>
        <v>5.5176298791537857</v>
      </c>
      <c r="BC109">
        <f t="shared" si="97"/>
        <v>1.0456714759226338</v>
      </c>
      <c r="BD109">
        <f t="shared" si="81"/>
        <v>-120.08743760395733</v>
      </c>
      <c r="BF109">
        <f t="shared" si="82"/>
        <v>3.9674629178231724</v>
      </c>
      <c r="BG109">
        <f t="shared" si="83"/>
        <v>-115.07892860644131</v>
      </c>
      <c r="BH109">
        <f t="shared" si="98"/>
        <v>64.921071393558691</v>
      </c>
      <c r="BI109">
        <f t="shared" si="99"/>
        <v>64.921071393558691</v>
      </c>
      <c r="BJ109">
        <f t="shared" si="84"/>
        <v>0</v>
      </c>
      <c r="BK109">
        <f t="shared" si="100"/>
        <v>0</v>
      </c>
      <c r="BM109">
        <f t="shared" si="101"/>
        <v>-1.5501669613306122</v>
      </c>
      <c r="BN109">
        <f t="shared" si="85"/>
        <v>-174.991491002484</v>
      </c>
      <c r="BQ109" s="66">
        <f t="shared" si="102"/>
        <v>22.419590679438922</v>
      </c>
      <c r="BR109" s="71"/>
      <c r="BS109" s="71"/>
      <c r="BT109" s="71">
        <v>977.23699999999997</v>
      </c>
      <c r="BU109" s="71">
        <v>15.0807</v>
      </c>
      <c r="BV109" s="71">
        <v>-260.93240000000003</v>
      </c>
      <c r="BW109" s="75"/>
      <c r="BY109" s="71"/>
      <c r="BZ109" s="71"/>
      <c r="CA109" s="71"/>
      <c r="CC109" s="71"/>
    </row>
    <row r="110" spans="1:81" ht="13" x14ac:dyDescent="0.3">
      <c r="A110">
        <f t="shared" si="106"/>
        <v>38000</v>
      </c>
      <c r="B110">
        <f t="shared" si="86"/>
        <v>38</v>
      </c>
      <c r="C110">
        <f t="shared" si="55"/>
        <v>1.0000712560049039</v>
      </c>
      <c r="D110">
        <f t="shared" si="56"/>
        <v>1.1937484993020718E-2</v>
      </c>
      <c r="F110">
        <f t="shared" si="57"/>
        <v>5.4232717226743055E-2</v>
      </c>
      <c r="G110">
        <f t="shared" si="58"/>
        <v>7.4533525380114873E-2</v>
      </c>
      <c r="H110">
        <f t="shared" si="59"/>
        <v>-3.0670591246198855</v>
      </c>
      <c r="J110">
        <f t="shared" si="60"/>
        <v>15</v>
      </c>
      <c r="M110">
        <f t="shared" si="61"/>
        <v>2.8904678957131301E-2</v>
      </c>
      <c r="N110">
        <f t="shared" si="62"/>
        <v>-1.5707963250000001</v>
      </c>
      <c r="O110">
        <f t="shared" si="63"/>
        <v>13.124168266620698</v>
      </c>
      <c r="P110">
        <f t="shared" si="64"/>
        <v>1.4945271006495395</v>
      </c>
      <c r="Q110">
        <f t="shared" si="65"/>
        <v>5.1246961970960836</v>
      </c>
      <c r="R110">
        <f t="shared" si="66"/>
        <v>1.3744027430359709</v>
      </c>
      <c r="S110">
        <f t="shared" si="67"/>
        <v>0.99992557989968434</v>
      </c>
      <c r="T110">
        <f t="shared" si="68"/>
        <v>-1.2200083884348385E-2</v>
      </c>
      <c r="U110">
        <f t="shared" si="69"/>
        <v>0.98248702411604505</v>
      </c>
      <c r="V110">
        <f t="shared" si="70"/>
        <v>-0.1874264300906997</v>
      </c>
      <c r="X110">
        <f t="shared" si="87"/>
        <v>3.8277226978128445</v>
      </c>
      <c r="Y110">
        <f t="shared" si="71"/>
        <v>-112.10576084233978</v>
      </c>
      <c r="Z110">
        <f t="shared" si="88"/>
        <v>67.894239157660223</v>
      </c>
      <c r="AC110">
        <v>1</v>
      </c>
      <c r="AD110">
        <f t="shared" si="72"/>
        <v>13.086015157051202</v>
      </c>
      <c r="AE110">
        <f t="shared" si="73"/>
        <v>-3.1244306066737296E-4</v>
      </c>
      <c r="AF110">
        <f t="shared" si="74"/>
        <v>1.64745118566E-3</v>
      </c>
      <c r="AG110">
        <f t="shared" si="89"/>
        <v>7556.2850431748957</v>
      </c>
      <c r="AH110">
        <f t="shared" si="90"/>
        <v>-2040.065803114047</v>
      </c>
      <c r="AJ110">
        <f t="shared" si="75"/>
        <v>21000</v>
      </c>
      <c r="AK110">
        <f t="shared" si="76"/>
        <v>256.21447352633999</v>
      </c>
      <c r="AL110">
        <v>1</v>
      </c>
      <c r="AM110">
        <f t="shared" si="77"/>
        <v>5.02618255861554</v>
      </c>
      <c r="AN110">
        <f t="shared" si="91"/>
        <v>848.65383293330331</v>
      </c>
      <c r="AO110">
        <f t="shared" si="92"/>
        <v>-4009.2746198652562</v>
      </c>
      <c r="AQ110">
        <f t="shared" si="78"/>
        <v>1.7310022503029254</v>
      </c>
      <c r="AR110">
        <f t="shared" si="79"/>
        <v>-131.55617102302233</v>
      </c>
      <c r="AT110">
        <f t="shared" si="104"/>
        <v>-255303.29927902488</v>
      </c>
      <c r="AU110">
        <f t="shared" si="105"/>
        <v>-997607.28593457863</v>
      </c>
      <c r="AV110">
        <f t="shared" si="93"/>
        <v>-1.8213348475581974</v>
      </c>
      <c r="AW110">
        <f t="shared" si="94"/>
        <v>-518748.53285371471</v>
      </c>
      <c r="AX110">
        <f t="shared" si="95"/>
        <v>-145986.07360164382</v>
      </c>
      <c r="AY110">
        <f t="shared" si="103"/>
        <v>-2.8672679184105263</v>
      </c>
      <c r="BA110">
        <f t="shared" si="80"/>
        <v>1.9108544794801989</v>
      </c>
      <c r="BB110">
        <f t="shared" si="96"/>
        <v>5.6245522951020055</v>
      </c>
      <c r="BC110">
        <f t="shared" si="97"/>
        <v>1.0459330708523289</v>
      </c>
      <c r="BD110">
        <f t="shared" si="81"/>
        <v>-120.07244931852665</v>
      </c>
      <c r="BF110">
        <f t="shared" si="82"/>
        <v>3.8322236654872341</v>
      </c>
      <c r="BG110">
        <f t="shared" si="83"/>
        <v>-115.11802536825276</v>
      </c>
      <c r="BH110">
        <f t="shared" si="98"/>
        <v>64.881974631747241</v>
      </c>
      <c r="BI110">
        <f t="shared" si="99"/>
        <v>64.881974631747241</v>
      </c>
      <c r="BJ110">
        <f t="shared" si="84"/>
        <v>0</v>
      </c>
      <c r="BK110">
        <f t="shared" si="100"/>
        <v>0</v>
      </c>
      <c r="BM110">
        <f t="shared" si="101"/>
        <v>-1.7923286296147702</v>
      </c>
      <c r="BN110">
        <f t="shared" si="85"/>
        <v>-175.04557604972615</v>
      </c>
      <c r="BQ110" s="66">
        <f t="shared" si="102"/>
        <v>22.526513095387145</v>
      </c>
      <c r="BR110" s="71"/>
      <c r="BS110" s="71"/>
      <c r="BT110" s="71">
        <v>1000</v>
      </c>
      <c r="BU110" s="71">
        <v>14.883800000000001</v>
      </c>
      <c r="BV110" s="71">
        <v>-260.5154</v>
      </c>
      <c r="BW110" s="75"/>
      <c r="BY110" s="71"/>
      <c r="BZ110" s="71"/>
      <c r="CA110" s="71"/>
      <c r="CC110" s="71"/>
    </row>
    <row r="111" spans="1:81" ht="13" x14ac:dyDescent="0.3">
      <c r="A111">
        <f t="shared" si="106"/>
        <v>38500</v>
      </c>
      <c r="B111">
        <f t="shared" si="86"/>
        <v>38.5</v>
      </c>
      <c r="C111">
        <f t="shared" si="55"/>
        <v>1.0000731434304697</v>
      </c>
      <c r="D111">
        <f t="shared" si="56"/>
        <v>1.2094541946412537E-2</v>
      </c>
      <c r="F111">
        <f t="shared" si="57"/>
        <v>5.276269280566781E-2</v>
      </c>
      <c r="G111">
        <f t="shared" si="58"/>
        <v>7.3465415260244679E-2</v>
      </c>
      <c r="H111">
        <f t="shared" si="59"/>
        <v>-3.0681272347397557</v>
      </c>
      <c r="J111">
        <f t="shared" si="60"/>
        <v>15</v>
      </c>
      <c r="M111">
        <f t="shared" si="61"/>
        <v>2.8529293516129595E-2</v>
      </c>
      <c r="N111">
        <f t="shared" si="62"/>
        <v>-1.5707963250000001</v>
      </c>
      <c r="O111">
        <f t="shared" si="63"/>
        <v>13.295858594266404</v>
      </c>
      <c r="P111">
        <f t="shared" si="64"/>
        <v>1.4955138474336964</v>
      </c>
      <c r="Q111">
        <f t="shared" si="65"/>
        <v>5.1895749093728769</v>
      </c>
      <c r="R111">
        <f t="shared" si="66"/>
        <v>1.3768894533994966</v>
      </c>
      <c r="S111">
        <f t="shared" si="67"/>
        <v>0.99992360881750553</v>
      </c>
      <c r="T111">
        <f t="shared" si="68"/>
        <v>-1.2360595059818005E-2</v>
      </c>
      <c r="U111">
        <f t="shared" si="69"/>
        <v>0.98203555094669404</v>
      </c>
      <c r="V111">
        <f t="shared" si="70"/>
        <v>-0.18983411243985845</v>
      </c>
      <c r="X111">
        <f t="shared" si="87"/>
        <v>3.6936639671398011</v>
      </c>
      <c r="Y111">
        <f t="shared" si="71"/>
        <v>-112.10609255874367</v>
      </c>
      <c r="Z111">
        <f t="shared" si="88"/>
        <v>67.893907441256331</v>
      </c>
      <c r="AC111">
        <v>1</v>
      </c>
      <c r="AD111">
        <f t="shared" si="72"/>
        <v>13.258199567012401</v>
      </c>
      <c r="AE111">
        <f t="shared" si="73"/>
        <v>-3.2071933980208698E-4</v>
      </c>
      <c r="AF111">
        <f t="shared" si="74"/>
        <v>1.6691281749450001E-3</v>
      </c>
      <c r="AG111">
        <f t="shared" si="89"/>
        <v>7549.3420992887495</v>
      </c>
      <c r="AH111">
        <f t="shared" si="90"/>
        <v>-2049.7047892302953</v>
      </c>
      <c r="AJ111">
        <f t="shared" si="75"/>
        <v>21000</v>
      </c>
      <c r="AK111">
        <f t="shared" si="76"/>
        <v>259.58571659905499</v>
      </c>
      <c r="AL111">
        <v>1</v>
      </c>
      <c r="AM111">
        <f t="shared" si="77"/>
        <v>5.0923165396499552</v>
      </c>
      <c r="AN111">
        <f t="shared" si="91"/>
        <v>828.83378322210092</v>
      </c>
      <c r="AO111">
        <f t="shared" si="92"/>
        <v>-3961.0982663234954</v>
      </c>
      <c r="AQ111">
        <f t="shared" si="78"/>
        <v>1.6863406408094435</v>
      </c>
      <c r="AR111">
        <f t="shared" si="79"/>
        <v>-129.84822934232716</v>
      </c>
      <c r="AT111">
        <f t="shared" si="104"/>
        <v>-253419.77516263744</v>
      </c>
      <c r="AU111">
        <f t="shared" si="105"/>
        <v>-983725.20477987197</v>
      </c>
      <c r="AV111">
        <f t="shared" si="93"/>
        <v>-1.8229266356757827</v>
      </c>
      <c r="AW111">
        <f t="shared" si="94"/>
        <v>-505807.01236683608</v>
      </c>
      <c r="AX111">
        <f t="shared" si="95"/>
        <v>-141381.53019900151</v>
      </c>
      <c r="AY111">
        <f t="shared" si="103"/>
        <v>-2.8690321280017099</v>
      </c>
      <c r="BA111">
        <f t="shared" si="80"/>
        <v>1.9342216040122704</v>
      </c>
      <c r="BB111">
        <f t="shared" si="96"/>
        <v>5.7301245954183697</v>
      </c>
      <c r="BC111">
        <f t="shared" si="97"/>
        <v>1.0461054923259272</v>
      </c>
      <c r="BD111">
        <f t="shared" si="81"/>
        <v>-120.06257029578074</v>
      </c>
      <c r="BF111">
        <f t="shared" si="82"/>
        <v>3.6991241123873597</v>
      </c>
      <c r="BG111">
        <f t="shared" si="83"/>
        <v>-115.16034584691776</v>
      </c>
      <c r="BH111">
        <f t="shared" si="98"/>
        <v>64.839654153082236</v>
      </c>
      <c r="BI111">
        <f t="shared" si="99"/>
        <v>64.839654153082236</v>
      </c>
      <c r="BJ111">
        <f t="shared" si="84"/>
        <v>0</v>
      </c>
      <c r="BK111">
        <f t="shared" si="100"/>
        <v>0</v>
      </c>
      <c r="BM111">
        <f t="shared" si="101"/>
        <v>-2.0310004830310096</v>
      </c>
      <c r="BN111">
        <f t="shared" si="85"/>
        <v>-175.097775551137</v>
      </c>
      <c r="BQ111" s="66">
        <f t="shared" si="102"/>
        <v>22.632085395703506</v>
      </c>
      <c r="BR111" s="71"/>
      <c r="BS111" s="71"/>
      <c r="BT111" s="71">
        <v>1023.293</v>
      </c>
      <c r="BU111" s="71">
        <v>14.7437</v>
      </c>
      <c r="BV111" s="71">
        <v>-261.12389999999999</v>
      </c>
      <c r="BW111" s="75"/>
      <c r="BY111" s="71"/>
      <c r="BZ111" s="71"/>
      <c r="CA111" s="71"/>
      <c r="CC111" s="71"/>
    </row>
    <row r="112" spans="1:81" ht="13" x14ac:dyDescent="0.3">
      <c r="A112">
        <f t="shared" si="106"/>
        <v>39000</v>
      </c>
      <c r="B112">
        <f t="shared" si="86"/>
        <v>39</v>
      </c>
      <c r="C112">
        <f t="shared" si="55"/>
        <v>1.0000750555246329</v>
      </c>
      <c r="D112">
        <f t="shared" si="56"/>
        <v>1.2251598303108143E-2</v>
      </c>
      <c r="F112">
        <f t="shared" si="57"/>
        <v>5.1352532525000466E-2</v>
      </c>
      <c r="G112">
        <f t="shared" si="58"/>
        <v>7.2428714605073316E-2</v>
      </c>
      <c r="H112">
        <f t="shared" si="59"/>
        <v>-3.0691639353949269</v>
      </c>
      <c r="J112">
        <f t="shared" si="60"/>
        <v>15</v>
      </c>
      <c r="M112">
        <f t="shared" si="61"/>
        <v>2.8163533342845885E-2</v>
      </c>
      <c r="N112">
        <f t="shared" si="62"/>
        <v>-1.5707963250000001</v>
      </c>
      <c r="O112">
        <f t="shared" si="63"/>
        <v>13.467561537596525</v>
      </c>
      <c r="P112">
        <f t="shared" si="64"/>
        <v>1.4964754343319528</v>
      </c>
      <c r="Q112">
        <f t="shared" si="65"/>
        <v>5.2544849199849128</v>
      </c>
      <c r="R112">
        <f t="shared" si="66"/>
        <v>1.379314740501179</v>
      </c>
      <c r="S112">
        <f t="shared" si="67"/>
        <v>0.99992161198143259</v>
      </c>
      <c r="T112">
        <f t="shared" si="68"/>
        <v>-1.2521105598344996E-2</v>
      </c>
      <c r="U112">
        <f t="shared" si="69"/>
        <v>0.98157881021888271</v>
      </c>
      <c r="V112">
        <f t="shared" si="70"/>
        <v>-0.19223956911607162</v>
      </c>
      <c r="X112">
        <f t="shared" si="87"/>
        <v>3.5616621664987687</v>
      </c>
      <c r="Y112">
        <f t="shared" si="71"/>
        <v>-112.10945797035737</v>
      </c>
      <c r="Z112">
        <f t="shared" si="88"/>
        <v>67.890542029642631</v>
      </c>
      <c r="AC112">
        <v>1</v>
      </c>
      <c r="AD112">
        <f t="shared" si="72"/>
        <v>13.430383976973602</v>
      </c>
      <c r="AE112">
        <f t="shared" si="73"/>
        <v>-3.2910380559215675E-4</v>
      </c>
      <c r="AF112">
        <f t="shared" si="74"/>
        <v>1.6908051642299999E-3</v>
      </c>
      <c r="AG112">
        <f t="shared" si="89"/>
        <v>7542.3213959041532</v>
      </c>
      <c r="AH112">
        <f t="shared" si="90"/>
        <v>-2059.4961193988411</v>
      </c>
      <c r="AJ112">
        <f t="shared" si="75"/>
        <v>21000</v>
      </c>
      <c r="AK112">
        <f t="shared" si="76"/>
        <v>262.95695967177005</v>
      </c>
      <c r="AL112">
        <v>1</v>
      </c>
      <c r="AM112">
        <f t="shared" si="77"/>
        <v>5.1584505206843696</v>
      </c>
      <c r="AN112">
        <f t="shared" si="91"/>
        <v>809.7343290537334</v>
      </c>
      <c r="AO112">
        <f t="shared" si="92"/>
        <v>-3914.0175116514702</v>
      </c>
      <c r="AQ112">
        <f t="shared" si="78"/>
        <v>1.6433853738701725</v>
      </c>
      <c r="AR112">
        <f t="shared" si="79"/>
        <v>-128.18405916187345</v>
      </c>
      <c r="AT112">
        <f t="shared" si="104"/>
        <v>-251599.63174561289</v>
      </c>
      <c r="AU112">
        <f t="shared" si="105"/>
        <v>-970189.91783060436</v>
      </c>
      <c r="AV112">
        <f t="shared" si="93"/>
        <v>-1.8245369779010114</v>
      </c>
      <c r="AW112">
        <f t="shared" si="94"/>
        <v>-493334.3092104189</v>
      </c>
      <c r="AX112">
        <f t="shared" si="95"/>
        <v>-136993.06772392881</v>
      </c>
      <c r="AY112">
        <f t="shared" si="103"/>
        <v>-2.8707290576625404</v>
      </c>
      <c r="BA112">
        <f t="shared" si="80"/>
        <v>1.9575767580904129</v>
      </c>
      <c r="BB112">
        <f t="shared" si="96"/>
        <v>5.834376001690722</v>
      </c>
      <c r="BC112">
        <f t="shared" si="97"/>
        <v>1.0461920797615289</v>
      </c>
      <c r="BD112">
        <f t="shared" si="81"/>
        <v>-120.05760920115624</v>
      </c>
      <c r="BF112">
        <f t="shared" si="82"/>
        <v>3.5680904088821612</v>
      </c>
      <c r="BG112">
        <f t="shared" si="83"/>
        <v>-115.20578465812623</v>
      </c>
      <c r="BH112">
        <f t="shared" si="98"/>
        <v>64.794215341873766</v>
      </c>
      <c r="BI112">
        <f t="shared" si="99"/>
        <v>64.794215341873766</v>
      </c>
      <c r="BJ112">
        <f t="shared" si="84"/>
        <v>0</v>
      </c>
      <c r="BK112">
        <f t="shared" si="100"/>
        <v>0</v>
      </c>
      <c r="BM112">
        <f t="shared" si="101"/>
        <v>-2.2662855928085621</v>
      </c>
      <c r="BN112">
        <f t="shared" si="85"/>
        <v>-175.14817545697002</v>
      </c>
      <c r="BQ112" s="66">
        <f t="shared" si="102"/>
        <v>22.73633680197586</v>
      </c>
      <c r="BR112" s="71"/>
      <c r="BS112" s="71"/>
      <c r="BT112" s="71">
        <v>1047.1289999999999</v>
      </c>
      <c r="BU112" s="71">
        <v>14.586600000000001</v>
      </c>
      <c r="BV112" s="71">
        <v>-260.40769999999998</v>
      </c>
      <c r="BW112" s="75"/>
      <c r="BY112" s="71"/>
      <c r="BZ112" s="71"/>
      <c r="CA112" s="71"/>
      <c r="CC112" s="71"/>
    </row>
    <row r="113" spans="1:81" ht="13" x14ac:dyDescent="0.3">
      <c r="A113">
        <f t="shared" si="106"/>
        <v>39500</v>
      </c>
      <c r="B113">
        <f t="shared" si="86"/>
        <v>39.5</v>
      </c>
      <c r="C113">
        <f t="shared" si="55"/>
        <v>1.0000769922872519</v>
      </c>
      <c r="D113">
        <f t="shared" si="56"/>
        <v>1.240865405536286E-2</v>
      </c>
      <c r="F113">
        <f t="shared" si="57"/>
        <v>4.9998984668285375E-2</v>
      </c>
      <c r="G113">
        <f t="shared" si="58"/>
        <v>7.1422015173034453E-2</v>
      </c>
      <c r="H113">
        <f t="shared" si="59"/>
        <v>-3.0701706348269657</v>
      </c>
      <c r="J113">
        <f t="shared" si="60"/>
        <v>15</v>
      </c>
      <c r="M113">
        <f t="shared" si="61"/>
        <v>2.7807032920784545E-2</v>
      </c>
      <c r="N113">
        <f t="shared" si="62"/>
        <v>-1.5707963250000001</v>
      </c>
      <c r="O113">
        <f t="shared" si="63"/>
        <v>13.63927662015981</v>
      </c>
      <c r="P113">
        <f t="shared" si="64"/>
        <v>1.4974128098015911</v>
      </c>
      <c r="Q113">
        <f t="shared" si="65"/>
        <v>5.3194250831833445</v>
      </c>
      <c r="R113">
        <f t="shared" si="66"/>
        <v>1.3816808248616237</v>
      </c>
      <c r="S113">
        <f t="shared" si="67"/>
        <v>0.99991958939192815</v>
      </c>
      <c r="T113">
        <f t="shared" si="68"/>
        <v>-1.2681615491662529E-2</v>
      </c>
      <c r="U113">
        <f t="shared" si="69"/>
        <v>0.98111682512444764</v>
      </c>
      <c r="V113">
        <f t="shared" si="70"/>
        <v>-0.19464277540591432</v>
      </c>
      <c r="X113">
        <f t="shared" si="87"/>
        <v>3.4316473158685157</v>
      </c>
      <c r="Y113">
        <f t="shared" si="71"/>
        <v>-112.11575477841586</v>
      </c>
      <c r="Z113">
        <f t="shared" si="88"/>
        <v>67.884245221584138</v>
      </c>
      <c r="AC113">
        <v>1</v>
      </c>
      <c r="AD113">
        <f t="shared" si="72"/>
        <v>13.6025683869348</v>
      </c>
      <c r="AE113">
        <f t="shared" si="73"/>
        <v>-3.3759645803758216E-4</v>
      </c>
      <c r="AF113">
        <f t="shared" si="74"/>
        <v>1.712482153515E-3</v>
      </c>
      <c r="AG113">
        <f t="shared" si="89"/>
        <v>7535.2234022610555</v>
      </c>
      <c r="AH113">
        <f t="shared" si="90"/>
        <v>-2069.4316281493384</v>
      </c>
      <c r="AJ113">
        <f t="shared" si="75"/>
        <v>21000</v>
      </c>
      <c r="AK113">
        <f t="shared" si="76"/>
        <v>266.328202744485</v>
      </c>
      <c r="AL113">
        <v>1</v>
      </c>
      <c r="AM113">
        <f t="shared" si="77"/>
        <v>5.2245845017187849</v>
      </c>
      <c r="AN113">
        <f t="shared" si="91"/>
        <v>791.32139121666489</v>
      </c>
      <c r="AO113">
        <f t="shared" si="92"/>
        <v>-3867.9972736846498</v>
      </c>
      <c r="AQ113">
        <f t="shared" si="78"/>
        <v>1.6020506247997437</v>
      </c>
      <c r="AR113">
        <f t="shared" si="79"/>
        <v>-126.56199935917975</v>
      </c>
      <c r="AT113">
        <f t="shared" si="104"/>
        <v>-249839.5950361049</v>
      </c>
      <c r="AU113">
        <f t="shared" si="105"/>
        <v>-956988.27364109701</v>
      </c>
      <c r="AV113">
        <f t="shared" si="93"/>
        <v>-1.8261650673600645</v>
      </c>
      <c r="AW113">
        <f t="shared" si="94"/>
        <v>-481308.36837066046</v>
      </c>
      <c r="AX113">
        <f t="shared" si="95"/>
        <v>-132807.9131533099</v>
      </c>
      <c r="AY113">
        <f t="shared" si="103"/>
        <v>-2.8723610790156138</v>
      </c>
      <c r="BA113">
        <f t="shared" si="80"/>
        <v>1.9809191107849453</v>
      </c>
      <c r="BB113">
        <f t="shared" si="96"/>
        <v>5.9373348367983914</v>
      </c>
      <c r="BC113">
        <f t="shared" si="97"/>
        <v>1.0461960116555493</v>
      </c>
      <c r="BD113">
        <f t="shared" si="81"/>
        <v>-120.05738392022312</v>
      </c>
      <c r="BF113">
        <f t="shared" si="82"/>
        <v>3.4390524424243409</v>
      </c>
      <c r="BG113">
        <f t="shared" si="83"/>
        <v>-115.25424037419032</v>
      </c>
      <c r="BH113">
        <f t="shared" si="98"/>
        <v>64.745759625809683</v>
      </c>
      <c r="BI113">
        <f t="shared" si="99"/>
        <v>64.745759625809683</v>
      </c>
      <c r="BJ113">
        <f t="shared" si="84"/>
        <v>0</v>
      </c>
      <c r="BK113">
        <f t="shared" si="100"/>
        <v>0</v>
      </c>
      <c r="BM113">
        <f t="shared" si="101"/>
        <v>-2.4982823943740509</v>
      </c>
      <c r="BN113">
        <f t="shared" si="85"/>
        <v>-175.1968564539672</v>
      </c>
      <c r="BQ113" s="66">
        <f t="shared" si="102"/>
        <v>22.839295637083524</v>
      </c>
      <c r="BR113" s="71"/>
      <c r="BS113" s="71"/>
      <c r="BT113" s="71">
        <v>1071.519</v>
      </c>
      <c r="BU113" s="71">
        <v>14.3581</v>
      </c>
      <c r="BV113" s="71">
        <v>-260.5301</v>
      </c>
      <c r="BW113" s="75"/>
      <c r="BY113" s="71"/>
      <c r="BZ113" s="71"/>
      <c r="CA113" s="71"/>
      <c r="CC113" s="71"/>
    </row>
    <row r="114" spans="1:81" ht="13" x14ac:dyDescent="0.3">
      <c r="A114">
        <f t="shared" si="106"/>
        <v>40000</v>
      </c>
      <c r="B114">
        <f t="shared" si="86"/>
        <v>40</v>
      </c>
      <c r="C114">
        <f t="shared" si="55"/>
        <v>1.0000789537181833</v>
      </c>
      <c r="D114">
        <f t="shared" si="56"/>
        <v>1.2565709195432186E-2</v>
      </c>
      <c r="F114">
        <f t="shared" si="57"/>
        <v>4.8699018099076355E-2</v>
      </c>
      <c r="G114">
        <f t="shared" si="58"/>
        <v>7.0443993552976508E-2</v>
      </c>
      <c r="H114">
        <f t="shared" si="59"/>
        <v>-3.0711486564470238</v>
      </c>
      <c r="J114">
        <f t="shared" si="60"/>
        <v>15</v>
      </c>
      <c r="M114">
        <f t="shared" si="61"/>
        <v>2.7459445009274736E-2</v>
      </c>
      <c r="N114">
        <f t="shared" si="62"/>
        <v>-1.5707963250000001</v>
      </c>
      <c r="O114">
        <f t="shared" si="63"/>
        <v>13.811003389167428</v>
      </c>
      <c r="P114">
        <f t="shared" si="64"/>
        <v>1.4983268753024572</v>
      </c>
      <c r="Q114">
        <f t="shared" si="65"/>
        <v>5.3843943079743273</v>
      </c>
      <c r="R114">
        <f t="shared" si="66"/>
        <v>1.383989822555189</v>
      </c>
      <c r="S114">
        <f t="shared" si="67"/>
        <v>0.99991754104946162</v>
      </c>
      <c r="T114">
        <f t="shared" si="68"/>
        <v>-1.2842124731503975E-2</v>
      </c>
      <c r="U114">
        <f t="shared" si="69"/>
        <v>0.98064961906209502</v>
      </c>
      <c r="V114">
        <f t="shared" si="70"/>
        <v>-0.19704370674615335</v>
      </c>
      <c r="X114">
        <f t="shared" si="87"/>
        <v>3.303552926397054</v>
      </c>
      <c r="Y114">
        <f t="shared" si="71"/>
        <v>-112.12488450941866</v>
      </c>
      <c r="Z114">
        <f t="shared" si="88"/>
        <v>67.875115490581337</v>
      </c>
      <c r="AC114">
        <v>1</v>
      </c>
      <c r="AD114">
        <f t="shared" si="72"/>
        <v>13.774752796896001</v>
      </c>
      <c r="AE114">
        <f t="shared" si="73"/>
        <v>-3.4619729713836341E-4</v>
      </c>
      <c r="AF114">
        <f t="shared" si="74"/>
        <v>1.7341591428E-3</v>
      </c>
      <c r="AG114">
        <f t="shared" si="89"/>
        <v>7528.0485914001638</v>
      </c>
      <c r="AH114">
        <f t="shared" si="90"/>
        <v>-2079.503539246341</v>
      </c>
      <c r="AJ114">
        <f t="shared" si="75"/>
        <v>21000</v>
      </c>
      <c r="AK114">
        <f t="shared" si="76"/>
        <v>269.6994458172</v>
      </c>
      <c r="AL114">
        <v>1</v>
      </c>
      <c r="AM114">
        <f t="shared" si="77"/>
        <v>5.2907184827532001</v>
      </c>
      <c r="AN114">
        <f t="shared" si="91"/>
        <v>773.56285579444659</v>
      </c>
      <c r="AO114">
        <f t="shared" si="92"/>
        <v>-3823.003852905827</v>
      </c>
      <c r="AQ114">
        <f t="shared" si="78"/>
        <v>1.562255897516013</v>
      </c>
      <c r="AR114">
        <f t="shared" si="79"/>
        <v>-124.98047180128106</v>
      </c>
      <c r="AT114">
        <f t="shared" si="104"/>
        <v>-248136.59513873947</v>
      </c>
      <c r="AU114">
        <f t="shared" si="105"/>
        <v>-944107.78136425477</v>
      </c>
      <c r="AV114">
        <f t="shared" si="93"/>
        <v>-1.8278101360141277</v>
      </c>
      <c r="AW114">
        <f t="shared" si="94"/>
        <v>-469708.39817069157</v>
      </c>
      <c r="AX114">
        <f t="shared" si="95"/>
        <v>-128814.19203687645</v>
      </c>
      <c r="AY114">
        <f t="shared" si="103"/>
        <v>-2.8739304511201356</v>
      </c>
      <c r="BA114">
        <f t="shared" si="80"/>
        <v>2.0042478568545197</v>
      </c>
      <c r="BB114">
        <f t="shared" si="96"/>
        <v>6.0390285575576206</v>
      </c>
      <c r="BC114">
        <f t="shared" si="97"/>
        <v>1.0461203151060079</v>
      </c>
      <c r="BD114">
        <f t="shared" si="81"/>
        <v>-120.06172101304051</v>
      </c>
      <c r="BF114">
        <f t="shared" si="82"/>
        <v>3.3119435904477608</v>
      </c>
      <c r="BG114">
        <f t="shared" si="83"/>
        <v>-115.30561538148655</v>
      </c>
      <c r="BH114">
        <f t="shared" si="98"/>
        <v>64.694384618513453</v>
      </c>
      <c r="BI114">
        <f t="shared" si="99"/>
        <v>64.694384618513453</v>
      </c>
      <c r="BJ114">
        <f t="shared" si="84"/>
        <v>0</v>
      </c>
      <c r="BK114">
        <f t="shared" si="100"/>
        <v>0</v>
      </c>
      <c r="BM114">
        <f t="shared" si="101"/>
        <v>-2.7270849671098607</v>
      </c>
      <c r="BN114">
        <f t="shared" si="85"/>
        <v>-175.24389436844604</v>
      </c>
      <c r="BQ114" s="66">
        <f t="shared" si="102"/>
        <v>22.94098935784276</v>
      </c>
      <c r="BR114" s="71"/>
      <c r="BS114" s="71"/>
      <c r="BT114" s="71">
        <v>1096.4780000000001</v>
      </c>
      <c r="BU114" s="71">
        <v>14.1501</v>
      </c>
      <c r="BV114" s="71">
        <v>-260.5471</v>
      </c>
      <c r="BW114" s="75"/>
      <c r="BY114" s="71"/>
      <c r="BZ114" s="71"/>
      <c r="CA114" s="71"/>
      <c r="CC114" s="71"/>
    </row>
    <row r="115" spans="1:81" ht="13" x14ac:dyDescent="0.3">
      <c r="A115">
        <f t="shared" si="106"/>
        <v>40500</v>
      </c>
      <c r="B115">
        <f t="shared" si="86"/>
        <v>40.5</v>
      </c>
      <c r="C115">
        <f t="shared" si="55"/>
        <v>1.0000809398172823</v>
      </c>
      <c r="D115">
        <f t="shared" si="56"/>
        <v>1.27227637155718E-2</v>
      </c>
      <c r="F115">
        <f t="shared" si="57"/>
        <v>4.7449804345746277E-2</v>
      </c>
      <c r="G115">
        <f t="shared" si="58"/>
        <v>6.949340477239091E-2</v>
      </c>
      <c r="H115">
        <f t="shared" si="59"/>
        <v>-3.0720992452276095</v>
      </c>
      <c r="J115">
        <f t="shared" si="60"/>
        <v>15</v>
      </c>
      <c r="M115">
        <f t="shared" si="61"/>
        <v>2.7120439515333074E-2</v>
      </c>
      <c r="N115">
        <f t="shared" si="62"/>
        <v>-1.5707963250000001</v>
      </c>
      <c r="O115">
        <f t="shared" si="63"/>
        <v>13.982741414043877</v>
      </c>
      <c r="P115">
        <f t="shared" si="64"/>
        <v>1.4992184881673347</v>
      </c>
      <c r="Q115">
        <f t="shared" si="65"/>
        <v>5.4493915549157821</v>
      </c>
      <c r="R115">
        <f t="shared" si="66"/>
        <v>1.3862437512020853</v>
      </c>
      <c r="S115">
        <f t="shared" si="67"/>
        <v>0.99991546695450739</v>
      </c>
      <c r="T115">
        <f t="shared" si="68"/>
        <v>-1.3002633309602911E-2</v>
      </c>
      <c r="U115">
        <f t="shared" si="69"/>
        <v>0.98017721563428806</v>
      </c>
      <c r="V115">
        <f t="shared" si="70"/>
        <v>-0.19944233872494702</v>
      </c>
      <c r="X115">
        <f t="shared" si="87"/>
        <v>3.1773157731847386</v>
      </c>
      <c r="Y115">
        <f t="shared" si="71"/>
        <v>-112.13675237363765</v>
      </c>
      <c r="Z115">
        <f t="shared" si="88"/>
        <v>67.863247626362352</v>
      </c>
      <c r="AC115">
        <v>1</v>
      </c>
      <c r="AD115">
        <f t="shared" si="72"/>
        <v>13.946937206857202</v>
      </c>
      <c r="AE115">
        <f t="shared" si="73"/>
        <v>-3.5490632289450036E-4</v>
      </c>
      <c r="AF115">
        <f t="shared" si="74"/>
        <v>1.755836132085E-3</v>
      </c>
      <c r="AG115">
        <f t="shared" si="89"/>
        <v>7520.7974400884932</v>
      </c>
      <c r="AH115">
        <f t="shared" si="90"/>
        <v>-2089.7044420307861</v>
      </c>
      <c r="AJ115">
        <f t="shared" si="75"/>
        <v>21000</v>
      </c>
      <c r="AK115">
        <f t="shared" si="76"/>
        <v>273.070688889915</v>
      </c>
      <c r="AL115">
        <v>1</v>
      </c>
      <c r="AM115">
        <f t="shared" si="77"/>
        <v>5.3568524637876154</v>
      </c>
      <c r="AN115">
        <f t="shared" si="91"/>
        <v>756.42844154035947</v>
      </c>
      <c r="AO115">
        <f t="shared" si="92"/>
        <v>-3779.0048718545863</v>
      </c>
      <c r="AQ115">
        <f t="shared" si="78"/>
        <v>1.5239256324291375</v>
      </c>
      <c r="AR115">
        <f t="shared" si="79"/>
        <v>-123.43797622676013</v>
      </c>
      <c r="AT115">
        <f t="shared" si="104"/>
        <v>-246487.75124109292</v>
      </c>
      <c r="AU115">
        <f t="shared" si="105"/>
        <v>-931536.56977933354</v>
      </c>
      <c r="AV115">
        <f t="shared" si="93"/>
        <v>-1.829471452303181</v>
      </c>
      <c r="AW115">
        <f t="shared" si="94"/>
        <v>-458514.7857469556</v>
      </c>
      <c r="AX115">
        <f t="shared" si="95"/>
        <v>-125000.85571441076</v>
      </c>
      <c r="AY115">
        <f t="shared" si="103"/>
        <v>-2.8754393269765854</v>
      </c>
      <c r="BA115">
        <f t="shared" si="80"/>
        <v>2.0275622152601636</v>
      </c>
      <c r="BB115">
        <f t="shared" si="96"/>
        <v>6.1394837861928764</v>
      </c>
      <c r="BC115">
        <f t="shared" si="97"/>
        <v>1.0459678746734045</v>
      </c>
      <c r="BD115">
        <f t="shared" si="81"/>
        <v>-120.07045520646579</v>
      </c>
      <c r="BF115">
        <f t="shared" si="82"/>
        <v>3.1867004931686136</v>
      </c>
      <c r="BG115">
        <f t="shared" si="83"/>
        <v>-115.35981573898638</v>
      </c>
      <c r="BH115">
        <f t="shared" si="98"/>
        <v>64.640184261013616</v>
      </c>
      <c r="BI115">
        <f t="shared" si="99"/>
        <v>64.640184261013616</v>
      </c>
      <c r="BJ115">
        <f t="shared" si="84"/>
        <v>0</v>
      </c>
      <c r="BK115">
        <f t="shared" si="100"/>
        <v>0</v>
      </c>
      <c r="BM115">
        <f t="shared" si="101"/>
        <v>-2.9527832930242641</v>
      </c>
      <c r="BN115">
        <f t="shared" si="85"/>
        <v>-175.28936053252056</v>
      </c>
      <c r="BQ115" s="66">
        <f t="shared" si="102"/>
        <v>23.041444586478015</v>
      </c>
      <c r="BR115" s="71"/>
      <c r="BS115" s="71"/>
      <c r="BT115" s="71">
        <v>1122.018</v>
      </c>
      <c r="BU115" s="71">
        <v>13.9679</v>
      </c>
      <c r="BV115" s="71">
        <v>-259.93099999999998</v>
      </c>
      <c r="BW115" s="75"/>
      <c r="BY115" s="71"/>
      <c r="BZ115" s="71"/>
      <c r="CA115" s="71"/>
      <c r="CC115" s="71"/>
    </row>
    <row r="116" spans="1:81" ht="13" x14ac:dyDescent="0.3">
      <c r="A116">
        <f t="shared" si="106"/>
        <v>41000</v>
      </c>
      <c r="B116">
        <f t="shared" si="86"/>
        <v>41</v>
      </c>
      <c r="C116">
        <f t="shared" si="55"/>
        <v>1.000082950584402</v>
      </c>
      <c r="D116">
        <f t="shared" si="56"/>
        <v>1.2879817608037568E-2</v>
      </c>
      <c r="F116">
        <f t="shared" si="57"/>
        <v>4.6248701377849921E-2</v>
      </c>
      <c r="G116">
        <f t="shared" si="58"/>
        <v>6.8569076480976487E-2</v>
      </c>
      <c r="H116">
        <f t="shared" si="59"/>
        <v>-3.0730235735190239</v>
      </c>
      <c r="J116">
        <f t="shared" si="60"/>
        <v>15</v>
      </c>
      <c r="M116">
        <f t="shared" si="61"/>
        <v>2.6789702448072911E-2</v>
      </c>
      <c r="N116">
        <f t="shared" si="62"/>
        <v>-1.5707963250000001</v>
      </c>
      <c r="O116">
        <f t="shared" si="63"/>
        <v>14.154490285082986</v>
      </c>
      <c r="P116">
        <f t="shared" si="64"/>
        <v>1.5000884642648422</v>
      </c>
      <c r="Q116">
        <f t="shared" si="65"/>
        <v>5.5144158331344117</v>
      </c>
      <c r="R116">
        <f t="shared" si="66"/>
        <v>1.3884445355580914</v>
      </c>
      <c r="S116">
        <f t="shared" si="67"/>
        <v>0.99991336710754686</v>
      </c>
      <c r="T116">
        <f t="shared" si="68"/>
        <v>-1.3163141217693106E-2</v>
      </c>
      <c r="U116">
        <f t="shared" si="69"/>
        <v>0.9796996386441158</v>
      </c>
      <c r="V116">
        <f t="shared" si="70"/>
        <v>-0.20183864708302113</v>
      </c>
      <c r="X116">
        <f t="shared" si="87"/>
        <v>3.0528756861054642</v>
      </c>
      <c r="Y116">
        <f t="shared" si="71"/>
        <v>-112.15126712560202</v>
      </c>
      <c r="Z116">
        <f t="shared" si="88"/>
        <v>67.848732874397982</v>
      </c>
      <c r="AC116">
        <v>1</v>
      </c>
      <c r="AD116">
        <f t="shared" si="72"/>
        <v>14.119121616818401</v>
      </c>
      <c r="AE116">
        <f t="shared" si="73"/>
        <v>-3.6372353530599304E-4</v>
      </c>
      <c r="AF116">
        <f t="shared" si="74"/>
        <v>1.7775131213700001E-3</v>
      </c>
      <c r="AG116">
        <f t="shared" si="89"/>
        <v>7513.4704287446657</v>
      </c>
      <c r="AH116">
        <f t="shared" si="90"/>
        <v>-2100.0272694938012</v>
      </c>
      <c r="AJ116">
        <f t="shared" si="75"/>
        <v>21000</v>
      </c>
      <c r="AK116">
        <f t="shared" si="76"/>
        <v>276.44193196263006</v>
      </c>
      <c r="AL116">
        <v>1</v>
      </c>
      <c r="AM116">
        <f t="shared" si="77"/>
        <v>5.4229864448220306</v>
      </c>
      <c r="AN116">
        <f t="shared" si="91"/>
        <v>739.8895774278709</v>
      </c>
      <c r="AO116">
        <f t="shared" si="92"/>
        <v>-3735.9692170938147</v>
      </c>
      <c r="AQ116">
        <f t="shared" si="78"/>
        <v>1.486988847583643</v>
      </c>
      <c r="AR116">
        <f t="shared" si="79"/>
        <v>-121.93308550185874</v>
      </c>
      <c r="AT116">
        <f t="shared" si="104"/>
        <v>-244890.3578732298</v>
      </c>
      <c r="AU116">
        <f t="shared" si="105"/>
        <v>-919263.3493331694</v>
      </c>
      <c r="AV116">
        <f t="shared" si="93"/>
        <v>-1.8311483189597202</v>
      </c>
      <c r="AW116">
        <f t="shared" si="94"/>
        <v>-447709.01893952501</v>
      </c>
      <c r="AX116">
        <f t="shared" si="95"/>
        <v>-121357.6151700003</v>
      </c>
      <c r="AY116">
        <f t="shared" si="103"/>
        <v>-2.8768897595915823</v>
      </c>
      <c r="BA116">
        <f t="shared" si="80"/>
        <v>2.0508614277850374</v>
      </c>
      <c r="BB116">
        <f t="shared" si="96"/>
        <v>6.238726340654388</v>
      </c>
      <c r="BC116">
        <f t="shared" si="97"/>
        <v>1.0457414406318621</v>
      </c>
      <c r="BD116">
        <f t="shared" si="81"/>
        <v>-120.0834289213991</v>
      </c>
      <c r="BF116">
        <f t="shared" si="82"/>
        <v>3.0632628444246968</v>
      </c>
      <c r="BG116">
        <f t="shared" si="83"/>
        <v>-115.41675103875809</v>
      </c>
      <c r="BH116">
        <f t="shared" si="98"/>
        <v>64.583248961241907</v>
      </c>
      <c r="BI116">
        <f t="shared" si="99"/>
        <v>64.583248961241907</v>
      </c>
      <c r="BJ116">
        <f t="shared" si="84"/>
        <v>0</v>
      </c>
      <c r="BK116">
        <f t="shared" si="100"/>
        <v>0</v>
      </c>
      <c r="BM116">
        <f t="shared" si="101"/>
        <v>-3.1754634962296908</v>
      </c>
      <c r="BN116">
        <f t="shared" si="85"/>
        <v>-175.33332211735899</v>
      </c>
      <c r="BQ116" s="66">
        <f t="shared" si="102"/>
        <v>23.140687140939527</v>
      </c>
      <c r="BR116" s="71"/>
      <c r="BS116" s="71"/>
      <c r="BT116" s="71">
        <v>1148.154</v>
      </c>
      <c r="BU116" s="71">
        <v>13.7508</v>
      </c>
      <c r="BV116" s="71">
        <v>-259.94799999999998</v>
      </c>
      <c r="BW116" s="75"/>
      <c r="BY116" s="71"/>
      <c r="BZ116" s="71"/>
      <c r="CA116" s="71"/>
      <c r="CC116" s="71"/>
    </row>
    <row r="117" spans="1:81" ht="13" x14ac:dyDescent="0.3">
      <c r="A117">
        <f t="shared" si="106"/>
        <v>41500</v>
      </c>
      <c r="B117">
        <f t="shared" si="86"/>
        <v>41.5</v>
      </c>
      <c r="C117">
        <f t="shared" si="55"/>
        <v>1.000084986019393</v>
      </c>
      <c r="D117">
        <f t="shared" si="56"/>
        <v>1.3036870865085544E-2</v>
      </c>
      <c r="F117">
        <f t="shared" si="57"/>
        <v>4.5093238892369193E-2</v>
      </c>
      <c r="G117">
        <f t="shared" si="58"/>
        <v>6.7669903649607177E-2</v>
      </c>
      <c r="H117">
        <f t="shared" si="59"/>
        <v>-3.0739227463503931</v>
      </c>
      <c r="J117">
        <f t="shared" si="60"/>
        <v>15</v>
      </c>
      <c r="M117">
        <f t="shared" si="61"/>
        <v>2.6466934948698541E-2</v>
      </c>
      <c r="N117">
        <f t="shared" si="62"/>
        <v>-1.5707963250000001</v>
      </c>
      <c r="O117">
        <f t="shared" si="63"/>
        <v>14.32624961220022</v>
      </c>
      <c r="P117">
        <f t="shared" si="64"/>
        <v>1.5009375804721139</v>
      </c>
      <c r="Q117">
        <f t="shared" si="65"/>
        <v>5.5794661975456439</v>
      </c>
      <c r="R117">
        <f t="shared" si="66"/>
        <v>1.3905940127326193</v>
      </c>
      <c r="S117">
        <f t="shared" si="67"/>
        <v>0.9999112415090663</v>
      </c>
      <c r="T117">
        <f t="shared" si="68"/>
        <v>-1.3323648447508553E-2</v>
      </c>
      <c r="U117">
        <f t="shared" si="69"/>
        <v>0.97921691209215178</v>
      </c>
      <c r="V117">
        <f t="shared" si="70"/>
        <v>-0.20423260771482105</v>
      </c>
      <c r="X117">
        <f t="shared" si="87"/>
        <v>2.9301753569908344</v>
      </c>
      <c r="Y117">
        <f t="shared" si="71"/>
        <v>-112.16834092724362</v>
      </c>
      <c r="Z117">
        <f t="shared" si="88"/>
        <v>67.831659072756381</v>
      </c>
      <c r="AC117">
        <v>1</v>
      </c>
      <c r="AD117">
        <f t="shared" si="72"/>
        <v>14.291306026779603</v>
      </c>
      <c r="AE117">
        <f t="shared" si="73"/>
        <v>-3.7264893437284147E-4</v>
      </c>
      <c r="AF117">
        <f t="shared" si="74"/>
        <v>1.7991901106550001E-3</v>
      </c>
      <c r="AG117">
        <f t="shared" si="89"/>
        <v>7506.0680413639893</v>
      </c>
      <c r="AH117">
        <f t="shared" si="90"/>
        <v>-2110.4652779366252</v>
      </c>
      <c r="AJ117">
        <f t="shared" si="75"/>
        <v>21000</v>
      </c>
      <c r="AK117">
        <f t="shared" si="76"/>
        <v>279.81317503534501</v>
      </c>
      <c r="AL117">
        <v>1</v>
      </c>
      <c r="AM117">
        <f t="shared" si="77"/>
        <v>5.489120425856445</v>
      </c>
      <c r="AN117">
        <f t="shared" si="91"/>
        <v>723.91928950824251</v>
      </c>
      <c r="AO117">
        <f t="shared" si="92"/>
        <v>-3693.8669836758345</v>
      </c>
      <c r="AQ117">
        <f t="shared" si="78"/>
        <v>1.4513788098693758</v>
      </c>
      <c r="AR117">
        <f t="shared" si="79"/>
        <v>-120.4644412191582</v>
      </c>
      <c r="AT117">
        <f t="shared" si="104"/>
        <v>-243341.87231839754</v>
      </c>
      <c r="AU117">
        <f t="shared" si="105"/>
        <v>-907277.37693925656</v>
      </c>
      <c r="AV117">
        <f t="shared" si="93"/>
        <v>-1.8328400709783141</v>
      </c>
      <c r="AW117">
        <f t="shared" si="94"/>
        <v>-437273.61405659298</v>
      </c>
      <c r="AX117">
        <f t="shared" si="95"/>
        <v>-117874.88085307911</v>
      </c>
      <c r="AY117">
        <f t="shared" si="103"/>
        <v>-2.8782837076368128</v>
      </c>
      <c r="BA117">
        <f t="shared" si="80"/>
        <v>2.0741447577513399</v>
      </c>
      <c r="BB117">
        <f t="shared" si="96"/>
        <v>6.3367812638064329</v>
      </c>
      <c r="BC117">
        <f t="shared" si="97"/>
        <v>1.0454436366584987</v>
      </c>
      <c r="BD117">
        <f t="shared" si="81"/>
        <v>-120.10049183221454</v>
      </c>
      <c r="BF117">
        <f t="shared" si="82"/>
        <v>2.9415731988778471</v>
      </c>
      <c r="BG117">
        <f t="shared" si="83"/>
        <v>-115.47633426912481</v>
      </c>
      <c r="BH117">
        <f t="shared" si="98"/>
        <v>64.523665730875194</v>
      </c>
      <c r="BI117">
        <f t="shared" si="99"/>
        <v>64.523665730875194</v>
      </c>
      <c r="BJ117">
        <f t="shared" si="84"/>
        <v>0</v>
      </c>
      <c r="BK117">
        <f t="shared" si="100"/>
        <v>0</v>
      </c>
      <c r="BM117">
        <f t="shared" si="101"/>
        <v>-3.3952080649285836</v>
      </c>
      <c r="BN117">
        <f t="shared" si="85"/>
        <v>-175.37584243691026</v>
      </c>
      <c r="BQ117" s="66">
        <f t="shared" si="102"/>
        <v>23.238742064091568</v>
      </c>
      <c r="BR117" s="71"/>
      <c r="BS117" s="71"/>
      <c r="BT117" s="71">
        <v>1174.8979999999999</v>
      </c>
      <c r="BU117" s="71">
        <v>13.6038</v>
      </c>
      <c r="BV117" s="71">
        <v>-260.19870000000003</v>
      </c>
      <c r="BW117" s="75"/>
      <c r="BY117" s="71"/>
      <c r="BZ117" s="71"/>
      <c r="CA117" s="71"/>
      <c r="CC117" s="71"/>
    </row>
    <row r="118" spans="1:81" ht="13" x14ac:dyDescent="0.3">
      <c r="A118">
        <f t="shared" si="106"/>
        <v>42000</v>
      </c>
      <c r="B118">
        <f t="shared" si="86"/>
        <v>42</v>
      </c>
      <c r="C118">
        <f t="shared" si="55"/>
        <v>1.000087046122105</v>
      </c>
      <c r="D118">
        <f t="shared" si="56"/>
        <v>1.3193923478971963E-2</v>
      </c>
      <c r="F118">
        <f t="shared" si="57"/>
        <v>4.3981104949993591E-2</v>
      </c>
      <c r="G118">
        <f t="shared" si="58"/>
        <v>6.6794843731829853E-2</v>
      </c>
      <c r="H118">
        <f t="shared" si="59"/>
        <v>-3.0747978062681702</v>
      </c>
      <c r="J118">
        <f t="shared" si="60"/>
        <v>15</v>
      </c>
      <c r="M118">
        <f t="shared" si="61"/>
        <v>2.6151852389785464E-2</v>
      </c>
      <c r="N118">
        <f t="shared" si="62"/>
        <v>-1.5707963250000001</v>
      </c>
      <c r="O118">
        <f t="shared" si="63"/>
        <v>14.498019023773303</v>
      </c>
      <c r="P118">
        <f t="shared" si="64"/>
        <v>1.5017665769729045</v>
      </c>
      <c r="Q118">
        <f t="shared" si="65"/>
        <v>5.6445417462607477</v>
      </c>
      <c r="R118">
        <f t="shared" si="66"/>
        <v>1.3926939370632427</v>
      </c>
      <c r="S118">
        <f t="shared" si="67"/>
        <v>0.99990909015955876</v>
      </c>
      <c r="T118">
        <f t="shared" si="68"/>
        <v>-1.3484154990783441E-2</v>
      </c>
      <c r="U118">
        <f t="shared" si="69"/>
        <v>0.97872906017329853</v>
      </c>
      <c r="V118">
        <f t="shared" si="70"/>
        <v>-0.20662419666963983</v>
      </c>
      <c r="X118">
        <f t="shared" si="87"/>
        <v>2.8091601616796265</v>
      </c>
      <c r="Y118">
        <f t="shared" si="71"/>
        <v>-112.18788921422559</v>
      </c>
      <c r="Z118">
        <f t="shared" si="88"/>
        <v>67.812110785774408</v>
      </c>
      <c r="AC118">
        <v>1</v>
      </c>
      <c r="AD118">
        <f t="shared" si="72"/>
        <v>14.4634904367408</v>
      </c>
      <c r="AE118">
        <f t="shared" si="73"/>
        <v>-3.8168252009504569E-4</v>
      </c>
      <c r="AF118">
        <f t="shared" si="74"/>
        <v>1.8208670999400002E-3</v>
      </c>
      <c r="AG118">
        <f t="shared" si="89"/>
        <v>7498.5907654433249</v>
      </c>
      <c r="AH118">
        <f t="shared" si="90"/>
        <v>-2121.0120280843703</v>
      </c>
      <c r="AJ118">
        <f t="shared" si="75"/>
        <v>21000</v>
      </c>
      <c r="AK118">
        <f t="shared" si="76"/>
        <v>283.18441810806002</v>
      </c>
      <c r="AL118">
        <v>1</v>
      </c>
      <c r="AM118">
        <f t="shared" si="77"/>
        <v>5.5552544068908603</v>
      </c>
      <c r="AN118">
        <f t="shared" si="91"/>
        <v>708.49209628771894</v>
      </c>
      <c r="AO118">
        <f t="shared" si="92"/>
        <v>-3652.6694220416343</v>
      </c>
      <c r="AQ118">
        <f t="shared" si="78"/>
        <v>1.4170327334561428</v>
      </c>
      <c r="AR118">
        <f t="shared" si="79"/>
        <v>-119.03074961031599</v>
      </c>
      <c r="AT118">
        <f t="shared" si="104"/>
        <v>-241839.90306595404</v>
      </c>
      <c r="AU118">
        <f t="shared" si="105"/>
        <v>-895568.42330356187</v>
      </c>
      <c r="AV118">
        <f t="shared" si="93"/>
        <v>-1.8345460737282184</v>
      </c>
      <c r="AW118">
        <f t="shared" si="94"/>
        <v>-427192.04902283213</v>
      </c>
      <c r="AX118">
        <f t="shared" si="95"/>
        <v>-114543.70787000973</v>
      </c>
      <c r="AY118">
        <f t="shared" si="103"/>
        <v>-2.8796230407330139</v>
      </c>
      <c r="BA118">
        <f t="shared" si="80"/>
        <v>2.0974114888265527</v>
      </c>
      <c r="BB118">
        <f t="shared" si="96"/>
        <v>6.4336728515137853</v>
      </c>
      <c r="BC118">
        <f t="shared" si="97"/>
        <v>1.0450769670047955</v>
      </c>
      <c r="BD118">
        <f t="shared" si="81"/>
        <v>-120.12150045587127</v>
      </c>
      <c r="BF118">
        <f t="shared" si="82"/>
        <v>2.8215767940817087</v>
      </c>
      <c r="BG118">
        <f t="shared" si="83"/>
        <v>-115.53848168100102</v>
      </c>
      <c r="BH118">
        <f t="shared" si="98"/>
        <v>64.461518318998984</v>
      </c>
      <c r="BI118">
        <f t="shared" si="99"/>
        <v>64.461518318998984</v>
      </c>
      <c r="BJ118">
        <f t="shared" si="84"/>
        <v>0</v>
      </c>
      <c r="BK118">
        <f t="shared" si="100"/>
        <v>0</v>
      </c>
      <c r="BM118">
        <f t="shared" si="101"/>
        <v>-3.6120960574320771</v>
      </c>
      <c r="BN118">
        <f t="shared" si="85"/>
        <v>-175.41698122512977</v>
      </c>
      <c r="BQ118" s="66">
        <f t="shared" si="102"/>
        <v>23.335633651798922</v>
      </c>
      <c r="BR118" s="71"/>
      <c r="BS118" s="71"/>
      <c r="BT118" s="71">
        <v>1202.2639999999999</v>
      </c>
      <c r="BU118" s="71">
        <v>13.412800000000001</v>
      </c>
      <c r="BV118" s="71">
        <v>-259.34100000000001</v>
      </c>
      <c r="BW118" s="75"/>
      <c r="BY118" s="71"/>
      <c r="BZ118" s="71"/>
      <c r="CA118" s="71"/>
      <c r="CC118" s="71"/>
    </row>
    <row r="119" spans="1:81" ht="13" x14ac:dyDescent="0.3">
      <c r="A119">
        <f t="shared" si="106"/>
        <v>42500</v>
      </c>
      <c r="B119">
        <f t="shared" si="86"/>
        <v>42.5</v>
      </c>
      <c r="C119">
        <f t="shared" si="55"/>
        <v>1.0000891308923856</v>
      </c>
      <c r="D119">
        <f t="shared" si="56"/>
        <v>1.3350975441953253E-2</v>
      </c>
      <c r="F119">
        <f t="shared" si="57"/>
        <v>4.2910133820517629E-2</v>
      </c>
      <c r="G119">
        <f t="shared" si="58"/>
        <v>6.5942912241157101E-2</v>
      </c>
      <c r="H119">
        <f t="shared" si="59"/>
        <v>-3.0756497377588432</v>
      </c>
      <c r="J119">
        <f t="shared" si="60"/>
        <v>15</v>
      </c>
      <c r="M119">
        <f t="shared" si="61"/>
        <v>2.5844183538140927E-2</v>
      </c>
      <c r="N119">
        <f t="shared" si="62"/>
        <v>-1.5707963250000001</v>
      </c>
      <c r="O119">
        <f t="shared" si="63"/>
        <v>14.669798165564025</v>
      </c>
      <c r="P119">
        <f t="shared" si="64"/>
        <v>1.5025761593953049</v>
      </c>
      <c r="Q119">
        <f t="shared" si="65"/>
        <v>5.7096416181666898</v>
      </c>
      <c r="R119">
        <f t="shared" si="66"/>
        <v>1.3947459846724424</v>
      </c>
      <c r="S119">
        <f t="shared" si="67"/>
        <v>0.99990691305952317</v>
      </c>
      <c r="T119">
        <f t="shared" si="68"/>
        <v>-1.3644660839252181E-2</v>
      </c>
      <c r="U119">
        <f t="shared" si="69"/>
        <v>0.97823610727361843</v>
      </c>
      <c r="V119">
        <f t="shared" si="70"/>
        <v>-0.20901339015272263</v>
      </c>
      <c r="X119">
        <f t="shared" si="87"/>
        <v>2.6897779955905903</v>
      </c>
      <c r="Y119">
        <f t="shared" si="71"/>
        <v>-112.20983056584407</v>
      </c>
      <c r="Z119">
        <f t="shared" si="88"/>
        <v>67.790169434155928</v>
      </c>
      <c r="AC119">
        <v>1</v>
      </c>
      <c r="AD119">
        <f t="shared" si="72"/>
        <v>14.635674846702003</v>
      </c>
      <c r="AE119">
        <f t="shared" si="73"/>
        <v>-3.9082429247260566E-4</v>
      </c>
      <c r="AF119">
        <f t="shared" si="74"/>
        <v>1.8425440892250002E-3</v>
      </c>
      <c r="AG119">
        <f t="shared" si="89"/>
        <v>7491.0390919057818</v>
      </c>
      <c r="AH119">
        <f t="shared" si="90"/>
        <v>-2131.6613675338131</v>
      </c>
      <c r="AJ119">
        <f t="shared" si="75"/>
        <v>21000</v>
      </c>
      <c r="AK119">
        <f t="shared" si="76"/>
        <v>286.55566118077502</v>
      </c>
      <c r="AL119">
        <v>1</v>
      </c>
      <c r="AM119">
        <f t="shared" si="77"/>
        <v>5.6213883879252755</v>
      </c>
      <c r="AN119">
        <f t="shared" si="91"/>
        <v>693.58391190965688</v>
      </c>
      <c r="AO119">
        <f t="shared" si="92"/>
        <v>-3612.3488872799571</v>
      </c>
      <c r="AQ119">
        <f t="shared" si="78"/>
        <v>1.3838915029061722</v>
      </c>
      <c r="AR119">
        <f t="shared" si="79"/>
        <v>-117.63077774702464</v>
      </c>
      <c r="AT119">
        <f t="shared" si="104"/>
        <v>-240382.19920906221</v>
      </c>
      <c r="AU119">
        <f t="shared" si="105"/>
        <v>-884126.74256784574</v>
      </c>
      <c r="AV119">
        <f t="shared" si="93"/>
        <v>-1.8362657211974522</v>
      </c>
      <c r="AW119">
        <f t="shared" si="94"/>
        <v>-417448.70146590495</v>
      </c>
      <c r="AX119">
        <f t="shared" si="95"/>
        <v>-111355.74601512802</v>
      </c>
      <c r="AY119">
        <f t="shared" si="103"/>
        <v>-2.8809095443873294</v>
      </c>
      <c r="BA119">
        <f t="shared" si="80"/>
        <v>2.1206609239119447</v>
      </c>
      <c r="BB119">
        <f t="shared" si="96"/>
        <v>6.5294246796561168</v>
      </c>
      <c r="BC119">
        <f t="shared" si="97"/>
        <v>1.0446438231898771</v>
      </c>
      <c r="BD119">
        <f t="shared" si="81"/>
        <v>-120.14631776841664</v>
      </c>
      <c r="BF119">
        <f t="shared" si="82"/>
        <v>2.7032213860729879</v>
      </c>
      <c r="BG119">
        <f t="shared" si="83"/>
        <v>-115.60311265779868</v>
      </c>
      <c r="BH119">
        <f t="shared" si="98"/>
        <v>64.396887342201325</v>
      </c>
      <c r="BI119">
        <f t="shared" si="99"/>
        <v>64.396887342201325</v>
      </c>
      <c r="BJ119">
        <f t="shared" si="84"/>
        <v>0</v>
      </c>
      <c r="BK119">
        <f t="shared" si="100"/>
        <v>0</v>
      </c>
      <c r="BM119">
        <f t="shared" si="101"/>
        <v>-3.8262032935831298</v>
      </c>
      <c r="BN119">
        <f t="shared" si="85"/>
        <v>-175.45679488938202</v>
      </c>
      <c r="BQ119" s="66">
        <f t="shared" si="102"/>
        <v>23.431385479941255</v>
      </c>
      <c r="BR119" s="71"/>
      <c r="BS119" s="71"/>
      <c r="BT119" s="71">
        <v>1230.269</v>
      </c>
      <c r="BU119" s="71">
        <v>13.1837</v>
      </c>
      <c r="BV119" s="71">
        <v>-259.55099999999999</v>
      </c>
      <c r="BW119" s="75"/>
      <c r="BY119" s="71"/>
      <c r="BZ119" s="71"/>
      <c r="CA119" s="71"/>
      <c r="CC119" s="71"/>
    </row>
    <row r="120" spans="1:81" ht="13" x14ac:dyDescent="0.3">
      <c r="A120">
        <f t="shared" si="106"/>
        <v>43000</v>
      </c>
      <c r="B120">
        <f t="shared" si="86"/>
        <v>43</v>
      </c>
      <c r="C120">
        <f t="shared" si="55"/>
        <v>1.0000912403300806</v>
      </c>
      <c r="D120">
        <f t="shared" si="56"/>
        <v>1.3508026746286039E-2</v>
      </c>
      <c r="F120">
        <f t="shared" si="57"/>
        <v>4.1878294912892758E-2</v>
      </c>
      <c r="G120">
        <f t="shared" si="58"/>
        <v>6.5113178702763425E-2</v>
      </c>
      <c r="H120">
        <f t="shared" si="59"/>
        <v>-3.0764794712972368</v>
      </c>
      <c r="J120">
        <f t="shared" si="60"/>
        <v>15</v>
      </c>
      <c r="M120">
        <f t="shared" si="61"/>
        <v>2.5543669776069523E-2</v>
      </c>
      <c r="N120">
        <f t="shared" si="62"/>
        <v>-1.5707963250000001</v>
      </c>
      <c r="O120">
        <f t="shared" si="63"/>
        <v>14.841586699714625</v>
      </c>
      <c r="P120">
        <f t="shared" si="64"/>
        <v>1.50336700080196</v>
      </c>
      <c r="Q120">
        <f t="shared" si="65"/>
        <v>5.7747649906655809</v>
      </c>
      <c r="R120">
        <f t="shared" si="66"/>
        <v>1.3967517577301636</v>
      </c>
      <c r="S120">
        <f t="shared" si="67"/>
        <v>0.99990471020946403</v>
      </c>
      <c r="T120">
        <f t="shared" si="68"/>
        <v>-1.3805165984649394E-2</v>
      </c>
      <c r="U120">
        <f t="shared" si="69"/>
        <v>0.97773807796715761</v>
      </c>
      <c r="V120">
        <f t="shared" si="70"/>
        <v>-0.21140016452634675</v>
      </c>
      <c r="X120">
        <f t="shared" si="87"/>
        <v>2.5719791216148762</v>
      </c>
      <c r="Y120">
        <f t="shared" si="71"/>
        <v>-112.23408657878294</v>
      </c>
      <c r="Z120">
        <f t="shared" si="88"/>
        <v>67.765913421217064</v>
      </c>
      <c r="AC120">
        <v>1</v>
      </c>
      <c r="AD120">
        <f t="shared" si="72"/>
        <v>14.807859256663201</v>
      </c>
      <c r="AE120">
        <f t="shared" si="73"/>
        <v>-4.0007425150552126E-4</v>
      </c>
      <c r="AF120">
        <f t="shared" si="74"/>
        <v>1.86422107851E-3</v>
      </c>
      <c r="AG120">
        <f t="shared" si="89"/>
        <v>7483.4135150252241</v>
      </c>
      <c r="AH120">
        <f t="shared" si="90"/>
        <v>-2142.4074144265151</v>
      </c>
      <c r="AJ120">
        <f t="shared" si="75"/>
        <v>21000</v>
      </c>
      <c r="AK120">
        <f t="shared" si="76"/>
        <v>289.92690425349002</v>
      </c>
      <c r="AL120">
        <v>1</v>
      </c>
      <c r="AM120">
        <f t="shared" si="77"/>
        <v>5.6875223689596899</v>
      </c>
      <c r="AN120">
        <f t="shared" si="91"/>
        <v>679.17195649259565</v>
      </c>
      <c r="AO120">
        <f t="shared" si="92"/>
        <v>-3572.8787906682651</v>
      </c>
      <c r="AQ120">
        <f t="shared" si="78"/>
        <v>1.35189941868325</v>
      </c>
      <c r="AR120">
        <f t="shared" si="79"/>
        <v>-116.2633500067595</v>
      </c>
      <c r="AT120">
        <f t="shared" si="104"/>
        <v>-238966.64069981757</v>
      </c>
      <c r="AU120">
        <f t="shared" si="105"/>
        <v>-872943.04408083786</v>
      </c>
      <c r="AV120">
        <f t="shared" si="93"/>
        <v>-1.8379984343577962</v>
      </c>
      <c r="AW120">
        <f t="shared" si="94"/>
        <v>-408028.79133566073</v>
      </c>
      <c r="AX120">
        <f t="shared" si="95"/>
        <v>-108303.19416762865</v>
      </c>
      <c r="AY120">
        <f t="shared" si="103"/>
        <v>-2.8821449246099875</v>
      </c>
      <c r="BA120">
        <f t="shared" si="80"/>
        <v>2.1438923841068549</v>
      </c>
      <c r="BB120">
        <f t="shared" si="96"/>
        <v>6.6240596301016357</v>
      </c>
      <c r="BC120">
        <f t="shared" si="97"/>
        <v>1.0441464902521913</v>
      </c>
      <c r="BD120">
        <f t="shared" si="81"/>
        <v>-120.17481284679144</v>
      </c>
      <c r="BF120">
        <f t="shared" si="82"/>
        <v>2.5864570972823686</v>
      </c>
      <c r="BG120">
        <f t="shared" si="83"/>
        <v>-115.67014958918263</v>
      </c>
      <c r="BH120">
        <f t="shared" si="98"/>
        <v>64.329850410817372</v>
      </c>
      <c r="BI120">
        <f t="shared" si="99"/>
        <v>64.329850410817372</v>
      </c>
      <c r="BJ120">
        <f t="shared" si="84"/>
        <v>0</v>
      </c>
      <c r="BK120">
        <f t="shared" si="100"/>
        <v>0</v>
      </c>
      <c r="BM120">
        <f t="shared" si="101"/>
        <v>-4.0376025328192666</v>
      </c>
      <c r="BN120">
        <f t="shared" si="85"/>
        <v>-175.4953367423912</v>
      </c>
      <c r="BQ120" s="66">
        <f t="shared" si="102"/>
        <v>23.526020430386772</v>
      </c>
      <c r="BR120" s="71"/>
      <c r="BS120" s="71"/>
      <c r="BT120" s="71">
        <v>1258.925</v>
      </c>
      <c r="BU120" s="71">
        <v>13.0792</v>
      </c>
      <c r="BV120" s="71">
        <v>-259.27199999999999</v>
      </c>
      <c r="BW120" s="75"/>
      <c r="BY120" s="71"/>
      <c r="BZ120" s="71"/>
      <c r="CA120" s="71"/>
      <c r="CC120" s="71"/>
    </row>
    <row r="121" spans="1:81" ht="13" x14ac:dyDescent="0.3">
      <c r="A121">
        <f t="shared" si="106"/>
        <v>43500</v>
      </c>
      <c r="B121">
        <f t="shared" si="86"/>
        <v>43.5</v>
      </c>
      <c r="C121">
        <f t="shared" si="55"/>
        <v>1.0000933744350338</v>
      </c>
      <c r="D121">
        <f t="shared" si="56"/>
        <v>1.3665077384227136E-2</v>
      </c>
      <c r="F121">
        <f t="shared" si="57"/>
        <v>4.0883682679805113E-2</v>
      </c>
      <c r="G121">
        <f t="shared" si="58"/>
        <v>6.4304762942858029E-2</v>
      </c>
      <c r="H121">
        <f t="shared" si="59"/>
        <v>-3.0772878870571421</v>
      </c>
      <c r="J121">
        <f t="shared" si="60"/>
        <v>15</v>
      </c>
      <c r="M121">
        <f t="shared" si="61"/>
        <v>2.5250064376344583E-2</v>
      </c>
      <c r="N121">
        <f t="shared" si="62"/>
        <v>-1.5707963250000001</v>
      </c>
      <c r="O121">
        <f t="shared" si="63"/>
        <v>15.013384303812842</v>
      </c>
      <c r="P121">
        <f t="shared" si="64"/>
        <v>1.5041397435445096</v>
      </c>
      <c r="Q121">
        <f t="shared" si="65"/>
        <v>5.8399110775616689</v>
      </c>
      <c r="R121">
        <f t="shared" si="66"/>
        <v>1.3987127884438331</v>
      </c>
      <c r="S121">
        <f t="shared" si="67"/>
        <v>0.99990248160989192</v>
      </c>
      <c r="T121">
        <f t="shared" si="68"/>
        <v>-1.3965670418709917E-2</v>
      </c>
      <c r="U121">
        <f t="shared" si="69"/>
        <v>0.97723499701275418</v>
      </c>
      <c r="V121">
        <f t="shared" si="70"/>
        <v>-0.2137844963108777</v>
      </c>
      <c r="X121">
        <f t="shared" si="87"/>
        <v>2.4557160292462923</v>
      </c>
      <c r="Y121">
        <f t="shared" si="71"/>
        <v>-112.26058174491486</v>
      </c>
      <c r="Z121">
        <f t="shared" si="88"/>
        <v>67.739418255085141</v>
      </c>
      <c r="AC121">
        <v>1</v>
      </c>
      <c r="AD121">
        <f t="shared" si="72"/>
        <v>14.980043666624402</v>
      </c>
      <c r="AE121">
        <f t="shared" si="73"/>
        <v>-4.094323971937925E-4</v>
      </c>
      <c r="AF121">
        <f t="shared" si="74"/>
        <v>1.8858980677950001E-3</v>
      </c>
      <c r="AG121">
        <f t="shared" si="89"/>
        <v>7475.7145323506538</v>
      </c>
      <c r="AH121">
        <f t="shared" si="90"/>
        <v>-2153.2445422486189</v>
      </c>
      <c r="AJ121">
        <f t="shared" si="75"/>
        <v>21000</v>
      </c>
      <c r="AK121">
        <f t="shared" si="76"/>
        <v>293.29814732620503</v>
      </c>
      <c r="AL121">
        <v>1</v>
      </c>
      <c r="AM121">
        <f t="shared" si="77"/>
        <v>5.7536563499941051</v>
      </c>
      <c r="AN121">
        <f t="shared" si="91"/>
        <v>665.23467303441396</v>
      </c>
      <c r="AO121">
        <f t="shared" si="92"/>
        <v>-3534.2335534145031</v>
      </c>
      <c r="AQ121">
        <f t="shared" si="78"/>
        <v>1.321003963011889</v>
      </c>
      <c r="AR121">
        <f t="shared" si="79"/>
        <v>-114.92734478203434</v>
      </c>
      <c r="AT121">
        <f t="shared" si="104"/>
        <v>-237591.22938345993</v>
      </c>
      <c r="AU121">
        <f t="shared" si="105"/>
        <v>-862008.46612517245</v>
      </c>
      <c r="AV121">
        <f t="shared" si="93"/>
        <v>-1.8397436596411305</v>
      </c>
      <c r="AW121">
        <f t="shared" si="94"/>
        <v>-398918.32768690307</v>
      </c>
      <c r="AX121">
        <f t="shared" si="95"/>
        <v>-105378.75863139523</v>
      </c>
      <c r="AY121">
        <f t="shared" si="103"/>
        <v>-2.8833308122340746</v>
      </c>
      <c r="BA121">
        <f t="shared" si="80"/>
        <v>2.1671052077429009</v>
      </c>
      <c r="BB121">
        <f t="shared" si="96"/>
        <v>6.7175999156725927</v>
      </c>
      <c r="BC121">
        <f t="shared" si="97"/>
        <v>1.0435871525929441</v>
      </c>
      <c r="BD121">
        <f t="shared" si="81"/>
        <v>-120.20686053402565</v>
      </c>
      <c r="BF121">
        <f t="shared" si="82"/>
        <v>2.4712362756834052</v>
      </c>
      <c r="BG121">
        <f t="shared" si="83"/>
        <v>-115.73951774887006</v>
      </c>
      <c r="BH121">
        <f t="shared" si="98"/>
        <v>64.260482251129943</v>
      </c>
      <c r="BI121">
        <f t="shared" si="99"/>
        <v>64.260482251129943</v>
      </c>
      <c r="BJ121">
        <f t="shared" si="84"/>
        <v>0</v>
      </c>
      <c r="BK121">
        <f t="shared" si="100"/>
        <v>0</v>
      </c>
      <c r="BM121">
        <f t="shared" si="101"/>
        <v>-4.2463636399891902</v>
      </c>
      <c r="BN121">
        <f t="shared" si="85"/>
        <v>-175.53265721484439</v>
      </c>
      <c r="BQ121" s="66">
        <f t="shared" si="102"/>
        <v>23.619560715957732</v>
      </c>
      <c r="BR121" s="71"/>
      <c r="BS121" s="71"/>
      <c r="BT121" s="71">
        <v>1288.25</v>
      </c>
      <c r="BU121" s="71">
        <v>12.807</v>
      </c>
      <c r="BV121" s="71">
        <v>-258.86099999999999</v>
      </c>
      <c r="BW121" s="75"/>
      <c r="BY121" s="71"/>
      <c r="BZ121" s="71"/>
      <c r="CA121" s="71"/>
      <c r="CC121" s="71"/>
    </row>
    <row r="122" spans="1:81" ht="13" x14ac:dyDescent="0.3">
      <c r="A122">
        <f t="shared" si="106"/>
        <v>44000</v>
      </c>
      <c r="B122">
        <f t="shared" si="86"/>
        <v>44</v>
      </c>
      <c r="C122">
        <f t="shared" si="55"/>
        <v>1.0000955332070873</v>
      </c>
      <c r="D122">
        <f t="shared" si="56"/>
        <v>1.3822127348033555E-2</v>
      </c>
      <c r="F122">
        <f t="shared" si="57"/>
        <v>3.9924507399162312E-2</v>
      </c>
      <c r="G122">
        <f t="shared" si="58"/>
        <v>6.3516831683087513E-2</v>
      </c>
      <c r="H122">
        <f t="shared" si="59"/>
        <v>-3.0780758183169126</v>
      </c>
      <c r="J122">
        <f t="shared" si="60"/>
        <v>15</v>
      </c>
      <c r="M122">
        <f t="shared" si="61"/>
        <v>2.4963131826613395E-2</v>
      </c>
      <c r="N122">
        <f t="shared" si="62"/>
        <v>-1.5707963250000001</v>
      </c>
      <c r="O122">
        <f t="shared" si="63"/>
        <v>15.185190670020214</v>
      </c>
      <c r="P122">
        <f t="shared" si="64"/>
        <v>1.5048950009929198</v>
      </c>
      <c r="Q122">
        <f t="shared" si="65"/>
        <v>5.9050791270848393</v>
      </c>
      <c r="R122">
        <f t="shared" si="66"/>
        <v>1.4006305427957018</v>
      </c>
      <c r="S122">
        <f t="shared" si="67"/>
        <v>0.99990022726132366</v>
      </c>
      <c r="T122">
        <f t="shared" si="68"/>
        <v>-1.4126174133168808E-2</v>
      </c>
      <c r="U122">
        <f t="shared" si="69"/>
        <v>0.97672688935084107</v>
      </c>
      <c r="V122">
        <f t="shared" si="70"/>
        <v>-0.2161663621858014</v>
      </c>
      <c r="X122">
        <f t="shared" si="87"/>
        <v>2.3409433039759375</v>
      </c>
      <c r="Y122">
        <f t="shared" si="71"/>
        <v>-112.28924333326951</v>
      </c>
      <c r="Z122">
        <f t="shared" si="88"/>
        <v>67.710756666730489</v>
      </c>
      <c r="AC122">
        <v>1</v>
      </c>
      <c r="AD122">
        <f t="shared" si="72"/>
        <v>15.152228076585601</v>
      </c>
      <c r="AE122">
        <f t="shared" si="73"/>
        <v>-4.1889872953741969E-4</v>
      </c>
      <c r="AF122">
        <f t="shared" si="74"/>
        <v>1.9075750570800001E-3</v>
      </c>
      <c r="AG122">
        <f t="shared" si="89"/>
        <v>7467.9426446304551</v>
      </c>
      <c r="AH122">
        <f t="shared" si="90"/>
        <v>-2164.1673656675839</v>
      </c>
      <c r="AJ122">
        <f t="shared" si="75"/>
        <v>21000</v>
      </c>
      <c r="AK122">
        <f t="shared" si="76"/>
        <v>296.66939039892003</v>
      </c>
      <c r="AL122">
        <v>1</v>
      </c>
      <c r="AM122">
        <f t="shared" si="77"/>
        <v>5.8197903310285204</v>
      </c>
      <c r="AN122">
        <f t="shared" si="91"/>
        <v>651.75165034603208</v>
      </c>
      <c r="AO122">
        <f t="shared" si="92"/>
        <v>-3496.3885625167982</v>
      </c>
      <c r="AQ122">
        <f t="shared" si="78"/>
        <v>1.2911555842479019</v>
      </c>
      <c r="AR122">
        <f t="shared" si="79"/>
        <v>-113.62169141381537</v>
      </c>
      <c r="AT122">
        <f t="shared" si="104"/>
        <v>-236254.08074127429</v>
      </c>
      <c r="AU122">
        <f t="shared" si="105"/>
        <v>-851314.55144370266</v>
      </c>
      <c r="AV122">
        <f t="shared" si="93"/>
        <v>-1.8415008675183839</v>
      </c>
      <c r="AW122">
        <f t="shared" si="94"/>
        <v>-390104.05928945681</v>
      </c>
      <c r="AX122">
        <f t="shared" si="95"/>
        <v>-102575.61503971768</v>
      </c>
      <c r="AY122">
        <f t="shared" si="103"/>
        <v>-2.8844687669602029</v>
      </c>
      <c r="BA122">
        <f t="shared" si="80"/>
        <v>2.1902987494827051</v>
      </c>
      <c r="BB122">
        <f t="shared" si="96"/>
        <v>6.8100671041356726</v>
      </c>
      <c r="BC122">
        <f t="shared" si="97"/>
        <v>1.042967899441819</v>
      </c>
      <c r="BD122">
        <f t="shared" si="81"/>
        <v>-120.24234112607584</v>
      </c>
      <c r="BF122">
        <f t="shared" si="82"/>
        <v>2.3575133642058206</v>
      </c>
      <c r="BG122">
        <f t="shared" si="83"/>
        <v>-115.81114517659401</v>
      </c>
      <c r="BH122">
        <f t="shared" si="98"/>
        <v>64.18885482340599</v>
      </c>
      <c r="BI122">
        <f t="shared" si="99"/>
        <v>64.18885482340599</v>
      </c>
      <c r="BJ122">
        <f t="shared" si="84"/>
        <v>0</v>
      </c>
      <c r="BK122">
        <f t="shared" si="100"/>
        <v>0</v>
      </c>
      <c r="BM122">
        <f t="shared" si="101"/>
        <v>-4.4525537399298516</v>
      </c>
      <c r="BN122">
        <f t="shared" si="85"/>
        <v>-175.5688040505182</v>
      </c>
      <c r="BQ122" s="66">
        <f t="shared" si="102"/>
        <v>23.712027904420808</v>
      </c>
      <c r="BR122" s="71"/>
      <c r="BS122" s="71"/>
      <c r="BT122" s="71">
        <v>1318.2570000000001</v>
      </c>
      <c r="BU122" s="71">
        <v>12.682600000000001</v>
      </c>
      <c r="BV122" s="71">
        <v>-258.68299999999999</v>
      </c>
      <c r="BW122" s="75"/>
      <c r="BY122" s="71"/>
      <c r="BZ122" s="71"/>
      <c r="CA122" s="71"/>
      <c r="CC122" s="71"/>
    </row>
    <row r="123" spans="1:81" ht="13" x14ac:dyDescent="0.3">
      <c r="A123">
        <f t="shared" si="106"/>
        <v>44500</v>
      </c>
      <c r="B123">
        <f t="shared" si="86"/>
        <v>44.5</v>
      </c>
      <c r="C123">
        <f t="shared" si="55"/>
        <v>1.0000977166460814</v>
      </c>
      <c r="D123">
        <f t="shared" si="56"/>
        <v>1.3979176629962512E-2</v>
      </c>
      <c r="F123">
        <f t="shared" si="57"/>
        <v>3.8999086745814385E-2</v>
      </c>
      <c r="G123">
        <f t="shared" si="58"/>
        <v>6.2748595410896821E-2</v>
      </c>
      <c r="H123">
        <f t="shared" si="59"/>
        <v>-3.0788440545891036</v>
      </c>
      <c r="J123">
        <f t="shared" si="60"/>
        <v>15</v>
      </c>
      <c r="M123">
        <f t="shared" si="61"/>
        <v>2.4682647199348078E-2</v>
      </c>
      <c r="N123">
        <f t="shared" si="62"/>
        <v>-1.5707963250000001</v>
      </c>
      <c r="O123">
        <f t="shared" si="63"/>
        <v>15.357005504258684</v>
      </c>
      <c r="P123">
        <f t="shared" si="64"/>
        <v>1.5056333591494271</v>
      </c>
      <c r="Q123">
        <f t="shared" si="65"/>
        <v>5.9702684200405551</v>
      </c>
      <c r="R123">
        <f t="shared" si="66"/>
        <v>1.4025064240457672</v>
      </c>
      <c r="S123">
        <f t="shared" si="67"/>
        <v>0.99989794716428204</v>
      </c>
      <c r="T123">
        <f t="shared" si="68"/>
        <v>-1.4286677119761348E-2</v>
      </c>
      <c r="U123">
        <f t="shared" si="69"/>
        <v>0.97621378010023796</v>
      </c>
      <c r="V123">
        <f t="shared" si="70"/>
        <v>-0.21854573899073174</v>
      </c>
      <c r="X123">
        <f t="shared" si="87"/>
        <v>2.227617506073901</v>
      </c>
      <c r="Y123">
        <f t="shared" si="71"/>
        <v>-112.32000127623137</v>
      </c>
      <c r="Z123">
        <f t="shared" si="88"/>
        <v>67.679998723768634</v>
      </c>
      <c r="AC123">
        <v>1</v>
      </c>
      <c r="AD123">
        <f t="shared" si="72"/>
        <v>15.324412486546802</v>
      </c>
      <c r="AE123">
        <f t="shared" si="73"/>
        <v>-4.2847324853640252E-4</v>
      </c>
      <c r="AF123">
        <f t="shared" si="74"/>
        <v>1.9292520463650002E-3</v>
      </c>
      <c r="AG123">
        <f t="shared" si="89"/>
        <v>7460.0983557365435</v>
      </c>
      <c r="AH123">
        <f t="shared" si="90"/>
        <v>-2175.1707273242273</v>
      </c>
      <c r="AJ123">
        <f t="shared" si="75"/>
        <v>21000</v>
      </c>
      <c r="AK123">
        <f t="shared" si="76"/>
        <v>300.04063347163503</v>
      </c>
      <c r="AL123">
        <v>1</v>
      </c>
      <c r="AM123">
        <f t="shared" si="77"/>
        <v>5.8859243120629348</v>
      </c>
      <c r="AN123">
        <f t="shared" si="91"/>
        <v>638.70355152622039</v>
      </c>
      <c r="AO123">
        <f t="shared" si="92"/>
        <v>-3459.3201286574867</v>
      </c>
      <c r="AQ123">
        <f t="shared" si="78"/>
        <v>1.2623074981065388</v>
      </c>
      <c r="AR123">
        <f t="shared" si="79"/>
        <v>-112.34536733148195</v>
      </c>
      <c r="AT123">
        <f t="shared" si="104"/>
        <v>-234953.41627886859</v>
      </c>
      <c r="AU123">
        <f t="shared" si="105"/>
        <v>-840853.22442296974</v>
      </c>
      <c r="AV123">
        <f t="shared" si="93"/>
        <v>-1.8432695511731352</v>
      </c>
      <c r="AW123">
        <f t="shared" si="94"/>
        <v>-381573.42875896342</v>
      </c>
      <c r="AX123">
        <f t="shared" si="95"/>
        <v>-99887.373486526863</v>
      </c>
      <c r="AY123">
        <f t="shared" si="103"/>
        <v>-2.8855602811460925</v>
      </c>
      <c r="BA123">
        <f t="shared" si="80"/>
        <v>2.2134723794782607</v>
      </c>
      <c r="BB123">
        <f t="shared" si="96"/>
        <v>6.9014821412508462</v>
      </c>
      <c r="BC123">
        <f t="shared" si="97"/>
        <v>1.0422907299729574</v>
      </c>
      <c r="BD123">
        <f t="shared" si="81"/>
        <v>-120.28114007870107</v>
      </c>
      <c r="BF123">
        <f t="shared" si="82"/>
        <v>2.2452447795359989</v>
      </c>
      <c r="BG123">
        <f t="shared" si="83"/>
        <v>-115.8849625642946</v>
      </c>
      <c r="BH123">
        <f t="shared" si="98"/>
        <v>64.115037435705403</v>
      </c>
      <c r="BI123">
        <f t="shared" si="99"/>
        <v>64.115037435705403</v>
      </c>
      <c r="BJ123">
        <f t="shared" si="84"/>
        <v>0</v>
      </c>
      <c r="BK123">
        <f t="shared" si="100"/>
        <v>0</v>
      </c>
      <c r="BM123">
        <f t="shared" si="101"/>
        <v>-4.6562373617148491</v>
      </c>
      <c r="BN123">
        <f t="shared" si="85"/>
        <v>-175.60382248559353</v>
      </c>
      <c r="BQ123" s="66">
        <f t="shared" si="102"/>
        <v>23.803442941535984</v>
      </c>
      <c r="BR123" s="71"/>
      <c r="BS123" s="71"/>
      <c r="BT123" s="71">
        <v>1348.963</v>
      </c>
      <c r="BU123" s="71">
        <v>12.475899999999999</v>
      </c>
      <c r="BV123" s="71">
        <v>-258.79700000000003</v>
      </c>
      <c r="BW123" s="75"/>
      <c r="BY123" s="71"/>
      <c r="BZ123" s="71"/>
      <c r="CA123" s="71"/>
      <c r="CC123" s="71"/>
    </row>
    <row r="124" spans="1:81" ht="13" x14ac:dyDescent="0.3">
      <c r="A124">
        <f t="shared" si="106"/>
        <v>45000</v>
      </c>
      <c r="B124">
        <f t="shared" si="86"/>
        <v>45</v>
      </c>
      <c r="C124">
        <f t="shared" si="55"/>
        <v>1.0000999247518547</v>
      </c>
      <c r="D124">
        <f t="shared" si="56"/>
        <v>1.4136225222271422E-2</v>
      </c>
      <c r="F124">
        <f t="shared" si="57"/>
        <v>3.8105838076421462E-2</v>
      </c>
      <c r="G124">
        <f t="shared" si="58"/>
        <v>6.1999305499916016E-2</v>
      </c>
      <c r="H124">
        <f t="shared" si="59"/>
        <v>-3.079593344500084</v>
      </c>
      <c r="J124">
        <f t="shared" si="60"/>
        <v>15</v>
      </c>
      <c r="M124">
        <f t="shared" si="61"/>
        <v>2.4408395563799767E-2</v>
      </c>
      <c r="N124">
        <f t="shared" si="62"/>
        <v>-1.5707963250000001</v>
      </c>
      <c r="O124">
        <f t="shared" si="63"/>
        <v>15.528828525451024</v>
      </c>
      <c r="P124">
        <f t="shared" si="64"/>
        <v>1.5063553781559709</v>
      </c>
      <c r="Q124">
        <f t="shared" si="65"/>
        <v>6.0354782680769343</v>
      </c>
      <c r="R124">
        <f t="shared" si="66"/>
        <v>1.4043417760170511</v>
      </c>
      <c r="S124">
        <f t="shared" si="67"/>
        <v>0.99989564131929509</v>
      </c>
      <c r="T124">
        <f t="shared" si="68"/>
        <v>-1.4447179370223044E-2</v>
      </c>
      <c r="U124">
        <f t="shared" si="69"/>
        <v>0.97569569455493321</v>
      </c>
      <c r="V124">
        <f t="shared" si="70"/>
        <v>-0.22092260372639433</v>
      </c>
      <c r="X124">
        <f t="shared" si="87"/>
        <v>2.1156970579661367</v>
      </c>
      <c r="Y124">
        <f t="shared" si="71"/>
        <v>-112.35278805998398</v>
      </c>
      <c r="Z124">
        <f t="shared" si="88"/>
        <v>67.647211940016021</v>
      </c>
      <c r="AC124">
        <v>1</v>
      </c>
      <c r="AD124">
        <f t="shared" si="72"/>
        <v>15.496596896508001</v>
      </c>
      <c r="AE124">
        <f t="shared" si="73"/>
        <v>-4.381559541907412E-4</v>
      </c>
      <c r="AF124">
        <f t="shared" si="74"/>
        <v>1.9509290356500002E-3</v>
      </c>
      <c r="AG124">
        <f t="shared" si="89"/>
        <v>7452.1821725884201</v>
      </c>
      <c r="AH124">
        <f t="shared" si="90"/>
        <v>-2186.2496855056788</v>
      </c>
      <c r="AJ124">
        <f t="shared" si="75"/>
        <v>21000</v>
      </c>
      <c r="AK124">
        <f t="shared" si="76"/>
        <v>303.41187654435004</v>
      </c>
      <c r="AL124">
        <v>1</v>
      </c>
      <c r="AM124">
        <f t="shared" si="77"/>
        <v>5.95205829309735</v>
      </c>
      <c r="AN124">
        <f t="shared" si="91"/>
        <v>626.07204753251858</v>
      </c>
      <c r="AO124">
        <f t="shared" si="92"/>
        <v>-3423.0054460480146</v>
      </c>
      <c r="AQ124">
        <f t="shared" si="78"/>
        <v>1.2344155042587335</v>
      </c>
      <c r="AR124">
        <f t="shared" si="79"/>
        <v>-111.09739538328601</v>
      </c>
      <c r="AT124">
        <f t="shared" si="104"/>
        <v>-233687.55650280541</v>
      </c>
      <c r="AU124">
        <f t="shared" si="105"/>
        <v>-830616.76980430004</v>
      </c>
      <c r="AV124">
        <f t="shared" si="93"/>
        <v>-1.8450492252626092</v>
      </c>
      <c r="AW124">
        <f t="shared" si="94"/>
        <v>-373314.52992871206</v>
      </c>
      <c r="AX124">
        <f t="shared" si="95"/>
        <v>-97308.046580950395</v>
      </c>
      <c r="AY124">
        <f t="shared" si="103"/>
        <v>-2.8866067833594435</v>
      </c>
      <c r="BA124">
        <f t="shared" si="80"/>
        <v>2.2366254825844352</v>
      </c>
      <c r="BB124">
        <f t="shared" si="96"/>
        <v>6.9918653729121392</v>
      </c>
      <c r="BC124">
        <f t="shared" si="97"/>
        <v>1.0415575580968344</v>
      </c>
      <c r="BD124">
        <f t="shared" si="81"/>
        <v>-120.32314773290861</v>
      </c>
      <c r="BF124">
        <f t="shared" si="82"/>
        <v>2.134388799512724</v>
      </c>
      <c r="BG124">
        <f t="shared" si="83"/>
        <v>-115.96090314655403</v>
      </c>
      <c r="BH124">
        <f t="shared" si="98"/>
        <v>64.039096853445969</v>
      </c>
      <c r="BI124">
        <f t="shared" si="99"/>
        <v>64.039096853445969</v>
      </c>
      <c r="BJ124">
        <f t="shared" si="84"/>
        <v>0</v>
      </c>
      <c r="BK124">
        <f t="shared" si="100"/>
        <v>0</v>
      </c>
      <c r="BM124">
        <f t="shared" si="101"/>
        <v>-4.8574765733994134</v>
      </c>
      <c r="BN124">
        <f t="shared" si="85"/>
        <v>-175.63775541364546</v>
      </c>
      <c r="BQ124" s="66">
        <f t="shared" si="102"/>
        <v>23.893826173197276</v>
      </c>
      <c r="BR124" s="71"/>
      <c r="BS124" s="71"/>
      <c r="BT124" s="71">
        <v>1380.384</v>
      </c>
      <c r="BU124" s="71">
        <v>12.2584</v>
      </c>
      <c r="BV124" s="71">
        <v>-258.41000000000003</v>
      </c>
      <c r="BW124" s="75"/>
      <c r="BY124" s="71"/>
      <c r="BZ124" s="71"/>
      <c r="CA124" s="71"/>
      <c r="CC124" s="71"/>
    </row>
    <row r="125" spans="1:81" ht="13" x14ac:dyDescent="0.3">
      <c r="A125">
        <f t="shared" si="106"/>
        <v>45500</v>
      </c>
      <c r="B125">
        <f t="shared" si="86"/>
        <v>45.5</v>
      </c>
      <c r="C125">
        <f t="shared" si="55"/>
        <v>1.0001021575242435</v>
      </c>
      <c r="D125">
        <f t="shared" si="56"/>
        <v>1.4293273117217902E-2</v>
      </c>
      <c r="F125">
        <f t="shared" si="57"/>
        <v>3.7243271358797431E-2</v>
      </c>
      <c r="G125">
        <f t="shared" si="58"/>
        <v>6.1268251557203036E-2</v>
      </c>
      <c r="H125">
        <f t="shared" si="59"/>
        <v>-3.080324398442797</v>
      </c>
      <c r="J125">
        <f t="shared" si="60"/>
        <v>15</v>
      </c>
      <c r="M125">
        <f t="shared" si="61"/>
        <v>2.4140171436725043E-2</v>
      </c>
      <c r="N125">
        <f t="shared" si="62"/>
        <v>-1.5707963250000001</v>
      </c>
      <c r="O125">
        <f t="shared" si="63"/>
        <v>15.700659464810983</v>
      </c>
      <c r="P125">
        <f t="shared" si="64"/>
        <v>1.5070615937032106</v>
      </c>
      <c r="Q125">
        <f t="shared" si="65"/>
        <v>6.1007080120605082</v>
      </c>
      <c r="R125">
        <f t="shared" si="66"/>
        <v>1.4061378861786755</v>
      </c>
      <c r="S125">
        <f t="shared" si="67"/>
        <v>0.99989330972689794</v>
      </c>
      <c r="T125">
        <f t="shared" si="68"/>
        <v>-1.4607680876289631E-2</v>
      </c>
      <c r="U125">
        <f t="shared" si="69"/>
        <v>0.97517265818086352</v>
      </c>
      <c r="V125">
        <f t="shared" si="70"/>
        <v>-0.22329693355558586</v>
      </c>
      <c r="X125">
        <f t="shared" si="87"/>
        <v>2.0051421394910802</v>
      </c>
      <c r="Y125">
        <f t="shared" si="71"/>
        <v>-112.38753861917849</v>
      </c>
      <c r="Z125">
        <f t="shared" si="88"/>
        <v>67.612461380821514</v>
      </c>
      <c r="AC125">
        <v>1</v>
      </c>
      <c r="AD125">
        <f t="shared" si="72"/>
        <v>15.668781306469201</v>
      </c>
      <c r="AE125">
        <f t="shared" si="73"/>
        <v>-4.4794684650043546E-4</v>
      </c>
      <c r="AF125">
        <f t="shared" si="74"/>
        <v>1.9726060249350003E-3</v>
      </c>
      <c r="AG125">
        <f t="shared" si="89"/>
        <v>7444.1946050771639</v>
      </c>
      <c r="AH125">
        <f t="shared" si="90"/>
        <v>-2197.3995026313987</v>
      </c>
      <c r="AJ125">
        <f t="shared" si="75"/>
        <v>21000</v>
      </c>
      <c r="AK125">
        <f t="shared" si="76"/>
        <v>306.78311961706504</v>
      </c>
      <c r="AL125">
        <v>1</v>
      </c>
      <c r="AM125">
        <f t="shared" si="77"/>
        <v>6.0181922741317653</v>
      </c>
      <c r="AN125">
        <f t="shared" si="91"/>
        <v>613.83975544252428</v>
      </c>
      <c r="AO125">
        <f t="shared" si="92"/>
        <v>-3387.4225541420665</v>
      </c>
      <c r="AQ125">
        <f t="shared" si="78"/>
        <v>1.2074378169524269</v>
      </c>
      <c r="AR125">
        <f t="shared" si="79"/>
        <v>-109.87684134267086</v>
      </c>
      <c r="AT125">
        <f t="shared" si="104"/>
        <v>-232454.91443417067</v>
      </c>
      <c r="AU125">
        <f t="shared" si="105"/>
        <v>-820597.81280445948</v>
      </c>
      <c r="AV125">
        <f t="shared" si="93"/>
        <v>-1.8468394247594349</v>
      </c>
      <c r="AW125">
        <f t="shared" si="94"/>
        <v>-365316.06820714759</v>
      </c>
      <c r="AX125">
        <f t="shared" si="95"/>
        <v>-94832.020153201534</v>
      </c>
      <c r="AY125">
        <f t="shared" si="103"/>
        <v>-2.8876096417110078</v>
      </c>
      <c r="BA125">
        <f t="shared" si="80"/>
        <v>2.2597574576235124</v>
      </c>
      <c r="BB125">
        <f t="shared" si="96"/>
        <v>7.0812365664136134</v>
      </c>
      <c r="BC125">
        <f t="shared" si="97"/>
        <v>1.0407702169515729</v>
      </c>
      <c r="BD125">
        <f t="shared" si="81"/>
        <v>-120.36825905762063</v>
      </c>
      <c r="BF125">
        <f t="shared" si="82"/>
        <v>2.0249054584026842</v>
      </c>
      <c r="BG125">
        <f t="shared" si="83"/>
        <v>-116.03890259525564</v>
      </c>
      <c r="BH125">
        <f t="shared" si="98"/>
        <v>63.961097404744365</v>
      </c>
      <c r="BI125">
        <f t="shared" si="99"/>
        <v>63.961097404744365</v>
      </c>
      <c r="BJ125">
        <f t="shared" si="84"/>
        <v>0</v>
      </c>
      <c r="BK125">
        <f t="shared" si="100"/>
        <v>0</v>
      </c>
      <c r="BM125">
        <f t="shared" si="101"/>
        <v>-5.0563311080109283</v>
      </c>
      <c r="BN125">
        <f t="shared" si="85"/>
        <v>-175.67064353763502</v>
      </c>
      <c r="BQ125" s="66">
        <f t="shared" si="102"/>
        <v>23.983197366698754</v>
      </c>
      <c r="BR125" s="71"/>
      <c r="BS125" s="71"/>
      <c r="BT125" s="71">
        <v>1412.538</v>
      </c>
      <c r="BU125" s="71">
        <v>12.0929</v>
      </c>
      <c r="BV125" s="71">
        <v>-258.13599999999997</v>
      </c>
      <c r="BW125" s="75"/>
      <c r="BY125" s="71"/>
      <c r="BZ125" s="71"/>
      <c r="CA125" s="71"/>
      <c r="CC125" s="71"/>
    </row>
    <row r="126" spans="1:81" ht="13" x14ac:dyDescent="0.3">
      <c r="A126">
        <f t="shared" si="106"/>
        <v>46000</v>
      </c>
      <c r="B126">
        <f t="shared" si="86"/>
        <v>46</v>
      </c>
      <c r="C126">
        <f t="shared" si="55"/>
        <v>1.0001044149630827</v>
      </c>
      <c r="D126">
        <f t="shared" si="56"/>
        <v>1.445032030705978E-2</v>
      </c>
      <c r="F126">
        <f t="shared" si="57"/>
        <v>3.6409982684460038E-2</v>
      </c>
      <c r="G126">
        <f t="shared" si="58"/>
        <v>6.0554758976605907E-2</v>
      </c>
      <c r="H126">
        <f t="shared" si="59"/>
        <v>-3.0810378910233944</v>
      </c>
      <c r="J126">
        <f t="shared" si="60"/>
        <v>15</v>
      </c>
      <c r="M126">
        <f t="shared" si="61"/>
        <v>2.3877778268934551E-2</v>
      </c>
      <c r="N126">
        <f t="shared" si="62"/>
        <v>-1.5707963250000001</v>
      </c>
      <c r="O126">
        <f t="shared" si="63"/>
        <v>15.872498065179386</v>
      </c>
      <c r="P126">
        <f t="shared" si="64"/>
        <v>1.5077525183485314</v>
      </c>
      <c r="Q126">
        <f t="shared" si="65"/>
        <v>6.1659570205528125</v>
      </c>
      <c r="R126">
        <f t="shared" si="66"/>
        <v>1.4078959885409454</v>
      </c>
      <c r="S126">
        <f t="shared" si="67"/>
        <v>0.9998909523876307</v>
      </c>
      <c r="T126">
        <f t="shared" si="68"/>
        <v>-1.4768181629697071E-2</v>
      </c>
      <c r="U126">
        <f t="shared" si="69"/>
        <v>0.97464469661268049</v>
      </c>
      <c r="V126">
        <f t="shared" si="70"/>
        <v>-0.22566870580410919</v>
      </c>
      <c r="X126">
        <f t="shared" si="87"/>
        <v>1.8959145903882224</v>
      </c>
      <c r="Y126">
        <f t="shared" si="71"/>
        <v>-112.42419023577725</v>
      </c>
      <c r="Z126">
        <f t="shared" si="88"/>
        <v>67.575809764222754</v>
      </c>
      <c r="AC126">
        <v>1</v>
      </c>
      <c r="AD126">
        <f t="shared" si="72"/>
        <v>15.8409657164304</v>
      </c>
      <c r="AE126">
        <f t="shared" si="73"/>
        <v>-4.5784592546548562E-4</v>
      </c>
      <c r="AF126">
        <f t="shared" si="74"/>
        <v>1.9942830142200001E-3</v>
      </c>
      <c r="AG126">
        <f t="shared" si="89"/>
        <v>7436.136165989371</v>
      </c>
      <c r="AH126">
        <f t="shared" si="90"/>
        <v>-2208.6156344903193</v>
      </c>
      <c r="AJ126">
        <f t="shared" si="75"/>
        <v>21000</v>
      </c>
      <c r="AK126">
        <f t="shared" si="76"/>
        <v>310.15436268978004</v>
      </c>
      <c r="AL126">
        <v>1</v>
      </c>
      <c r="AM126">
        <f t="shared" si="77"/>
        <v>6.0843262551661805</v>
      </c>
      <c r="AN126">
        <f t="shared" si="91"/>
        <v>601.99018103531216</v>
      </c>
      <c r="AO126">
        <f t="shared" si="92"/>
        <v>-3352.5503011356122</v>
      </c>
      <c r="AQ126">
        <f t="shared" si="78"/>
        <v>1.1813349084465445</v>
      </c>
      <c r="AR126">
        <f t="shared" si="79"/>
        <v>-108.68281157708211</v>
      </c>
      <c r="AT126">
        <f t="shared" si="104"/>
        <v>-231253.98961266392</v>
      </c>
      <c r="AU126">
        <f t="shared" si="105"/>
        <v>-810789.30053811276</v>
      </c>
      <c r="AV126">
        <f t="shared" si="93"/>
        <v>-1.8486397038681006</v>
      </c>
      <c r="AW126">
        <f t="shared" si="94"/>
        <v>-357567.32368774526</v>
      </c>
      <c r="AX126">
        <f t="shared" si="95"/>
        <v>-92454.026367539671</v>
      </c>
      <c r="AY126">
        <f t="shared" si="103"/>
        <v>-2.8885701669834005</v>
      </c>
      <c r="BA126">
        <f t="shared" si="80"/>
        <v>2.2828677166970053</v>
      </c>
      <c r="BB126">
        <f t="shared" si="96"/>
        <v>7.1696149308734238</v>
      </c>
      <c r="BC126">
        <f t="shared" si="97"/>
        <v>1.0399304631152999</v>
      </c>
      <c r="BD126">
        <f t="shared" si="81"/>
        <v>-120.41637340832398</v>
      </c>
      <c r="BF126">
        <f t="shared" si="82"/>
        <v>1.9167564494080618</v>
      </c>
      <c r="BG126">
        <f t="shared" si="83"/>
        <v>-116.11889891841523</v>
      </c>
      <c r="BH126">
        <f t="shared" si="98"/>
        <v>63.881101081584774</v>
      </c>
      <c r="BI126">
        <f t="shared" si="99"/>
        <v>63.881101081584774</v>
      </c>
      <c r="BJ126">
        <f t="shared" si="84"/>
        <v>0</v>
      </c>
      <c r="BK126">
        <f t="shared" si="100"/>
        <v>0</v>
      </c>
      <c r="BM126">
        <f t="shared" si="101"/>
        <v>-5.2528584814653616</v>
      </c>
      <c r="BN126">
        <f t="shared" si="85"/>
        <v>-175.70252551009125</v>
      </c>
      <c r="BQ126" s="66">
        <f t="shared" si="102"/>
        <v>24.071575731158561</v>
      </c>
      <c r="BR126" s="71"/>
      <c r="BS126" s="71"/>
      <c r="BT126" s="71">
        <v>1445.44</v>
      </c>
      <c r="BU126" s="71">
        <v>11.918900000000001</v>
      </c>
      <c r="BV126" s="71">
        <v>-257.92899999999997</v>
      </c>
      <c r="BW126" s="75"/>
      <c r="BY126" s="71"/>
      <c r="BZ126" s="71"/>
      <c r="CA126" s="71"/>
      <c r="CC126" s="71"/>
    </row>
    <row r="127" spans="1:81" ht="13" x14ac:dyDescent="0.3">
      <c r="A127">
        <f t="shared" si="106"/>
        <v>46500</v>
      </c>
      <c r="B127">
        <f t="shared" si="86"/>
        <v>46.5</v>
      </c>
      <c r="C127">
        <f t="shared" si="55"/>
        <v>1.0001066970682053</v>
      </c>
      <c r="D127">
        <f t="shared" si="56"/>
        <v>1.4607366784055088E-2</v>
      </c>
      <c r="F127">
        <f t="shared" si="57"/>
        <v>3.5604648309637887E-2</v>
      </c>
      <c r="G127">
        <f t="shared" si="58"/>
        <v>5.9858186679658039E-2</v>
      </c>
      <c r="H127">
        <f t="shared" si="59"/>
        <v>-3.0817344633203421</v>
      </c>
      <c r="J127">
        <f t="shared" si="60"/>
        <v>15</v>
      </c>
      <c r="M127">
        <f t="shared" si="61"/>
        <v>2.3621027964967515E-2</v>
      </c>
      <c r="N127">
        <f t="shared" si="62"/>
        <v>-1.5707963250000001</v>
      </c>
      <c r="O127">
        <f t="shared" si="63"/>
        <v>16.044344080402769</v>
      </c>
      <c r="P127">
        <f t="shared" si="64"/>
        <v>1.5084286427498212</v>
      </c>
      <c r="Q127">
        <f t="shared" si="65"/>
        <v>6.2312246883806628</v>
      </c>
      <c r="R127">
        <f t="shared" si="66"/>
        <v>1.4096172663755391</v>
      </c>
      <c r="S127">
        <f t="shared" si="67"/>
        <v>0.99988856930204006</v>
      </c>
      <c r="T127">
        <f t="shared" si="68"/>
        <v>-1.4928681622181559E-2</v>
      </c>
      <c r="U127">
        <f t="shared" si="69"/>
        <v>0.97411183565051573</v>
      </c>
      <c r="V127">
        <f t="shared" si="70"/>
        <v>-0.22803789796168444</v>
      </c>
      <c r="X127">
        <f t="shared" si="87"/>
        <v>1.7879778194319091</v>
      </c>
      <c r="Y127">
        <f t="shared" si="71"/>
        <v>-112.46268244199729</v>
      </c>
      <c r="Z127">
        <f t="shared" si="88"/>
        <v>67.537317558002712</v>
      </c>
      <c r="AC127">
        <v>1</v>
      </c>
      <c r="AD127">
        <f t="shared" si="72"/>
        <v>16.013150126391601</v>
      </c>
      <c r="AE127">
        <f t="shared" si="73"/>
        <v>-4.6785319108589148E-4</v>
      </c>
      <c r="AF127">
        <f t="shared" si="74"/>
        <v>2.0159600035049999E-3</v>
      </c>
      <c r="AG127">
        <f t="shared" si="89"/>
        <v>7428.0073709310764</v>
      </c>
      <c r="AH127">
        <f t="shared" si="90"/>
        <v>-2219.8937201724734</v>
      </c>
      <c r="AJ127">
        <f t="shared" si="75"/>
        <v>21000</v>
      </c>
      <c r="AK127">
        <f t="shared" si="76"/>
        <v>313.52560576249499</v>
      </c>
      <c r="AL127">
        <v>1</v>
      </c>
      <c r="AM127">
        <f t="shared" si="77"/>
        <v>6.1504602362005949</v>
      </c>
      <c r="AN127">
        <f t="shared" si="91"/>
        <v>590.50766535488333</v>
      </c>
      <c r="AO127">
        <f t="shared" si="92"/>
        <v>-3318.3683091743624</v>
      </c>
      <c r="AQ127">
        <f t="shared" si="78"/>
        <v>1.1560693641618498</v>
      </c>
      <c r="AR127">
        <f t="shared" si="79"/>
        <v>-107.51445086705202</v>
      </c>
      <c r="AT127">
        <f t="shared" si="104"/>
        <v>-230083.36254925889</v>
      </c>
      <c r="AU127">
        <f t="shared" si="105"/>
        <v>-801184.48464365606</v>
      </c>
      <c r="AV127">
        <f t="shared" si="93"/>
        <v>-1.850449635010555</v>
      </c>
      <c r="AW127">
        <f t="shared" si="94"/>
        <v>-350058.11679794273</v>
      </c>
      <c r="AX127">
        <f t="shared" si="95"/>
        <v>-90169.119022701576</v>
      </c>
      <c r="AY127">
        <f t="shared" si="103"/>
        <v>-2.8894896155699823</v>
      </c>
      <c r="BA127">
        <f t="shared" si="80"/>
        <v>2.3059556845413067</v>
      </c>
      <c r="BB127">
        <f t="shared" si="96"/>
        <v>7.2570191368483217</v>
      </c>
      <c r="BC127">
        <f t="shared" si="97"/>
        <v>1.0390399805594273</v>
      </c>
      <c r="BD127">
        <f t="shared" si="81"/>
        <v>-120.4673943005638</v>
      </c>
      <c r="BF127">
        <f t="shared" si="82"/>
        <v>1.8099050338193845</v>
      </c>
      <c r="BG127">
        <f t="shared" si="83"/>
        <v>-116.20083236311199</v>
      </c>
      <c r="BH127">
        <f t="shared" si="98"/>
        <v>63.799167636888015</v>
      </c>
      <c r="BI127">
        <f t="shared" si="99"/>
        <v>63.799167636888015</v>
      </c>
      <c r="BJ127">
        <f t="shared" si="84"/>
        <v>0</v>
      </c>
      <c r="BK127">
        <f t="shared" si="100"/>
        <v>0</v>
      </c>
      <c r="BM127">
        <f t="shared" si="101"/>
        <v>-5.4471141030289383</v>
      </c>
      <c r="BN127">
        <f t="shared" si="85"/>
        <v>-175.73343806254817</v>
      </c>
      <c r="BQ127" s="66">
        <f t="shared" si="102"/>
        <v>24.158979937133459</v>
      </c>
      <c r="BR127" s="71"/>
      <c r="BS127" s="71"/>
      <c r="BT127" s="71">
        <v>1479.1079999999999</v>
      </c>
      <c r="BU127" s="71">
        <v>11.714700000000001</v>
      </c>
      <c r="BV127" s="71">
        <v>-257.745</v>
      </c>
      <c r="BW127" s="75"/>
      <c r="BY127" s="71"/>
      <c r="BZ127" s="71"/>
      <c r="CA127" s="71"/>
      <c r="CC127" s="71"/>
    </row>
    <row r="128" spans="1:81" ht="13" x14ac:dyDescent="0.3">
      <c r="A128">
        <f t="shared" si="106"/>
        <v>47000</v>
      </c>
      <c r="B128">
        <f t="shared" si="86"/>
        <v>47</v>
      </c>
      <c r="C128">
        <f t="shared" si="55"/>
        <v>1.0001090038394425</v>
      </c>
      <c r="D128">
        <f t="shared" si="56"/>
        <v>1.476441254046207E-2</v>
      </c>
      <c r="F128">
        <f t="shared" si="57"/>
        <v>3.482601917573911E-2</v>
      </c>
      <c r="G128">
        <f t="shared" si="58"/>
        <v>5.9177925027320645E-2</v>
      </c>
      <c r="H128">
        <f t="shared" si="59"/>
        <v>-3.0824147249726797</v>
      </c>
      <c r="J128">
        <f t="shared" si="60"/>
        <v>15</v>
      </c>
      <c r="M128">
        <f t="shared" si="61"/>
        <v>2.3369740433425306E-2</v>
      </c>
      <c r="N128">
        <f t="shared" si="62"/>
        <v>-1.5707963250000001</v>
      </c>
      <c r="O128">
        <f t="shared" si="63"/>
        <v>16.216197274751401</v>
      </c>
      <c r="P128">
        <f t="shared" si="64"/>
        <v>1.5090904368212161</v>
      </c>
      <c r="Q128">
        <f t="shared" si="65"/>
        <v>6.2965104352934871</v>
      </c>
      <c r="R128">
        <f t="shared" si="66"/>
        <v>1.4113028547728783</v>
      </c>
      <c r="S128">
        <f t="shared" si="67"/>
        <v>0.99988616047067813</v>
      </c>
      <c r="T128">
        <f t="shared" si="68"/>
        <v>-1.5089180845479527E-2</v>
      </c>
      <c r="U128">
        <f t="shared" si="69"/>
        <v>0.9735741012567386</v>
      </c>
      <c r="V128">
        <f t="shared" si="70"/>
        <v>-0.23040448768283542</v>
      </c>
      <c r="X128">
        <f t="shared" si="87"/>
        <v>1.6812967196778881</v>
      </c>
      <c r="Y128">
        <f t="shared" si="71"/>
        <v>-112.50295692726388</v>
      </c>
      <c r="Z128">
        <f t="shared" si="88"/>
        <v>67.497043072736119</v>
      </c>
      <c r="AC128">
        <v>1</v>
      </c>
      <c r="AD128">
        <f t="shared" si="72"/>
        <v>16.185334536352801</v>
      </c>
      <c r="AE128">
        <f t="shared" si="73"/>
        <v>-4.7796864336165296E-4</v>
      </c>
      <c r="AF128">
        <f t="shared" si="74"/>
        <v>2.0376369927899997E-3</v>
      </c>
      <c r="AG128">
        <f t="shared" si="89"/>
        <v>7419.8087382516551</v>
      </c>
      <c r="AH128">
        <f t="shared" si="90"/>
        <v>-2231.2295726433354</v>
      </c>
      <c r="AJ128">
        <f t="shared" si="75"/>
        <v>21000</v>
      </c>
      <c r="AK128">
        <f t="shared" si="76"/>
        <v>316.89684883520999</v>
      </c>
      <c r="AL128">
        <v>1</v>
      </c>
      <c r="AM128">
        <f t="shared" si="77"/>
        <v>6.2165942172350102</v>
      </c>
      <c r="AN128">
        <f t="shared" si="91"/>
        <v>579.37733494665167</v>
      </c>
      <c r="AO128">
        <f t="shared" si="92"/>
        <v>-3284.8569411911762</v>
      </c>
      <c r="AQ128">
        <f t="shared" si="78"/>
        <v>1.1316057485572026</v>
      </c>
      <c r="AR128">
        <f t="shared" si="79"/>
        <v>-106.37094036437705</v>
      </c>
      <c r="AT128">
        <f t="shared" si="104"/>
        <v>-228941.68958947819</v>
      </c>
      <c r="AU128">
        <f t="shared" si="105"/>
        <v>-791776.90502240462</v>
      </c>
      <c r="AV128">
        <f t="shared" si="93"/>
        <v>-1.8522688078758709</v>
      </c>
      <c r="AW128">
        <f t="shared" si="94"/>
        <v>-342778.77629195311</v>
      </c>
      <c r="AX128">
        <f t="shared" si="95"/>
        <v>-87972.650842162562</v>
      </c>
      <c r="AY128">
        <f t="shared" si="103"/>
        <v>-2.8903691922369932</v>
      </c>
      <c r="BA128">
        <f t="shared" si="80"/>
        <v>2.3290207979239899</v>
      </c>
      <c r="BB128">
        <f t="shared" si="96"/>
        <v>7.3434673351701649</v>
      </c>
      <c r="BC128">
        <f t="shared" si="97"/>
        <v>1.0381003843611223</v>
      </c>
      <c r="BD128">
        <f t="shared" si="81"/>
        <v>-120.52122919723472</v>
      </c>
      <c r="BF128">
        <f t="shared" si="82"/>
        <v>1.7043159562812169</v>
      </c>
      <c r="BG128">
        <f t="shared" si="83"/>
        <v>-116.28464532242812</v>
      </c>
      <c r="BH128">
        <f t="shared" si="98"/>
        <v>63.715354677571881</v>
      </c>
      <c r="BI128">
        <f t="shared" si="99"/>
        <v>63.715354677571881</v>
      </c>
      <c r="BJ128">
        <f t="shared" si="84"/>
        <v>0</v>
      </c>
      <c r="BK128">
        <f t="shared" si="100"/>
        <v>0</v>
      </c>
      <c r="BM128">
        <f t="shared" si="101"/>
        <v>-5.6391513788889478</v>
      </c>
      <c r="BN128">
        <f t="shared" si="85"/>
        <v>-175.7634161251934</v>
      </c>
      <c r="BQ128" s="66">
        <f t="shared" si="102"/>
        <v>24.245428135455303</v>
      </c>
      <c r="BR128" s="71"/>
      <c r="BS128" s="71"/>
      <c r="BT128" s="71">
        <v>1513.5609999999999</v>
      </c>
      <c r="BU128" s="71">
        <v>11.5252</v>
      </c>
      <c r="BV128" s="71">
        <v>-257.61</v>
      </c>
      <c r="BW128" s="75"/>
      <c r="BY128" s="71"/>
      <c r="BZ128" s="71"/>
      <c r="CA128" s="71"/>
      <c r="CC128" s="71"/>
    </row>
    <row r="129" spans="1:81" ht="13" x14ac:dyDescent="0.3">
      <c r="A129">
        <f t="shared" si="106"/>
        <v>47500</v>
      </c>
      <c r="B129">
        <f t="shared" si="86"/>
        <v>47.5</v>
      </c>
      <c r="C129">
        <f t="shared" si="55"/>
        <v>1.0001113352766233</v>
      </c>
      <c r="D129">
        <f t="shared" si="56"/>
        <v>1.4921457568539187E-2</v>
      </c>
      <c r="F129">
        <f t="shared" si="57"/>
        <v>3.407291586537118E-2</v>
      </c>
      <c r="G129">
        <f t="shared" si="58"/>
        <v>5.8513393887570875E-2</v>
      </c>
      <c r="H129">
        <f t="shared" si="59"/>
        <v>-3.0830792561124292</v>
      </c>
      <c r="J129">
        <f t="shared" si="60"/>
        <v>15</v>
      </c>
      <c r="M129">
        <f t="shared" si="61"/>
        <v>2.3123743165705042E-2</v>
      </c>
      <c r="N129">
        <f t="shared" si="62"/>
        <v>-1.5707963250000001</v>
      </c>
      <c r="O129">
        <f t="shared" si="63"/>
        <v>16.388057422373816</v>
      </c>
      <c r="P129">
        <f t="shared" si="64"/>
        <v>1.5097383508165114</v>
      </c>
      <c r="Q129">
        <f t="shared" si="65"/>
        <v>6.3618137047016541</v>
      </c>
      <c r="R129">
        <f t="shared" si="66"/>
        <v>1.4129538430478246</v>
      </c>
      <c r="S129">
        <f t="shared" si="67"/>
        <v>0.99988372589410379</v>
      </c>
      <c r="T129">
        <f t="shared" si="68"/>
        <v>-1.5249679291327646E-2</v>
      </c>
      <c r="U129">
        <f t="shared" si="69"/>
        <v>0.97303151955271061</v>
      </c>
      <c r="V129">
        <f t="shared" si="70"/>
        <v>-0.23276845278775218</v>
      </c>
      <c r="X129">
        <f t="shared" si="87"/>
        <v>1.575837589338952</v>
      </c>
      <c r="Y129">
        <f t="shared" si="71"/>
        <v>-112.54495744906777</v>
      </c>
      <c r="Z129">
        <f t="shared" si="88"/>
        <v>67.455042550932234</v>
      </c>
      <c r="AC129">
        <v>1</v>
      </c>
      <c r="AD129">
        <f t="shared" si="72"/>
        <v>16.357518946314002</v>
      </c>
      <c r="AE129">
        <f t="shared" si="73"/>
        <v>-4.881922822927703E-4</v>
      </c>
      <c r="AF129">
        <f t="shared" si="74"/>
        <v>2.059313982075E-3</v>
      </c>
      <c r="AG129">
        <f t="shared" si="89"/>
        <v>7411.5407889677444</v>
      </c>
      <c r="AH129">
        <f t="shared" si="90"/>
        <v>-2242.6191699134138</v>
      </c>
      <c r="AJ129">
        <f t="shared" si="75"/>
        <v>21000</v>
      </c>
      <c r="AK129">
        <f t="shared" si="76"/>
        <v>320.26809190792505</v>
      </c>
      <c r="AL129">
        <v>1</v>
      </c>
      <c r="AM129">
        <f t="shared" si="77"/>
        <v>6.2827281982694254</v>
      </c>
      <c r="AN129">
        <f t="shared" si="91"/>
        <v>568.58505548436892</v>
      </c>
      <c r="AO129">
        <f t="shared" si="92"/>
        <v>-3251.9972692983047</v>
      </c>
      <c r="AQ129">
        <f t="shared" si="78"/>
        <v>1.1079104808331486</v>
      </c>
      <c r="AR129">
        <f t="shared" si="79"/>
        <v>-105.25149567914913</v>
      </c>
      <c r="AT129">
        <f t="shared" si="104"/>
        <v>-227827.69815289893</v>
      </c>
      <c r="AU129">
        <f t="shared" si="105"/>
        <v>-782560.37460874044</v>
      </c>
      <c r="AV129">
        <f t="shared" si="93"/>
        <v>-1.8540968285293085</v>
      </c>
      <c r="AW129">
        <f t="shared" si="94"/>
        <v>-335720.1094087633</v>
      </c>
      <c r="AX129">
        <f t="shared" si="95"/>
        <v>-85860.252576164334</v>
      </c>
      <c r="AY129">
        <f t="shared" si="103"/>
        <v>-2.8912100527211129</v>
      </c>
      <c r="BA129">
        <f t="shared" si="80"/>
        <v>2.3520625050778761</v>
      </c>
      <c r="BB129">
        <f t="shared" si="96"/>
        <v>7.4289771750353992</v>
      </c>
      <c r="BC129">
        <f t="shared" si="97"/>
        <v>1.0371132241918044</v>
      </c>
      <c r="BD129">
        <f t="shared" si="81"/>
        <v>-120.57778930870468</v>
      </c>
      <c r="BF129">
        <f t="shared" si="82"/>
        <v>1.5999553656869363</v>
      </c>
      <c r="BG129">
        <f t="shared" si="83"/>
        <v>-116.37028224629165</v>
      </c>
      <c r="BH129">
        <f t="shared" si="98"/>
        <v>63.629717753708348</v>
      </c>
      <c r="BI129">
        <f t="shared" si="99"/>
        <v>63.629717753708348</v>
      </c>
      <c r="BJ129">
        <f t="shared" si="84"/>
        <v>0</v>
      </c>
      <c r="BK129">
        <f t="shared" si="100"/>
        <v>0</v>
      </c>
      <c r="BM129">
        <f t="shared" si="101"/>
        <v>-5.8290218093484638</v>
      </c>
      <c r="BN129">
        <f t="shared" si="85"/>
        <v>-175.79249293758696</v>
      </c>
      <c r="BQ129" s="66">
        <f t="shared" si="102"/>
        <v>24.330937975320538</v>
      </c>
      <c r="BR129" s="71"/>
      <c r="BS129" s="71"/>
      <c r="BT129" s="71">
        <v>1548.817</v>
      </c>
      <c r="BU129" s="71">
        <v>11.3354</v>
      </c>
      <c r="BV129" s="71">
        <v>-257.471</v>
      </c>
      <c r="BW129" s="75"/>
      <c r="BY129" s="71"/>
      <c r="BZ129" s="71"/>
      <c r="CA129" s="71"/>
      <c r="CC129" s="71"/>
    </row>
    <row r="130" spans="1:81" ht="13" x14ac:dyDescent="0.3">
      <c r="A130">
        <f t="shared" si="106"/>
        <v>48000</v>
      </c>
      <c r="B130">
        <f t="shared" si="86"/>
        <v>48</v>
      </c>
      <c r="C130">
        <f t="shared" si="55"/>
        <v>1.0001136913795758</v>
      </c>
      <c r="D130">
        <f t="shared" si="56"/>
        <v>1.507850186054511E-2</v>
      </c>
      <c r="F130">
        <f t="shared" si="57"/>
        <v>3.3344223954504489E-2</v>
      </c>
      <c r="G130">
        <f t="shared" si="58"/>
        <v>5.7864040845329132E-2</v>
      </c>
      <c r="H130">
        <f t="shared" si="59"/>
        <v>-3.083728609154671</v>
      </c>
      <c r="J130">
        <f t="shared" si="60"/>
        <v>15</v>
      </c>
      <c r="M130">
        <f t="shared" si="61"/>
        <v>2.2882870841062282E-2</v>
      </c>
      <c r="N130">
        <f t="shared" si="62"/>
        <v>-1.5707963250000001</v>
      </c>
      <c r="O130">
        <f t="shared" si="63"/>
        <v>16.559924306785213</v>
      </c>
      <c r="P130">
        <f t="shared" si="64"/>
        <v>1.5103728163454557</v>
      </c>
      <c r="Q130">
        <f t="shared" si="65"/>
        <v>6.4271339624901795</v>
      </c>
      <c r="R130">
        <f t="shared" si="66"/>
        <v>1.4145712770039869</v>
      </c>
      <c r="S130">
        <f t="shared" si="67"/>
        <v>0.99988126557288071</v>
      </c>
      <c r="T130">
        <f t="shared" si="68"/>
        <v>-1.5410176951462825E-2</v>
      </c>
      <c r="U130">
        <f t="shared" si="69"/>
        <v>0.97248411681553404</v>
      </c>
      <c r="V130">
        <f t="shared" si="70"/>
        <v>-0.23512977126312903</v>
      </c>
      <c r="X130">
        <f t="shared" si="87"/>
        <v>1.4715680578495582</v>
      </c>
      <c r="Y130">
        <f t="shared" si="71"/>
        <v>-112.58862974761212</v>
      </c>
      <c r="Z130">
        <f t="shared" si="88"/>
        <v>67.411370252387883</v>
      </c>
      <c r="AC130">
        <v>1</v>
      </c>
      <c r="AD130">
        <f t="shared" si="72"/>
        <v>16.529703356275203</v>
      </c>
      <c r="AE130">
        <f t="shared" si="73"/>
        <v>-4.9852410787924338E-4</v>
      </c>
      <c r="AF130">
        <f t="shared" si="74"/>
        <v>2.0809909713599998E-3</v>
      </c>
      <c r="AG130">
        <f t="shared" si="89"/>
        <v>7403.2040466871931</v>
      </c>
      <c r="AH130">
        <f t="shared" si="90"/>
        <v>-2254.058646759634</v>
      </c>
      <c r="AJ130">
        <f t="shared" si="75"/>
        <v>21000</v>
      </c>
      <c r="AK130">
        <f t="shared" si="76"/>
        <v>323.63933498064</v>
      </c>
      <c r="AL130">
        <v>1</v>
      </c>
      <c r="AM130">
        <f t="shared" si="77"/>
        <v>6.3488621793038398</v>
      </c>
      <c r="AN130">
        <f t="shared" si="91"/>
        <v>558.11738852882456</v>
      </c>
      <c r="AO130">
        <f t="shared" si="92"/>
        <v>-3219.7710446618407</v>
      </c>
      <c r="AQ130">
        <f t="shared" si="78"/>
        <v>1.0849517196484757</v>
      </c>
      <c r="AR130">
        <f t="shared" si="79"/>
        <v>-104.15536508625367</v>
      </c>
      <c r="AT130">
        <f t="shared" si="104"/>
        <v>-226740.18231771476</v>
      </c>
      <c r="AU130">
        <f t="shared" si="105"/>
        <v>-773528.96509572549</v>
      </c>
      <c r="AV130">
        <f t="shared" si="93"/>
        <v>-1.8559333185764968</v>
      </c>
      <c r="AW130">
        <f t="shared" si="94"/>
        <v>-328873.37403158512</v>
      </c>
      <c r="AX130">
        <f t="shared" si="95"/>
        <v>-83827.813754919305</v>
      </c>
      <c r="AY130">
        <f t="shared" si="103"/>
        <v>-2.8920133061736695</v>
      </c>
      <c r="BA130">
        <f t="shared" si="80"/>
        <v>2.3750802651701775</v>
      </c>
      <c r="BB130">
        <f t="shared" si="96"/>
        <v>7.5135658213774557</v>
      </c>
      <c r="BC130">
        <f t="shared" si="97"/>
        <v>1.0360799875971727</v>
      </c>
      <c r="BD130">
        <f t="shared" si="81"/>
        <v>-120.6369894048832</v>
      </c>
      <c r="BF130">
        <f t="shared" si="82"/>
        <v>1.496790741262646</v>
      </c>
      <c r="BG130">
        <f t="shared" si="83"/>
        <v>-116.45768955610829</v>
      </c>
      <c r="BH130">
        <f t="shared" si="98"/>
        <v>63.542310443891708</v>
      </c>
      <c r="BI130">
        <f t="shared" si="99"/>
        <v>63.542310443891708</v>
      </c>
      <c r="BJ130">
        <f t="shared" si="84"/>
        <v>0</v>
      </c>
      <c r="BK130">
        <f t="shared" si="100"/>
        <v>0</v>
      </c>
      <c r="BM130">
        <f t="shared" si="101"/>
        <v>-6.0167750801148117</v>
      </c>
      <c r="BN130">
        <f t="shared" si="85"/>
        <v>-175.82070015122508</v>
      </c>
      <c r="BQ130" s="66">
        <f t="shared" si="102"/>
        <v>24.415526621662593</v>
      </c>
      <c r="BR130" s="71"/>
      <c r="BS130" s="71"/>
      <c r="BT130" s="71">
        <v>1584.893</v>
      </c>
      <c r="BU130" s="71">
        <v>11.160399999999999</v>
      </c>
      <c r="BV130" s="71">
        <v>-256.94200000000001</v>
      </c>
      <c r="BW130" s="75"/>
      <c r="BY130" s="71"/>
      <c r="BZ130" s="71"/>
      <c r="CA130" s="71"/>
      <c r="CC130" s="71"/>
    </row>
    <row r="131" spans="1:81" ht="13" x14ac:dyDescent="0.3">
      <c r="A131">
        <f t="shared" si="106"/>
        <v>48500</v>
      </c>
      <c r="B131">
        <f t="shared" si="86"/>
        <v>48.5</v>
      </c>
      <c r="C131">
        <f t="shared" si="55"/>
        <v>1.0001160721481253</v>
      </c>
      <c r="D131">
        <f t="shared" si="56"/>
        <v>1.5235545408738732E-2</v>
      </c>
      <c r="F131">
        <f t="shared" si="57"/>
        <v>3.263888972536403E-2</v>
      </c>
      <c r="G131">
        <f t="shared" si="58"/>
        <v>5.7229339542547129E-2</v>
      </c>
      <c r="H131">
        <f t="shared" si="59"/>
        <v>-3.0843633104574533</v>
      </c>
      <c r="J131">
        <f t="shared" si="60"/>
        <v>15</v>
      </c>
      <c r="M131">
        <f t="shared" si="61"/>
        <v>2.2646964956102876E-2</v>
      </c>
      <c r="N131">
        <f t="shared" si="62"/>
        <v>-1.5707963250000001</v>
      </c>
      <c r="O131">
        <f t="shared" si="63"/>
        <v>16.731797720387284</v>
      </c>
      <c r="P131">
        <f t="shared" si="64"/>
        <v>1.5109942473277236</v>
      </c>
      <c r="Q131">
        <f t="shared" si="65"/>
        <v>6.4924706959026439</v>
      </c>
      <c r="R131">
        <f t="shared" si="66"/>
        <v>1.4161561610661508</v>
      </c>
      <c r="S131">
        <f t="shared" si="67"/>
        <v>0.99987877950757975</v>
      </c>
      <c r="T131">
        <f t="shared" si="68"/>
        <v>-1.5570673817622213E-2</v>
      </c>
      <c r="U131">
        <f t="shared" si="69"/>
        <v>0.97193191947479962</v>
      </c>
      <c r="V131">
        <f t="shared" si="70"/>
        <v>-0.23748842126297862</v>
      </c>
      <c r="X131">
        <f t="shared" si="87"/>
        <v>1.3684570167189614</v>
      </c>
      <c r="Y131">
        <f t="shared" si="71"/>
        <v>-112.63392146412723</v>
      </c>
      <c r="Z131">
        <f t="shared" si="88"/>
        <v>67.366078535872774</v>
      </c>
      <c r="AC131">
        <v>1</v>
      </c>
      <c r="AD131">
        <f t="shared" si="72"/>
        <v>16.7018877662364</v>
      </c>
      <c r="AE131">
        <f t="shared" si="73"/>
        <v>-5.0896412012107204E-4</v>
      </c>
      <c r="AF131">
        <f t="shared" si="74"/>
        <v>2.1026679606450001E-3</v>
      </c>
      <c r="AG131">
        <f t="shared" si="89"/>
        <v>7394.7990375330355</v>
      </c>
      <c r="AH131">
        <f t="shared" si="90"/>
        <v>-2265.5442869585913</v>
      </c>
      <c r="AJ131">
        <f t="shared" si="75"/>
        <v>21000</v>
      </c>
      <c r="AK131">
        <f t="shared" si="76"/>
        <v>327.010578053355</v>
      </c>
      <c r="AL131">
        <v>1</v>
      </c>
      <c r="AM131">
        <f t="shared" si="77"/>
        <v>6.4149961603382559</v>
      </c>
      <c r="AN131">
        <f t="shared" si="91"/>
        <v>547.96155118140177</v>
      </c>
      <c r="AO131">
        <f t="shared" si="92"/>
        <v>-3188.1606687883323</v>
      </c>
      <c r="AQ131">
        <f t="shared" si="78"/>
        <v>1.0626992561105206</v>
      </c>
      <c r="AR131">
        <f t="shared" si="79"/>
        <v>-103.08182784272051</v>
      </c>
      <c r="AT131">
        <f t="shared" si="104"/>
        <v>-225677.99872205136</v>
      </c>
      <c r="AU131">
        <f t="shared" si="105"/>
        <v>-764676.99354693212</v>
      </c>
      <c r="AV131">
        <f t="shared" si="93"/>
        <v>-1.8577779143788049</v>
      </c>
      <c r="AW131">
        <f t="shared" si="94"/>
        <v>-322230.25269863824</v>
      </c>
      <c r="AX131">
        <f t="shared" si="95"/>
        <v>-81871.464948012872</v>
      </c>
      <c r="AY131">
        <f t="shared" si="103"/>
        <v>-2.8927800174618685</v>
      </c>
      <c r="BA131">
        <f t="shared" si="80"/>
        <v>2.3980735478042643</v>
      </c>
      <c r="BB131">
        <f t="shared" si="96"/>
        <v>7.5972499715512516</v>
      </c>
      <c r="BC131">
        <f t="shared" si="97"/>
        <v>1.0350021030830636</v>
      </c>
      <c r="BD131">
        <f t="shared" si="81"/>
        <v>-120.69874763841472</v>
      </c>
      <c r="BF131">
        <f t="shared" si="82"/>
        <v>1.3947908234395388</v>
      </c>
      <c r="BG131">
        <f t="shared" si="83"/>
        <v>-116.54681556306069</v>
      </c>
      <c r="BH131">
        <f t="shared" si="98"/>
        <v>63.45318443693931</v>
      </c>
      <c r="BI131">
        <f t="shared" si="99"/>
        <v>63.45318443693931</v>
      </c>
      <c r="BJ131">
        <f t="shared" si="84"/>
        <v>0</v>
      </c>
      <c r="BK131">
        <f t="shared" si="100"/>
        <v>0</v>
      </c>
      <c r="BM131">
        <f t="shared" si="101"/>
        <v>-6.2024591481117124</v>
      </c>
      <c r="BN131">
        <f t="shared" si="85"/>
        <v>-175.84806792464599</v>
      </c>
      <c r="BQ131" s="66">
        <f t="shared" si="102"/>
        <v>24.499210771836388</v>
      </c>
      <c r="BR131" s="71"/>
      <c r="BS131" s="71"/>
      <c r="BT131" s="71">
        <v>1621.81</v>
      </c>
      <c r="BU131" s="71">
        <v>10.9787</v>
      </c>
      <c r="BV131" s="71">
        <v>-256.75299999999999</v>
      </c>
      <c r="BW131" s="75"/>
      <c r="BY131" s="71"/>
      <c r="BZ131" s="71"/>
      <c r="CA131" s="71"/>
      <c r="CC131" s="71"/>
    </row>
    <row r="132" spans="1:81" ht="13" x14ac:dyDescent="0.3">
      <c r="A132">
        <f t="shared" si="106"/>
        <v>49000</v>
      </c>
      <c r="B132">
        <f t="shared" si="86"/>
        <v>49</v>
      </c>
      <c r="C132">
        <f t="shared" si="55"/>
        <v>1.0001184775820955</v>
      </c>
      <c r="D132">
        <f t="shared" si="56"/>
        <v>1.5392588205379164E-2</v>
      </c>
      <c r="F132">
        <f t="shared" si="57"/>
        <v>3.1955916208179058E-2</v>
      </c>
      <c r="G132">
        <f t="shared" si="58"/>
        <v>5.6608788137461862E-2</v>
      </c>
      <c r="H132">
        <f t="shared" si="59"/>
        <v>-3.0849838618625385</v>
      </c>
      <c r="J132">
        <f t="shared" si="60"/>
        <v>15</v>
      </c>
      <c r="M132">
        <f t="shared" si="61"/>
        <v>2.2415873476958968E-2</v>
      </c>
      <c r="N132">
        <f t="shared" si="62"/>
        <v>-1.5707963250000001</v>
      </c>
      <c r="O132">
        <f t="shared" si="63"/>
        <v>16.903677464017289</v>
      </c>
      <c r="P132">
        <f t="shared" si="64"/>
        <v>1.511603040888976</v>
      </c>
      <c r="Q132">
        <f t="shared" si="65"/>
        <v>6.5578234124905608</v>
      </c>
      <c r="R132">
        <f t="shared" si="66"/>
        <v>1.4177094602896199</v>
      </c>
      <c r="S132">
        <f t="shared" si="67"/>
        <v>0.99987626769877691</v>
      </c>
      <c r="T132">
        <f t="shared" si="68"/>
        <v>-1.573116988154321E-2</v>
      </c>
      <c r="U132">
        <f t="shared" si="69"/>
        <v>0.9713749541093305</v>
      </c>
      <c r="V132">
        <f t="shared" si="70"/>
        <v>-0.23984438110942138</v>
      </c>
      <c r="X132">
        <f t="shared" si="87"/>
        <v>1.2664745548074665</v>
      </c>
      <c r="Y132">
        <f t="shared" si="71"/>
        <v>-112.68078206272699</v>
      </c>
      <c r="Z132">
        <f t="shared" si="88"/>
        <v>67.31921793727301</v>
      </c>
      <c r="AC132">
        <v>1</v>
      </c>
      <c r="AD132">
        <f t="shared" si="72"/>
        <v>16.874072176197604</v>
      </c>
      <c r="AE132">
        <f t="shared" si="73"/>
        <v>-5.1951231901825644E-4</v>
      </c>
      <c r="AF132">
        <f t="shared" si="74"/>
        <v>2.1243449499299999E-3</v>
      </c>
      <c r="AG132">
        <f t="shared" si="89"/>
        <v>7386.3262900675873</v>
      </c>
      <c r="AH132">
        <f t="shared" si="90"/>
        <v>-2277.0725159950703</v>
      </c>
      <c r="AJ132">
        <f t="shared" si="75"/>
        <v>21000</v>
      </c>
      <c r="AK132">
        <f t="shared" si="76"/>
        <v>330.38182112607001</v>
      </c>
      <c r="AL132">
        <v>1</v>
      </c>
      <c r="AM132">
        <f t="shared" si="77"/>
        <v>6.4811301413726703</v>
      </c>
      <c r="AN132">
        <f t="shared" si="91"/>
        <v>538.10537841532221</v>
      </c>
      <c r="AO132">
        <f t="shared" si="92"/>
        <v>-3157.1491661562213</v>
      </c>
      <c r="AQ132">
        <f t="shared" si="78"/>
        <v>1.0411244143675169</v>
      </c>
      <c r="AR132">
        <f t="shared" si="79"/>
        <v>-102.03019260801666</v>
      </c>
      <c r="AT132">
        <f t="shared" si="104"/>
        <v>-224640.06275632413</v>
      </c>
      <c r="AU132">
        <f t="shared" si="105"/>
        <v>-755999.00983094075</v>
      </c>
      <c r="AV132">
        <f t="shared" si="93"/>
        <v>-1.8596302663162843</v>
      </c>
      <c r="AW132">
        <f t="shared" si="94"/>
        <v>-315782.82832752843</v>
      </c>
      <c r="AX132">
        <f t="shared" si="95"/>
        <v>-79987.561398990481</v>
      </c>
      <c r="AY132">
        <f t="shared" si="103"/>
        <v>-2.8935112093366215</v>
      </c>
      <c r="BA132">
        <f t="shared" si="80"/>
        <v>2.4210418325517988</v>
      </c>
      <c r="BB132">
        <f t="shared" si="96"/>
        <v>7.6800458713580131</v>
      </c>
      <c r="BC132">
        <f t="shared" si="97"/>
        <v>1.0338809430203373</v>
      </c>
      <c r="BD132">
        <f t="shared" si="81"/>
        <v>-120.76298537824097</v>
      </c>
      <c r="BF132">
        <f t="shared" si="82"/>
        <v>1.293925549149525</v>
      </c>
      <c r="BG132">
        <f t="shared" si="83"/>
        <v>-116.63761038994915</v>
      </c>
      <c r="BH132">
        <f t="shared" si="98"/>
        <v>63.362389610050855</v>
      </c>
      <c r="BI132">
        <f t="shared" si="99"/>
        <v>63.362389610050855</v>
      </c>
      <c r="BJ132">
        <f t="shared" si="84"/>
        <v>0</v>
      </c>
      <c r="BK132">
        <f t="shared" si="100"/>
        <v>0</v>
      </c>
      <c r="BM132">
        <f t="shared" si="101"/>
        <v>-6.3861203222084875</v>
      </c>
      <c r="BN132">
        <f t="shared" si="85"/>
        <v>-175.87462501170819</v>
      </c>
      <c r="BQ132" s="66">
        <f t="shared" si="102"/>
        <v>24.58200667164315</v>
      </c>
      <c r="BR132" s="71"/>
      <c r="BS132" s="71"/>
      <c r="BT132" s="71">
        <v>1659.587</v>
      </c>
      <c r="BU132" s="71">
        <v>10.7578</v>
      </c>
      <c r="BV132" s="71">
        <v>-256.85699999999997</v>
      </c>
      <c r="BW132" s="75"/>
      <c r="BY132" s="71"/>
      <c r="BZ132" s="71"/>
      <c r="CA132" s="71"/>
      <c r="CC132" s="71"/>
    </row>
    <row r="133" spans="1:81" ht="13" x14ac:dyDescent="0.3">
      <c r="A133">
        <f t="shared" si="106"/>
        <v>49500</v>
      </c>
      <c r="B133">
        <f t="shared" si="86"/>
        <v>49.5</v>
      </c>
      <c r="C133">
        <f t="shared" si="55"/>
        <v>1.0001209076813087</v>
      </c>
      <c r="D133">
        <f t="shared" si="56"/>
        <v>1.5549630242725739E-2</v>
      </c>
      <c r="F133">
        <f t="shared" si="57"/>
        <v>3.129435952307346E-2</v>
      </c>
      <c r="G133">
        <f t="shared" si="58"/>
        <v>5.600190787307454E-2</v>
      </c>
      <c r="H133">
        <f t="shared" si="59"/>
        <v>-3.0855907421269255</v>
      </c>
      <c r="J133">
        <f t="shared" si="60"/>
        <v>15</v>
      </c>
      <c r="M133">
        <f t="shared" si="61"/>
        <v>2.2189450512545238E-2</v>
      </c>
      <c r="N133">
        <f t="shared" si="62"/>
        <v>-1.5707963250000001</v>
      </c>
      <c r="O133">
        <f t="shared" si="63"/>
        <v>17.075563346524245</v>
      </c>
      <c r="P133">
        <f t="shared" si="64"/>
        <v>1.5121995782030637</v>
      </c>
      <c r="Q133">
        <f t="shared" si="65"/>
        <v>6.6231916391237711</v>
      </c>
      <c r="R133">
        <f t="shared" si="66"/>
        <v>1.4192321022546011</v>
      </c>
      <c r="S133">
        <f t="shared" si="67"/>
        <v>0.9998737301470545</v>
      </c>
      <c r="T133">
        <f t="shared" si="68"/>
        <v>-1.5891665134963463E-2</v>
      </c>
      <c r="U133">
        <f t="shared" si="69"/>
        <v>0.97081324744392494</v>
      </c>
      <c r="V133">
        <f t="shared" si="70"/>
        <v>-0.24219762929345126</v>
      </c>
      <c r="X133">
        <f t="shared" si="87"/>
        <v>1.1655918976924335</v>
      </c>
      <c r="Y133">
        <f t="shared" si="71"/>
        <v>-112.72916275567775</v>
      </c>
      <c r="Z133">
        <f t="shared" si="88"/>
        <v>67.270837244322252</v>
      </c>
      <c r="AC133">
        <v>1</v>
      </c>
      <c r="AD133">
        <f t="shared" si="72"/>
        <v>17.046256586158801</v>
      </c>
      <c r="AE133">
        <f t="shared" si="73"/>
        <v>-5.301687045707968E-4</v>
      </c>
      <c r="AF133">
        <f t="shared" si="74"/>
        <v>2.1460219392150002E-3</v>
      </c>
      <c r="AG133">
        <f t="shared" si="89"/>
        <v>7377.7863352165377</v>
      </c>
      <c r="AH133">
        <f t="shared" si="90"/>
        <v>-2288.6398942121068</v>
      </c>
      <c r="AJ133">
        <f t="shared" si="75"/>
        <v>21000</v>
      </c>
      <c r="AK133">
        <f t="shared" si="76"/>
        <v>333.75306419878501</v>
      </c>
      <c r="AL133">
        <v>1</v>
      </c>
      <c r="AM133">
        <f t="shared" si="77"/>
        <v>6.5472641224070856</v>
      </c>
      <c r="AN133">
        <f t="shared" si="91"/>
        <v>528.53728788536569</v>
      </c>
      <c r="AO133">
        <f t="shared" si="92"/>
        <v>-3126.7201581274148</v>
      </c>
      <c r="AQ133">
        <f t="shared" si="78"/>
        <v>1.0201999591920017</v>
      </c>
      <c r="AR133">
        <f t="shared" si="79"/>
        <v>-100.99979596000816</v>
      </c>
      <c r="AT133">
        <f t="shared" si="104"/>
        <v>-223625.34502324223</v>
      </c>
      <c r="AU133">
        <f t="shared" si="105"/>
        <v>-747489.78482008702</v>
      </c>
      <c r="AV133">
        <f t="shared" si="93"/>
        <v>-1.8614900380948587</v>
      </c>
      <c r="AW133">
        <f t="shared" si="94"/>
        <v>-309523.56152675569</v>
      </c>
      <c r="AX133">
        <f t="shared" si="95"/>
        <v>-78172.667916618375</v>
      </c>
      <c r="AY133">
        <f t="shared" si="103"/>
        <v>-2.8942078644758369</v>
      </c>
      <c r="BA133">
        <f t="shared" si="80"/>
        <v>2.4439846085131283</v>
      </c>
      <c r="BB133">
        <f t="shared" si="96"/>
        <v>7.7619693304376245</v>
      </c>
      <c r="BC133">
        <f t="shared" si="97"/>
        <v>1.0327178263809782</v>
      </c>
      <c r="BD133">
        <f t="shared" si="81"/>
        <v>-120.82962705283384</v>
      </c>
      <c r="BF133">
        <f t="shared" si="82"/>
        <v>1.1941659912105773</v>
      </c>
      <c r="BG133">
        <f t="shared" si="83"/>
        <v>-116.73002589644456</v>
      </c>
      <c r="BH133">
        <f t="shared" si="98"/>
        <v>63.269974103555441</v>
      </c>
      <c r="BI133">
        <f t="shared" si="99"/>
        <v>63.269974103555441</v>
      </c>
      <c r="BJ133">
        <f t="shared" si="84"/>
        <v>0</v>
      </c>
      <c r="BK133">
        <f t="shared" si="100"/>
        <v>0</v>
      </c>
      <c r="BM133">
        <f t="shared" si="101"/>
        <v>-6.5678033392270461</v>
      </c>
      <c r="BN133">
        <f t="shared" si="85"/>
        <v>-175.90039884361073</v>
      </c>
      <c r="BQ133" s="66">
        <f t="shared" si="102"/>
        <v>24.663930130722761</v>
      </c>
      <c r="BR133" s="71"/>
      <c r="BS133" s="71"/>
      <c r="BT133" s="71">
        <v>1698.2439999999999</v>
      </c>
      <c r="BU133" s="71">
        <v>10.580500000000001</v>
      </c>
      <c r="BV133" s="71">
        <v>-256.31299999999999</v>
      </c>
      <c r="BW133" s="75"/>
      <c r="BY133" s="71"/>
      <c r="BZ133" s="71"/>
      <c r="CA133" s="71"/>
      <c r="CC133" s="71"/>
    </row>
    <row r="134" spans="1:81" ht="13" x14ac:dyDescent="0.3">
      <c r="A134">
        <f t="shared" si="106"/>
        <v>50000</v>
      </c>
      <c r="B134">
        <f t="shared" si="86"/>
        <v>50</v>
      </c>
      <c r="C134">
        <f t="shared" si="55"/>
        <v>1.0001233624455852</v>
      </c>
      <c r="D134">
        <f t="shared" si="56"/>
        <v>1.5706671513038017E-2</v>
      </c>
      <c r="F134">
        <f t="shared" si="57"/>
        <v>3.0653325496187982E-2</v>
      </c>
      <c r="G134">
        <f t="shared" si="58"/>
        <v>5.5408241745855999E-2</v>
      </c>
      <c r="H134">
        <f t="shared" si="59"/>
        <v>-3.0861844082541441</v>
      </c>
      <c r="J134">
        <f t="shared" si="60"/>
        <v>15</v>
      </c>
      <c r="M134">
        <f t="shared" si="61"/>
        <v>2.196755600741979E-2</v>
      </c>
      <c r="N134">
        <f t="shared" si="62"/>
        <v>-1.5707963250000001</v>
      </c>
      <c r="O134">
        <f t="shared" si="63"/>
        <v>17.247455184370416</v>
      </c>
      <c r="P134">
        <f t="shared" si="64"/>
        <v>1.5127842252841082</v>
      </c>
      <c r="Q134">
        <f t="shared" si="65"/>
        <v>6.6885749210578211</v>
      </c>
      <c r="R134">
        <f t="shared" si="66"/>
        <v>1.4207249788531693</v>
      </c>
      <c r="S134">
        <f t="shared" si="67"/>
        <v>0.9998711668530007</v>
      </c>
      <c r="T134">
        <f t="shared" si="68"/>
        <v>-1.6052159569620864E-2</v>
      </c>
      <c r="U134">
        <f t="shared" si="69"/>
        <v>0.97024682634609749</v>
      </c>
      <c r="V134">
        <f t="shared" si="70"/>
        <v>-0.24454814447567694</v>
      </c>
      <c r="X134">
        <f t="shared" si="87"/>
        <v>1.0657813508194016</v>
      </c>
      <c r="Y134">
        <f t="shared" si="71"/>
        <v>-112.77901643194983</v>
      </c>
      <c r="Z134">
        <f t="shared" si="88"/>
        <v>67.220983568050173</v>
      </c>
      <c r="AC134">
        <v>1</v>
      </c>
      <c r="AD134">
        <f t="shared" si="72"/>
        <v>17.218440996120002</v>
      </c>
      <c r="AE134">
        <f t="shared" si="73"/>
        <v>-5.409332767786928E-4</v>
      </c>
      <c r="AF134">
        <f t="shared" si="74"/>
        <v>2.1676989285E-3</v>
      </c>
      <c r="AG134">
        <f t="shared" si="89"/>
        <v>7369.1797061932466</v>
      </c>
      <c r="AH134">
        <f t="shared" si="90"/>
        <v>-2300.2431103716613</v>
      </c>
      <c r="AJ134">
        <f t="shared" si="75"/>
        <v>21000</v>
      </c>
      <c r="AK134">
        <f t="shared" si="76"/>
        <v>337.12430727150002</v>
      </c>
      <c r="AL134">
        <v>1</v>
      </c>
      <c r="AM134">
        <f t="shared" si="77"/>
        <v>6.6133981034414999</v>
      </c>
      <c r="AN134">
        <f t="shared" si="91"/>
        <v>519.24624703321228</v>
      </c>
      <c r="AO134">
        <f t="shared" si="92"/>
        <v>-3096.8578380770623</v>
      </c>
      <c r="AQ134">
        <f t="shared" si="78"/>
        <v>0.99990000999900008</v>
      </c>
      <c r="AR134">
        <f t="shared" si="79"/>
        <v>-99.990000999900005</v>
      </c>
      <c r="AT134">
        <f t="shared" si="104"/>
        <v>-222632.86804416843</v>
      </c>
      <c r="AU134">
        <f t="shared" si="105"/>
        <v>-739144.29929976631</v>
      </c>
      <c r="AV134">
        <f t="shared" si="93"/>
        <v>-1.8633569060946966</v>
      </c>
      <c r="AW134">
        <f t="shared" si="94"/>
        <v>-303445.26937816874</v>
      </c>
      <c r="AX134">
        <f t="shared" si="95"/>
        <v>-76423.544915517661</v>
      </c>
      <c r="AY134">
        <f t="shared" si="103"/>
        <v>-2.8948709274113713</v>
      </c>
      <c r="BA134">
        <f t="shared" si="80"/>
        <v>2.4669013739040322</v>
      </c>
      <c r="BB134">
        <f t="shared" si="96"/>
        <v>7.8430357370548691</v>
      </c>
      <c r="BC134">
        <f t="shared" si="97"/>
        <v>1.0315140213166747</v>
      </c>
      <c r="BD134">
        <f t="shared" si="81"/>
        <v>-120.89860000245372</v>
      </c>
      <c r="BF134">
        <f t="shared" si="82"/>
        <v>1.095484301497291</v>
      </c>
      <c r="BG134">
        <f t="shared" si="83"/>
        <v>-116.82401560762425</v>
      </c>
      <c r="BH134">
        <f t="shared" si="98"/>
        <v>63.175984392375753</v>
      </c>
      <c r="BI134">
        <f t="shared" si="99"/>
        <v>63.175984392375753</v>
      </c>
      <c r="BJ134">
        <f t="shared" si="84"/>
        <v>0</v>
      </c>
      <c r="BK134">
        <f t="shared" si="100"/>
        <v>0</v>
      </c>
      <c r="BM134">
        <f t="shared" si="101"/>
        <v>-6.747551435557579</v>
      </c>
      <c r="BN134">
        <f t="shared" si="85"/>
        <v>-175.92541560517054</v>
      </c>
      <c r="BQ134" s="66">
        <f t="shared" si="102"/>
        <v>24.744996537340004</v>
      </c>
      <c r="BR134" s="71"/>
      <c r="BS134" s="71"/>
      <c r="BT134" s="71">
        <v>1737.8009999999999</v>
      </c>
      <c r="BU134" s="71">
        <v>10.4643</v>
      </c>
      <c r="BV134" s="71">
        <v>-256.37900000000002</v>
      </c>
      <c r="BW134" s="75"/>
      <c r="BY134" s="71"/>
      <c r="BZ134" s="71"/>
      <c r="CA134" s="71"/>
      <c r="CC134" s="71"/>
    </row>
    <row r="135" spans="1:81" ht="13" x14ac:dyDescent="0.3">
      <c r="A135">
        <f t="shared" si="106"/>
        <v>50500</v>
      </c>
      <c r="B135">
        <f t="shared" si="86"/>
        <v>50.5</v>
      </c>
      <c r="C135">
        <f t="shared" si="55"/>
        <v>1.0001258418747432</v>
      </c>
      <c r="D135">
        <f t="shared" si="56"/>
        <v>1.5863712008575781E-2</v>
      </c>
      <c r="F135">
        <f t="shared" si="57"/>
        <v>3.0031966526629983E-2</v>
      </c>
      <c r="G135">
        <f t="shared" si="58"/>
        <v>5.482735326652164E-2</v>
      </c>
      <c r="H135">
        <f t="shared" si="59"/>
        <v>-3.0867652967334784</v>
      </c>
      <c r="J135">
        <f t="shared" si="60"/>
        <v>15</v>
      </c>
      <c r="M135">
        <f t="shared" si="61"/>
        <v>2.1750055452890882E-2</v>
      </c>
      <c r="N135">
        <f t="shared" si="62"/>
        <v>-1.5707963250000001</v>
      </c>
      <c r="O135">
        <f t="shared" si="63"/>
        <v>17.419352801256338</v>
      </c>
      <c r="P135">
        <f t="shared" si="64"/>
        <v>1.5133573337319022</v>
      </c>
      <c r="Q135">
        <f t="shared" si="65"/>
        <v>6.7539728210545213</v>
      </c>
      <c r="R135">
        <f t="shared" si="66"/>
        <v>1.4221889479757872</v>
      </c>
      <c r="S135">
        <f t="shared" si="67"/>
        <v>0.99986857781720972</v>
      </c>
      <c r="T135">
        <f t="shared" si="68"/>
        <v>-1.6212653177253563E-2</v>
      </c>
      <c r="U135">
        <f t="shared" si="69"/>
        <v>0.96967571782282047</v>
      </c>
      <c r="V135">
        <f t="shared" si="70"/>
        <v>-0.24689590548703896</v>
      </c>
      <c r="X135">
        <f t="shared" si="87"/>
        <v>0.96701624615964976</v>
      </c>
      <c r="Y135">
        <f t="shared" si="71"/>
        <v>-112.83029758892232</v>
      </c>
      <c r="Z135">
        <f t="shared" si="88"/>
        <v>67.169702411077679</v>
      </c>
      <c r="AC135">
        <v>1</v>
      </c>
      <c r="AD135">
        <f t="shared" si="72"/>
        <v>17.390625406081202</v>
      </c>
      <c r="AE135">
        <f t="shared" si="73"/>
        <v>-5.5180603564194454E-4</v>
      </c>
      <c r="AF135">
        <f t="shared" si="74"/>
        <v>2.1893759177850003E-3</v>
      </c>
      <c r="AG135">
        <f t="shared" si="89"/>
        <v>7360.5069384230719</v>
      </c>
      <c r="AH135">
        <f t="shared" si="90"/>
        <v>-2311.8789755973353</v>
      </c>
      <c r="AJ135">
        <f t="shared" si="75"/>
        <v>21000</v>
      </c>
      <c r="AK135">
        <f t="shared" si="76"/>
        <v>340.49555034421502</v>
      </c>
      <c r="AL135">
        <v>1</v>
      </c>
      <c r="AM135">
        <f t="shared" si="77"/>
        <v>6.6795320844759152</v>
      </c>
      <c r="AN135">
        <f t="shared" si="91"/>
        <v>510.22174232041868</v>
      </c>
      <c r="AO135">
        <f t="shared" si="92"/>
        <v>-3067.5469476822245</v>
      </c>
      <c r="AQ135">
        <f t="shared" si="78"/>
        <v>0.98019996079200156</v>
      </c>
      <c r="AR135">
        <f t="shared" si="79"/>
        <v>-99.000196039992161</v>
      </c>
      <c r="AT135">
        <f t="shared" si="104"/>
        <v>-221661.70319242089</v>
      </c>
      <c r="AU135">
        <f t="shared" si="105"/>
        <v>-730957.73353884299</v>
      </c>
      <c r="AV135">
        <f t="shared" si="93"/>
        <v>-1.8652305587569413</v>
      </c>
      <c r="AW135">
        <f t="shared" si="94"/>
        <v>-297541.10558353894</v>
      </c>
      <c r="AX135">
        <f t="shared" si="95"/>
        <v>-74737.135508924272</v>
      </c>
      <c r="AY135">
        <f t="shared" si="103"/>
        <v>-2.8955013063472377</v>
      </c>
      <c r="BA135">
        <f t="shared" si="80"/>
        <v>2.4897916356670406</v>
      </c>
      <c r="BB135">
        <f t="shared" si="96"/>
        <v>7.9232600723048874</v>
      </c>
      <c r="BC135">
        <f t="shared" si="97"/>
        <v>1.0302707475902964</v>
      </c>
      <c r="BD135">
        <f t="shared" si="81"/>
        <v>-120.9698343398361</v>
      </c>
      <c r="BF135">
        <f t="shared" si="82"/>
        <v>0.9978536576178918</v>
      </c>
      <c r="BG135">
        <f t="shared" si="83"/>
        <v>-116.91953464566105</v>
      </c>
      <c r="BH135">
        <f t="shared" si="98"/>
        <v>63.080465354338955</v>
      </c>
      <c r="BI135">
        <f t="shared" si="99"/>
        <v>63.080465354338955</v>
      </c>
      <c r="BJ135">
        <f t="shared" si="84"/>
        <v>0</v>
      </c>
      <c r="BK135">
        <f t="shared" si="100"/>
        <v>0</v>
      </c>
      <c r="BM135">
        <f t="shared" si="101"/>
        <v>-6.9254064146869965</v>
      </c>
      <c r="BN135">
        <f t="shared" si="85"/>
        <v>-175.94970030582496</v>
      </c>
      <c r="BQ135" s="66">
        <f t="shared" si="102"/>
        <v>24.825220872590027</v>
      </c>
      <c r="BR135" s="71"/>
      <c r="BS135" s="71"/>
      <c r="BT135" s="71">
        <v>1778.279</v>
      </c>
      <c r="BU135" s="71">
        <v>10.213699999999999</v>
      </c>
      <c r="BV135" s="71">
        <v>-256.01499999999999</v>
      </c>
      <c r="BW135" s="75"/>
      <c r="BY135" s="71"/>
      <c r="BZ135" s="71"/>
      <c r="CA135" s="71"/>
      <c r="CC135" s="71"/>
    </row>
    <row r="136" spans="1:81" ht="13" x14ac:dyDescent="0.3">
      <c r="A136">
        <f t="shared" si="106"/>
        <v>51000</v>
      </c>
      <c r="B136">
        <f t="shared" si="86"/>
        <v>51</v>
      </c>
      <c r="C136">
        <f t="shared" si="55"/>
        <v>1.000128345968599</v>
      </c>
      <c r="D136">
        <f t="shared" si="56"/>
        <v>1.6020751721599051E-2</v>
      </c>
      <c r="F136">
        <f t="shared" si="57"/>
        <v>2.9429478683083706E-2</v>
      </c>
      <c r="G136">
        <f t="shared" si="58"/>
        <v>5.4258825305473719E-2</v>
      </c>
      <c r="H136">
        <f t="shared" si="59"/>
        <v>-3.0873338246945266</v>
      </c>
      <c r="J136">
        <f t="shared" si="60"/>
        <v>15</v>
      </c>
      <c r="M136">
        <f t="shared" si="61"/>
        <v>2.1536819615117438E-2</v>
      </c>
      <c r="N136">
        <f t="shared" si="62"/>
        <v>-1.5707963250000001</v>
      </c>
      <c r="O136">
        <f t="shared" si="63"/>
        <v>17.591256027767752</v>
      </c>
      <c r="P136">
        <f t="shared" si="64"/>
        <v>1.5139192414338063</v>
      </c>
      <c r="Q136">
        <f t="shared" si="65"/>
        <v>6.8193849185522319</v>
      </c>
      <c r="R136">
        <f t="shared" si="66"/>
        <v>1.423624835103849</v>
      </c>
      <c r="S136">
        <f t="shared" si="67"/>
        <v>0.99986596304028119</v>
      </c>
      <c r="T136">
        <f t="shared" si="68"/>
        <v>-1.6373145949599967E-2</v>
      </c>
      <c r="U136">
        <f t="shared" si="69"/>
        <v>0.96909994901726559</v>
      </c>
      <c r="V136">
        <f t="shared" si="70"/>
        <v>-0.24924089132950303</v>
      </c>
      <c r="X136">
        <f t="shared" si="87"/>
        <v>0.86927089211904152</v>
      </c>
      <c r="Y136">
        <f t="shared" si="71"/>
        <v>-112.88296226711238</v>
      </c>
      <c r="Z136">
        <f t="shared" si="88"/>
        <v>67.117037732887624</v>
      </c>
      <c r="AC136">
        <v>1</v>
      </c>
      <c r="AD136">
        <f t="shared" si="72"/>
        <v>17.562809816042403</v>
      </c>
      <c r="AE136">
        <f t="shared" si="73"/>
        <v>-5.6278698116055202E-4</v>
      </c>
      <c r="AF136">
        <f t="shared" si="74"/>
        <v>2.2110529070700001E-3</v>
      </c>
      <c r="AG136">
        <f t="shared" si="89"/>
        <v>7351.7685694678912</v>
      </c>
      <c r="AH136">
        <f t="shared" si="90"/>
        <v>-2323.5444176728679</v>
      </c>
      <c r="AJ136">
        <f t="shared" si="75"/>
        <v>21000</v>
      </c>
      <c r="AK136">
        <f t="shared" si="76"/>
        <v>343.86679341693002</v>
      </c>
      <c r="AL136">
        <v>1</v>
      </c>
      <c r="AM136">
        <f t="shared" si="77"/>
        <v>6.7456660655103295</v>
      </c>
      <c r="AN136">
        <f t="shared" si="91"/>
        <v>501.45375043462775</v>
      </c>
      <c r="AO136">
        <f t="shared" si="92"/>
        <v>-3038.772754312824</v>
      </c>
      <c r="AQ136">
        <f t="shared" si="78"/>
        <v>0.96107640557424312</v>
      </c>
      <c r="AR136">
        <f t="shared" si="79"/>
        <v>-98.029793368572797</v>
      </c>
      <c r="AT136">
        <f t="shared" si="104"/>
        <v>-220710.96783581414</v>
      </c>
      <c r="AU136">
        <f t="shared" si="105"/>
        <v>-722925.45747563452</v>
      </c>
      <c r="AV136">
        <f t="shared" si="93"/>
        <v>-1.8671106960061938</v>
      </c>
      <c r="AW136">
        <f t="shared" si="94"/>
        <v>-291804.54187698488</v>
      </c>
      <c r="AX136">
        <f t="shared" si="95"/>
        <v>-73110.553565363953</v>
      </c>
      <c r="AY136">
        <f t="shared" si="103"/>
        <v>-2.8960998748761053</v>
      </c>
      <c r="BA136">
        <f t="shared" si="80"/>
        <v>2.5126549091056676</v>
      </c>
      <c r="BB136">
        <f t="shared" si="96"/>
        <v>8.0026569237621885</v>
      </c>
      <c r="BC136">
        <f t="shared" si="97"/>
        <v>1.0289891788699115</v>
      </c>
      <c r="BD136">
        <f t="shared" si="81"/>
        <v>-121.04326281875403</v>
      </c>
      <c r="BF136">
        <f t="shared" si="82"/>
        <v>0.90124821284256451</v>
      </c>
      <c r="BG136">
        <f t="shared" si="83"/>
        <v>-117.01653966453699</v>
      </c>
      <c r="BH136">
        <f t="shared" si="98"/>
        <v>62.983460335463008</v>
      </c>
      <c r="BI136">
        <f t="shared" si="99"/>
        <v>62.983460335463008</v>
      </c>
      <c r="BJ136">
        <f t="shared" si="84"/>
        <v>0</v>
      </c>
      <c r="BK136">
        <f t="shared" si="100"/>
        <v>0</v>
      </c>
      <c r="BM136">
        <f t="shared" si="101"/>
        <v>-7.1014087109196229</v>
      </c>
      <c r="BN136">
        <f t="shared" si="85"/>
        <v>-175.97327684578295</v>
      </c>
      <c r="BQ136" s="66">
        <f t="shared" si="102"/>
        <v>24.904617724047323</v>
      </c>
      <c r="BR136" s="71"/>
      <c r="BS136" s="71"/>
      <c r="BT136" s="71">
        <v>1819.701</v>
      </c>
      <c r="BU136" s="71">
        <v>10.045199999999999</v>
      </c>
      <c r="BV136" s="71">
        <v>-255.833</v>
      </c>
      <c r="BW136" s="75"/>
      <c r="BY136" s="71"/>
      <c r="BZ136" s="71"/>
      <c r="CA136" s="71"/>
      <c r="CC136" s="71"/>
    </row>
    <row r="137" spans="1:81" ht="13" x14ac:dyDescent="0.3">
      <c r="A137">
        <f t="shared" si="106"/>
        <v>51500</v>
      </c>
      <c r="B137">
        <f t="shared" si="86"/>
        <v>51.5</v>
      </c>
      <c r="C137">
        <f t="shared" ref="C137:C200" si="107">SQRT((A137/Fesr)^2+1)</f>
        <v>1.0001308747269677</v>
      </c>
      <c r="D137">
        <f t="shared" ref="D137:D200" si="108">ATAN(A137/Fesr)</f>
        <v>1.617779064436807E-2</v>
      </c>
      <c r="F137">
        <f t="shared" ref="F137:F200" si="109">(Ro/(Ro+Rdcr))/SQRT((A137/(Q*Fo))^2+(1-(A137^2/Fo^2))^2)</f>
        <v>2.8845099010914386E-2</v>
      </c>
      <c r="G137">
        <f t="shared" ref="G137:G200" si="110">-ATAN(A137*Fo/(Q*(Fo^2-A137^2)))</f>
        <v>5.3702259016184702E-2</v>
      </c>
      <c r="H137">
        <f t="shared" ref="H137:H200" si="111">IF(G137&gt;0,G137-Pi,G137)</f>
        <v>-3.0878903909838153</v>
      </c>
      <c r="J137">
        <f t="shared" ref="J137:J200" si="112">Vin/Vramp</f>
        <v>15</v>
      </c>
      <c r="M137">
        <f t="shared" ref="M137:M200" si="113">1/(2*Pi*_Rfb1*(Cc1ea_u+Cc2ea_u)*A137)</f>
        <v>2.1327724279048339E-2</v>
      </c>
      <c r="N137">
        <f t="shared" ref="N137:N200" si="114">-Pi/2</f>
        <v>-1.5707963250000001</v>
      </c>
      <c r="O137">
        <f t="shared" ref="O137:O200" si="115">SQRT(1+(A137/Fz1_u)^2)</f>
        <v>17.763164701043028</v>
      </c>
      <c r="P137">
        <f t="shared" ref="P137:P200" si="116">ATAN2(Fz1_u,A137)</f>
        <v>1.5144702732260686</v>
      </c>
      <c r="Q137">
        <f t="shared" ref="Q137:Q200" si="117">SQRT(1+(A137/Fz2_u)^2)</f>
        <v>6.884810808882623</v>
      </c>
      <c r="R137">
        <f t="shared" ref="R137:R200" si="118">ATAN2(Fz2_u,A137)</f>
        <v>1.4250334348142522</v>
      </c>
      <c r="S137">
        <f t="shared" ref="S137:S200" si="119">1/SQRT(1+(A137/Fp1_u)^2)</f>
        <v>0.99986332252282206</v>
      </c>
      <c r="T137">
        <f t="shared" ref="T137:T200" si="120">-ATAN2(Fp1_u,A137)</f>
        <v>-1.6533637878398743E-2</v>
      </c>
      <c r="U137">
        <f t="shared" ref="U137:U200" si="121">1/SQRT(1+(A137/Fp2_u)^2)</f>
        <v>0.96851954720554656</v>
      </c>
      <c r="V137">
        <f t="shared" ref="V137:V200" si="122">-ATAN2(Fp2_u,A137)</f>
        <v>-0.25158308117672873</v>
      </c>
      <c r="X137">
        <f t="shared" si="87"/>
        <v>0.77252052646429925</v>
      </c>
      <c r="Y137">
        <f t="shared" ref="Y137:Y200" si="123">(180/Pi)*(D137+H137+N137+P137+R137+T137+V137)</f>
        <v>-112.9369679878025</v>
      </c>
      <c r="Z137">
        <f t="shared" si="88"/>
        <v>67.063032012197496</v>
      </c>
      <c r="AC137">
        <v>1</v>
      </c>
      <c r="AD137">
        <f t="shared" ref="AD137:AD200" si="124">Rcea1_u*Cc1ea_u*A137*2*Pi</f>
        <v>17.7349942260036</v>
      </c>
      <c r="AE137">
        <f t="shared" ref="AE137:AE200" si="125">-Rcea1_u*Cc1ea_u*Cc2ea_u*(A137*2*Pi)^2</f>
        <v>-5.7387611333451524E-4</v>
      </c>
      <c r="AF137">
        <f t="shared" ref="AF137:AF200" si="126">(Cc2ea_u+Cc1ea_u)*A137*2*Pi</f>
        <v>2.2327298963549999E-3</v>
      </c>
      <c r="AG137">
        <f t="shared" si="89"/>
        <v>7342.9651389507462</v>
      </c>
      <c r="AH137">
        <f t="shared" si="90"/>
        <v>-2335.236475672149</v>
      </c>
      <c r="AJ137">
        <f t="shared" ref="AJ137:AJ200" si="127">_Rfb1</f>
        <v>21000</v>
      </c>
      <c r="AK137">
        <f t="shared" ref="AK137:AK200" si="128">_Rfb1*Rcea2_u*Cc3ea_u*A137*2*Pi</f>
        <v>347.23803648964503</v>
      </c>
      <c r="AL137">
        <v>1</v>
      </c>
      <c r="AM137">
        <f t="shared" ref="AM137:AM200" si="129">(_Rfb1+Rcea2_u)*Cc3ea_u*A137*2*Pi</f>
        <v>6.8118000465447457</v>
      </c>
      <c r="AN137">
        <f t="shared" si="91"/>
        <v>492.93271132696253</v>
      </c>
      <c r="AO137">
        <f t="shared" si="92"/>
        <v>-3010.5210294707858</v>
      </c>
      <c r="AQ137">
        <f t="shared" ref="AQ137:AQ200" si="130">Eadcg/(1+(Eadcg*A137/GBP)^2)</f>
        <v>0.94250706880301605</v>
      </c>
      <c r="AR137">
        <f t="shared" ref="AR137:AR200" si="131">-(A137*Eadcg*Eadcg/GBP)/(1+(Eadcg*A137/GBP)^2)</f>
        <v>-97.078228086710652</v>
      </c>
      <c r="AT137">
        <f t="shared" si="104"/>
        <v>-219779.82267227201</v>
      </c>
      <c r="AU137">
        <f t="shared" si="105"/>
        <v>-715043.0214774732</v>
      </c>
      <c r="AV137">
        <f t="shared" si="93"/>
        <v>-1.8689970287063444</v>
      </c>
      <c r="AW137">
        <f t="shared" si="94"/>
        <v>-286229.35061277356</v>
      </c>
      <c r="AX137">
        <f t="shared" si="95"/>
        <v>-71541.072649148715</v>
      </c>
      <c r="AY137">
        <f t="shared" si="103"/>
        <v>-2.8966674736006177</v>
      </c>
      <c r="BA137">
        <f t="shared" ref="BA137:BA200" si="132">SQRT(AT137^2+AU137^2)/SQRT(AW137^2+AX137^2)</f>
        <v>2.5354907175400689</v>
      </c>
      <c r="BB137">
        <f t="shared" si="96"/>
        <v>8.0812404985967454</v>
      </c>
      <c r="BC137">
        <f t="shared" si="97"/>
        <v>1.0276704448942733</v>
      </c>
      <c r="BD137">
        <f t="shared" ref="BD137:BD200" si="133">BC137*180/Pi-180</f>
        <v>-121.11882070994494</v>
      </c>
      <c r="BF137">
        <f t="shared" ref="BF137:BF200" si="134">20*LOG(BA137*J137*F137*C137)</f>
        <v>0.8056430490492168</v>
      </c>
      <c r="BG137">
        <f t="shared" ref="BG137:BG200" si="135">(180/Pi)*(D137+H137+BC137)</f>
        <v>-117.11498878765562</v>
      </c>
      <c r="BH137">
        <f t="shared" si="98"/>
        <v>62.885011212344381</v>
      </c>
      <c r="BI137">
        <f t="shared" si="99"/>
        <v>62.885011212344381</v>
      </c>
      <c r="BJ137">
        <f t="shared" ref="BJ137:BJ200" si="136">SUM((BF138&lt;0)*(BF137&gt;0))*A137</f>
        <v>0</v>
      </c>
      <c r="BK137">
        <f t="shared" si="100"/>
        <v>0</v>
      </c>
      <c r="BM137">
        <f t="shared" si="101"/>
        <v>-7.2755974495475249</v>
      </c>
      <c r="BN137">
        <f t="shared" ref="BN137:BN200" si="137">(H137+D137)*180/Pi</f>
        <v>-175.99616807771068</v>
      </c>
      <c r="BQ137" s="66">
        <f t="shared" si="102"/>
        <v>24.983201298881884</v>
      </c>
      <c r="BR137" s="71"/>
      <c r="BS137" s="71"/>
      <c r="BT137" s="71">
        <v>1862.087</v>
      </c>
      <c r="BU137" s="71">
        <v>9.8767200000000006</v>
      </c>
      <c r="BV137" s="71">
        <v>-255.47</v>
      </c>
      <c r="BW137" s="75"/>
      <c r="BY137" s="71"/>
      <c r="BZ137" s="71"/>
      <c r="CA137" s="71"/>
      <c r="CC137" s="71"/>
    </row>
    <row r="138" spans="1:81" ht="13" x14ac:dyDescent="0.3">
      <c r="A138">
        <f t="shared" si="106"/>
        <v>52000</v>
      </c>
      <c r="B138">
        <f t="shared" ref="B138:B201" si="138">A138/1000</f>
        <v>52</v>
      </c>
      <c r="C138">
        <f t="shared" si="107"/>
        <v>1.0001334281496621</v>
      </c>
      <c r="D138">
        <f t="shared" si="108"/>
        <v>1.6334828769143314E-2</v>
      </c>
      <c r="F138">
        <f t="shared" si="109"/>
        <v>2.8278103032391401E-2</v>
      </c>
      <c r="G138">
        <f t="shared" si="110"/>
        <v>5.3157272830402953E-2</v>
      </c>
      <c r="H138">
        <f t="shared" si="111"/>
        <v>-3.0884353771695974</v>
      </c>
      <c r="J138">
        <f t="shared" si="112"/>
        <v>15</v>
      </c>
      <c r="M138">
        <f t="shared" si="113"/>
        <v>2.1122650007134411E-2</v>
      </c>
      <c r="N138">
        <f t="shared" si="114"/>
        <v>-1.5707963250000001</v>
      </c>
      <c r="O138">
        <f t="shared" si="115"/>
        <v>17.935078664459606</v>
      </c>
      <c r="P138">
        <f t="shared" si="116"/>
        <v>1.5150107415172784</v>
      </c>
      <c r="Q138">
        <f t="shared" si="117"/>
        <v>6.9502501025309371</v>
      </c>
      <c r="R138">
        <f t="shared" si="118"/>
        <v>1.4264155122015691</v>
      </c>
      <c r="S138">
        <f t="shared" si="119"/>
        <v>0.99986065626544351</v>
      </c>
      <c r="T138">
        <f t="shared" si="120"/>
        <v>-1.6694128955388802E-2</v>
      </c>
      <c r="U138">
        <f t="shared" si="121"/>
        <v>0.96793453979346322</v>
      </c>
      <c r="V138">
        <f t="shared" si="122"/>
        <v>-0.25392245437471511</v>
      </c>
      <c r="X138">
        <f t="shared" ref="X138:X201" si="139">20*LOG(C138*J138*O138*Q138*F138*M138*S138*U138)</f>
        <v>0.67674127205190715</v>
      </c>
      <c r="Y138">
        <f t="shared" si="123"/>
        <v>-112.9922736934427</v>
      </c>
      <c r="Z138">
        <f t="shared" ref="Z138:Z201" si="140">Y138+180</f>
        <v>67.007726306557302</v>
      </c>
      <c r="AC138">
        <v>1</v>
      </c>
      <c r="AD138">
        <f t="shared" si="124"/>
        <v>17.907178635964801</v>
      </c>
      <c r="AE138">
        <f t="shared" si="125"/>
        <v>-5.8507343216383421E-4</v>
      </c>
      <c r="AF138">
        <f t="shared" si="126"/>
        <v>2.2544068856400002E-3</v>
      </c>
      <c r="AG138">
        <f t="shared" ref="AG138:AG201" si="141">AC138*AE138/(AE138^2+AF138^2)+AD138*AF138/(AE138^2+AF138^2)</f>
        <v>7334.0971884806813</v>
      </c>
      <c r="AH138">
        <f t="shared" ref="AH138:AH201" si="142">AD138*AE138/(AE138^2+AF138^2)-AC138*AF138/(AE138^2+AF138^2)</f>
        <v>-2346.9522948983849</v>
      </c>
      <c r="AJ138">
        <f t="shared" si="127"/>
        <v>21000</v>
      </c>
      <c r="AK138">
        <f t="shared" si="128"/>
        <v>350.60927956236003</v>
      </c>
      <c r="AL138">
        <v>1</v>
      </c>
      <c r="AM138">
        <f t="shared" si="129"/>
        <v>6.8779340275791601</v>
      </c>
      <c r="AN138">
        <f t="shared" ref="AN138:AN201" si="143">AJ138*AL138/(AL138^2+AM138^2)+AK138*AM138/(AL138^2+AM138^2)</f>
        <v>484.64950294986784</v>
      </c>
      <c r="AO138">
        <f t="shared" ref="AO138:AO201" si="144">AK138*AL138/(AL138^2+AM138^2)-AJ138*AM138/(AL138^2+AM138^2)</f>
        <v>-2982.7780282258623</v>
      </c>
      <c r="AQ138">
        <f t="shared" si="130"/>
        <v>0.92447074050106315</v>
      </c>
      <c r="AR138">
        <f t="shared" si="131"/>
        <v>-96.144957012110567</v>
      </c>
      <c r="AT138">
        <f t="shared" si="104"/>
        <v>-218867.46924373799</v>
      </c>
      <c r="AU138">
        <f t="shared" si="105"/>
        <v>-707306.14763510146</v>
      </c>
      <c r="AV138">
        <f t="shared" ref="AV138:AV201" si="145">ATAN2(AT138,AU138)</f>
        <v>-1.8708892781475273</v>
      </c>
      <c r="AW138">
        <f t="shared" ref="AW138:AW201" si="146">AG138-AH138*AO138/_Rfb2+AG138*AN138/_Rfb2+AN138-AO138*AR138+AQ138*AN138</f>
        <v>-280809.58844516001</v>
      </c>
      <c r="AX138">
        <f t="shared" ref="AX138:AX201" si="147">AH138+AH138*AN138/_Rfb2+AG138*AO138/_Rfb2+AO138+AO138*AQ138+AN138*AR138</f>
        <v>-70026.115771912839</v>
      </c>
      <c r="AY138">
        <f t="shared" si="103"/>
        <v>-2.8972049116655851</v>
      </c>
      <c r="BA138">
        <f t="shared" si="132"/>
        <v>2.5582985919826826</v>
      </c>
      <c r="BB138">
        <f t="shared" ref="BB138:BB201" si="148">20*LOG(BA138)</f>
        <v>8.159024636179554</v>
      </c>
      <c r="BC138">
        <f t="shared" ref="BC138:BC201" si="149">AV138-AY138</f>
        <v>1.0263156335180579</v>
      </c>
      <c r="BD138">
        <f t="shared" si="133"/>
        <v>-121.1964456839271</v>
      </c>
      <c r="BF138">
        <f t="shared" si="134"/>
        <v>0.71101413247195433</v>
      </c>
      <c r="BG138">
        <f t="shared" si="135"/>
        <v>-117.21484154822915</v>
      </c>
      <c r="BH138">
        <f t="shared" ref="BH138:BH201" si="150">IF(BG138&gt;180,BG138-180,BG138+180)</f>
        <v>62.785158451770855</v>
      </c>
      <c r="BI138">
        <f t="shared" ref="BI138:BI201" si="151">IF(BH138&gt;180,BH138-360,BH138)</f>
        <v>62.785158451770855</v>
      </c>
      <c r="BJ138">
        <f t="shared" si="136"/>
        <v>0</v>
      </c>
      <c r="BK138">
        <f t="shared" ref="BK138:BK201" si="152">IF(BJ138&gt;0,BI138,0)</f>
        <v>0</v>
      </c>
      <c r="BM138">
        <f t="shared" ref="BM138:BM201" si="153">20*LOG(J138*F138*C138)</f>
        <v>-7.4480105037075983</v>
      </c>
      <c r="BN138">
        <f t="shared" si="137"/>
        <v>-176.01839586430205</v>
      </c>
      <c r="BQ138" s="66">
        <f t="shared" ref="BQ138:BQ201" si="154">20*LOG(BA138*7)</f>
        <v>25.060985436464691</v>
      </c>
      <c r="BR138" s="71"/>
      <c r="BS138" s="71"/>
      <c r="BT138" s="71">
        <v>1905.461</v>
      </c>
      <c r="BU138" s="71">
        <v>9.7134199999999993</v>
      </c>
      <c r="BV138" s="71">
        <v>-255.059</v>
      </c>
      <c r="BW138" s="75"/>
      <c r="BY138" s="71"/>
      <c r="BZ138" s="71"/>
      <c r="CA138" s="71"/>
      <c r="CC138" s="71"/>
    </row>
    <row r="139" spans="1:81" ht="13" x14ac:dyDescent="0.3">
      <c r="A139">
        <f t="shared" si="106"/>
        <v>52500</v>
      </c>
      <c r="B139">
        <f t="shared" si="138"/>
        <v>52.5</v>
      </c>
      <c r="C139">
        <f t="shared" si="107"/>
        <v>1.0001360062364935</v>
      </c>
      <c r="D139">
        <f t="shared" si="108"/>
        <v>1.6491866088185505E-2</v>
      </c>
      <c r="F139">
        <f t="shared" si="109"/>
        <v>2.7727802424261885E-2</v>
      </c>
      <c r="G139">
        <f t="shared" si="110"/>
        <v>5.2623501519607867E-2</v>
      </c>
      <c r="H139">
        <f t="shared" si="111"/>
        <v>-3.0889691484803925</v>
      </c>
      <c r="J139">
        <f t="shared" si="112"/>
        <v>15</v>
      </c>
      <c r="M139">
        <f t="shared" si="113"/>
        <v>2.0921481911828372E-2</v>
      </c>
      <c r="N139">
        <f t="shared" si="114"/>
        <v>-1.5707963250000001</v>
      </c>
      <c r="O139">
        <f t="shared" si="115"/>
        <v>18.106997767338314</v>
      </c>
      <c r="P139">
        <f t="shared" si="116"/>
        <v>1.5155409468764567</v>
      </c>
      <c r="Q139">
        <f t="shared" si="117"/>
        <v>7.0157024244369515</v>
      </c>
      <c r="R139">
        <f t="shared" si="118"/>
        <v>1.4277718042229908</v>
      </c>
      <c r="S139">
        <f t="shared" si="119"/>
        <v>0.99985796426876361</v>
      </c>
      <c r="T139">
        <f t="shared" si="120"/>
        <v>-1.6854619172309335E-2</v>
      </c>
      <c r="U139">
        <f t="shared" si="121"/>
        <v>0.96734495431324874</v>
      </c>
      <c r="V139">
        <f t="shared" si="122"/>
        <v>-0.2562589904424214</v>
      </c>
      <c r="X139">
        <f t="shared" si="139"/>
        <v>0.58191009516276726</v>
      </c>
      <c r="Y139">
        <f t="shared" si="123"/>
        <v>-113.04883969070535</v>
      </c>
      <c r="Z139">
        <f t="shared" si="140"/>
        <v>66.95116030929465</v>
      </c>
      <c r="AC139">
        <v>1</v>
      </c>
      <c r="AD139">
        <f t="shared" si="124"/>
        <v>18.079363045926002</v>
      </c>
      <c r="AE139">
        <f t="shared" si="125"/>
        <v>-5.9637893764850891E-4</v>
      </c>
      <c r="AF139">
        <f t="shared" si="126"/>
        <v>2.276083874925E-3</v>
      </c>
      <c r="AG139">
        <f t="shared" si="141"/>
        <v>7325.1652615777621</v>
      </c>
      <c r="AH139">
        <f t="shared" si="142"/>
        <v>-2358.689122111728</v>
      </c>
      <c r="AJ139">
        <f t="shared" si="127"/>
        <v>21000</v>
      </c>
      <c r="AK139">
        <f t="shared" si="128"/>
        <v>353.98052263507503</v>
      </c>
      <c r="AL139">
        <v>1</v>
      </c>
      <c r="AM139">
        <f t="shared" si="129"/>
        <v>6.9440680086135753</v>
      </c>
      <c r="AN139">
        <f t="shared" si="143"/>
        <v>476.59541757495469</v>
      </c>
      <c r="AO139">
        <f t="shared" si="144"/>
        <v>-2955.5304695989967</v>
      </c>
      <c r="AQ139">
        <f t="shared" si="130"/>
        <v>0.90694721567204784</v>
      </c>
      <c r="AR139">
        <f t="shared" si="131"/>
        <v>-95.229457645565034</v>
      </c>
      <c r="AT139">
        <f t="shared" si="104"/>
        <v>-217973.14761486821</v>
      </c>
      <c r="AU139">
        <f t="shared" si="105"/>
        <v>-699710.72155611892</v>
      </c>
      <c r="AV139">
        <f t="shared" si="145"/>
        <v>-1.872787175562145</v>
      </c>
      <c r="AW139">
        <f t="shared" si="146"/>
        <v>-275539.5810234407</v>
      </c>
      <c r="AX139">
        <f t="shared" si="147"/>
        <v>-68563.245888987643</v>
      </c>
      <c r="AY139">
        <f t="shared" ref="AY139:AY202" si="155">ATAN2(AW139,AX139)</f>
        <v>-2.897712968206668</v>
      </c>
      <c r="BA139">
        <f t="shared" si="132"/>
        <v>2.5810780708325951</v>
      </c>
      <c r="BB139">
        <f t="shared" si="148"/>
        <v>8.2360228201994126</v>
      </c>
      <c r="BC139">
        <f t="shared" si="149"/>
        <v>1.024925792644523</v>
      </c>
      <c r="BD139">
        <f t="shared" si="133"/>
        <v>-121.27607770026643</v>
      </c>
      <c r="BF139">
        <f t="shared" si="134"/>
        <v>0.61733827205526692</v>
      </c>
      <c r="BG139">
        <f t="shared" si="135"/>
        <v>-117.31605883231968</v>
      </c>
      <c r="BH139">
        <f t="shared" si="150"/>
        <v>62.683941167680317</v>
      </c>
      <c r="BI139">
        <f t="shared" si="151"/>
        <v>62.683941167680317</v>
      </c>
      <c r="BJ139">
        <f t="shared" si="136"/>
        <v>0</v>
      </c>
      <c r="BK139">
        <f t="shared" si="152"/>
        <v>0</v>
      </c>
      <c r="BM139">
        <f t="shared" si="153"/>
        <v>-7.6186845481441452</v>
      </c>
      <c r="BN139">
        <f t="shared" si="137"/>
        <v>-176.03998113205324</v>
      </c>
      <c r="BQ139" s="66">
        <f t="shared" si="154"/>
        <v>25.137983620484551</v>
      </c>
      <c r="BR139" s="71"/>
      <c r="BS139" s="71"/>
      <c r="BT139" s="71">
        <v>1949.845</v>
      </c>
      <c r="BU139" s="71">
        <v>9.5268499999999996</v>
      </c>
      <c r="BV139" s="71">
        <v>-254.971</v>
      </c>
      <c r="BW139" s="75"/>
      <c r="BY139" s="71"/>
      <c r="BZ139" s="71"/>
      <c r="CA139" s="71"/>
      <c r="CC139" s="71"/>
    </row>
    <row r="140" spans="1:81" ht="13" x14ac:dyDescent="0.3">
      <c r="A140">
        <f t="shared" si="106"/>
        <v>53000</v>
      </c>
      <c r="B140">
        <f t="shared" si="138"/>
        <v>53</v>
      </c>
      <c r="C140">
        <f t="shared" si="107"/>
        <v>1.0001386089872708</v>
      </c>
      <c r="D140">
        <f t="shared" si="108"/>
        <v>1.6648902593755597E-2</v>
      </c>
      <c r="F140">
        <f t="shared" si="109"/>
        <v>2.719354285834874E-2</v>
      </c>
      <c r="G140">
        <f t="shared" si="110"/>
        <v>5.2100595317633447E-2</v>
      </c>
      <c r="H140">
        <f t="shared" si="111"/>
        <v>-3.089492054682367</v>
      </c>
      <c r="J140">
        <f t="shared" si="112"/>
        <v>15</v>
      </c>
      <c r="M140">
        <f t="shared" si="113"/>
        <v>2.0724109440962066E-2</v>
      </c>
      <c r="N140">
        <f t="shared" si="114"/>
        <v>-1.5707963250000001</v>
      </c>
      <c r="O140">
        <f t="shared" si="115"/>
        <v>18.278921864664301</v>
      </c>
      <c r="P140">
        <f t="shared" si="116"/>
        <v>1.5160611785880962</v>
      </c>
      <c r="Q140">
        <f t="shared" si="117"/>
        <v>7.0811674133340929</v>
      </c>
      <c r="R140">
        <f t="shared" si="118"/>
        <v>1.4291030209708566</v>
      </c>
      <c r="S140">
        <f t="shared" si="119"/>
        <v>0.99985524653340685</v>
      </c>
      <c r="T140">
        <f t="shared" si="120"/>
        <v>-1.70151085208998E-2</v>
      </c>
      <c r="U140">
        <f t="shared" si="121"/>
        <v>0.96675081842031885</v>
      </c>
      <c r="V140">
        <f t="shared" si="122"/>
        <v>-0.25859266907236422</v>
      </c>
      <c r="X140">
        <f t="shared" si="139"/>
        <v>0.48800476626121142</v>
      </c>
      <c r="Y140">
        <f t="shared" si="123"/>
        <v>-113.10662759607808</v>
      </c>
      <c r="Z140">
        <f t="shared" si="140"/>
        <v>66.893372403921916</v>
      </c>
      <c r="AC140">
        <v>1</v>
      </c>
      <c r="AD140">
        <f t="shared" si="124"/>
        <v>18.251547455887202</v>
      </c>
      <c r="AE140">
        <f t="shared" si="125"/>
        <v>-6.0779262978853936E-4</v>
      </c>
      <c r="AF140">
        <f t="shared" si="126"/>
        <v>2.2977608642100003E-3</v>
      </c>
      <c r="AG140">
        <f t="shared" si="141"/>
        <v>7316.1699035982883</v>
      </c>
      <c r="AH140">
        <f t="shared" si="142"/>
        <v>-2370.4443010262594</v>
      </c>
      <c r="AJ140">
        <f t="shared" si="127"/>
        <v>21000</v>
      </c>
      <c r="AK140">
        <f t="shared" si="128"/>
        <v>357.35176570779004</v>
      </c>
      <c r="AL140">
        <v>1</v>
      </c>
      <c r="AM140">
        <f t="shared" si="129"/>
        <v>7.0102019896479897</v>
      </c>
      <c r="AN140">
        <f t="shared" si="143"/>
        <v>468.76213957985055</v>
      </c>
      <c r="AO140">
        <f t="shared" si="144"/>
        <v>-2928.765517846527</v>
      </c>
      <c r="AQ140">
        <f t="shared" si="130"/>
        <v>0.88991723769689424</v>
      </c>
      <c r="AR140">
        <f t="shared" si="131"/>
        <v>-94.331227195870781</v>
      </c>
      <c r="AT140">
        <f t="shared" si="104"/>
        <v>-217096.13420413382</v>
      </c>
      <c r="AU140">
        <f t="shared" si="105"/>
        <v>-692252.78462440579</v>
      </c>
      <c r="AV140">
        <f t="shared" si="145"/>
        <v>-1.8746904616680604</v>
      </c>
      <c r="AW140">
        <f t="shared" si="146"/>
        <v>-270413.90863136365</v>
      </c>
      <c r="AX140">
        <f t="shared" si="147"/>
        <v>-67150.157080352161</v>
      </c>
      <c r="AY140">
        <f t="shared" si="155"/>
        <v>-2.898192393720783</v>
      </c>
      <c r="BA140">
        <f t="shared" si="132"/>
        <v>2.6038286995873885</v>
      </c>
      <c r="BB140">
        <f t="shared" si="148"/>
        <v>8.3122481903114824</v>
      </c>
      <c r="BC140">
        <f t="shared" si="149"/>
        <v>1.0235019320527226</v>
      </c>
      <c r="BD140">
        <f t="shared" si="133"/>
        <v>-121.35765890288479</v>
      </c>
      <c r="BF140">
        <f t="shared" si="134"/>
        <v>0.52459308023261941</v>
      </c>
      <c r="BG140">
        <f t="shared" si="135"/>
        <v>-117.4186028244177</v>
      </c>
      <c r="BH140">
        <f t="shared" si="150"/>
        <v>62.581397175582296</v>
      </c>
      <c r="BI140">
        <f t="shared" si="151"/>
        <v>62.581397175582296</v>
      </c>
      <c r="BJ140">
        <f t="shared" si="136"/>
        <v>0</v>
      </c>
      <c r="BK140">
        <f t="shared" si="152"/>
        <v>0</v>
      </c>
      <c r="BM140">
        <f t="shared" si="153"/>
        <v>-7.7876551100788642</v>
      </c>
      <c r="BN140">
        <f t="shared" si="137"/>
        <v>-176.06094392153292</v>
      </c>
      <c r="BQ140" s="66">
        <f t="shared" si="154"/>
        <v>25.214208990596617</v>
      </c>
      <c r="BR140" s="71"/>
      <c r="BS140" s="71"/>
      <c r="BT140" s="71">
        <v>1995.2619999999999</v>
      </c>
      <c r="BU140" s="71">
        <v>9.3349399999999996</v>
      </c>
      <c r="BV140" s="71">
        <v>-254.804</v>
      </c>
      <c r="BW140" s="75"/>
      <c r="BY140" s="71"/>
      <c r="BZ140" s="71"/>
      <c r="CA140" s="71"/>
      <c r="CC140" s="71"/>
    </row>
    <row r="141" spans="1:81" ht="13" x14ac:dyDescent="0.3">
      <c r="A141">
        <f t="shared" si="106"/>
        <v>53500</v>
      </c>
      <c r="B141">
        <f t="shared" si="138"/>
        <v>53.5</v>
      </c>
      <c r="C141">
        <f t="shared" si="107"/>
        <v>1.0001412364018016</v>
      </c>
      <c r="D141">
        <f t="shared" si="108"/>
        <v>1.6805938278114777E-2</v>
      </c>
      <c r="F141">
        <f t="shared" si="109"/>
        <v>2.6674701992142971E-2</v>
      </c>
      <c r="G141">
        <f t="shared" si="110"/>
        <v>5.1588219099822322E-2</v>
      </c>
      <c r="H141">
        <f t="shared" si="111"/>
        <v>-3.0900044309001777</v>
      </c>
      <c r="J141">
        <f t="shared" si="112"/>
        <v>15</v>
      </c>
      <c r="M141">
        <f t="shared" si="113"/>
        <v>2.053042617515868E-2</v>
      </c>
      <c r="N141">
        <f t="shared" si="114"/>
        <v>-1.5707963250000001</v>
      </c>
      <c r="O141">
        <f t="shared" si="115"/>
        <v>18.450850816823539</v>
      </c>
      <c r="P141">
        <f t="shared" si="116"/>
        <v>1.5165717151762992</v>
      </c>
      <c r="Q141">
        <f t="shared" si="117"/>
        <v>7.1466447211242921</v>
      </c>
      <c r="R141">
        <f t="shared" si="118"/>
        <v>1.4304098468772419</v>
      </c>
      <c r="S141">
        <f t="shared" si="119"/>
        <v>0.99985250306000262</v>
      </c>
      <c r="T141">
        <f t="shared" si="120"/>
        <v>-1.7175596992899913E-2</v>
      </c>
      <c r="U141">
        <f t="shared" si="121"/>
        <v>0.96615215989002579</v>
      </c>
      <c r="V141">
        <f t="shared" si="122"/>
        <v>-0.26092347013119155</v>
      </c>
      <c r="X141">
        <f t="shared" si="139"/>
        <v>0.39500382301161369</v>
      </c>
      <c r="Y141">
        <f t="shared" si="123"/>
        <v>-113.16560028387839</v>
      </c>
      <c r="Z141">
        <f t="shared" si="140"/>
        <v>66.834399716121609</v>
      </c>
      <c r="AC141">
        <v>1</v>
      </c>
      <c r="AD141">
        <f t="shared" si="124"/>
        <v>18.423731865848403</v>
      </c>
      <c r="AE141">
        <f t="shared" si="125"/>
        <v>-6.1931450858392534E-4</v>
      </c>
      <c r="AF141">
        <f t="shared" si="126"/>
        <v>2.3194378534950001E-3</v>
      </c>
      <c r="AG141">
        <f t="shared" si="141"/>
        <v>7307.1116616602494</v>
      </c>
      <c r="AH141">
        <f t="shared" si="142"/>
        <v>-2382.2152680586569</v>
      </c>
      <c r="AJ141">
        <f t="shared" si="127"/>
        <v>21000</v>
      </c>
      <c r="AK141">
        <f t="shared" si="128"/>
        <v>360.72300878050504</v>
      </c>
      <c r="AL141">
        <v>1</v>
      </c>
      <c r="AM141">
        <f t="shared" si="129"/>
        <v>7.0763359706824049</v>
      </c>
      <c r="AN141">
        <f t="shared" si="143"/>
        <v>461.14172460166105</v>
      </c>
      <c r="AO141">
        <f t="shared" si="144"/>
        <v>-2902.4707646007487</v>
      </c>
      <c r="AQ141">
        <f t="shared" si="130"/>
        <v>0.8733624454148472</v>
      </c>
      <c r="AR141">
        <f t="shared" si="131"/>
        <v>-93.449781659388648</v>
      </c>
      <c r="AT141">
        <f t="shared" si="104"/>
        <v>-216235.73975599656</v>
      </c>
      <c r="AU141">
        <f t="shared" si="105"/>
        <v>-684928.52669493924</v>
      </c>
      <c r="AV141">
        <f t="shared" si="145"/>
        <v>-1.8765988862371956</v>
      </c>
      <c r="AW141">
        <f t="shared" si="146"/>
        <v>-265427.39270549652</v>
      </c>
      <c r="AX141">
        <f t="shared" si="147"/>
        <v>-65784.666361253403</v>
      </c>
      <c r="AY141">
        <f t="shared" si="155"/>
        <v>-2.8986439113630773</v>
      </c>
      <c r="BA141">
        <f t="shared" si="132"/>
        <v>2.6265500305713649</v>
      </c>
      <c r="BB141">
        <f t="shared" si="148"/>
        <v>8.387713553337516</v>
      </c>
      <c r="BC141">
        <f t="shared" si="149"/>
        <v>1.0220450251258817</v>
      </c>
      <c r="BD141">
        <f t="shared" si="133"/>
        <v>-121.44113352103153</v>
      </c>
      <c r="BF141">
        <f t="shared" si="134"/>
        <v>0.43275693596265263</v>
      </c>
      <c r="BG141">
        <f t="shared" si="135"/>
        <v>-117.52243695544442</v>
      </c>
      <c r="BH141">
        <f t="shared" si="150"/>
        <v>62.477563044555581</v>
      </c>
      <c r="BI141">
        <f t="shared" si="151"/>
        <v>62.477563044555581</v>
      </c>
      <c r="BJ141">
        <f t="shared" si="136"/>
        <v>0</v>
      </c>
      <c r="BK141">
        <f t="shared" si="152"/>
        <v>0</v>
      </c>
      <c r="BM141">
        <f t="shared" si="153"/>
        <v>-7.9549566173748634</v>
      </c>
      <c r="BN141">
        <f t="shared" si="137"/>
        <v>-176.08130343441289</v>
      </c>
      <c r="BQ141" s="66">
        <f t="shared" si="154"/>
        <v>25.289674353622651</v>
      </c>
      <c r="BR141" s="71"/>
      <c r="BS141" s="71"/>
      <c r="BT141" s="71">
        <v>2041.7380000000001</v>
      </c>
      <c r="BU141" s="71">
        <v>9.0884699999999992</v>
      </c>
      <c r="BV141" s="71">
        <v>-254.411</v>
      </c>
      <c r="BW141" s="75"/>
      <c r="BY141" s="71"/>
      <c r="BZ141" s="71"/>
      <c r="CA141" s="71"/>
      <c r="CC141" s="71"/>
    </row>
    <row r="142" spans="1:81" ht="13" x14ac:dyDescent="0.3">
      <c r="A142">
        <f t="shared" si="106"/>
        <v>54000</v>
      </c>
      <c r="B142">
        <f t="shared" si="138"/>
        <v>54</v>
      </c>
      <c r="C142">
        <f t="shared" si="107"/>
        <v>1.0001438884798917</v>
      </c>
      <c r="D142">
        <f t="shared" si="108"/>
        <v>1.6962973133524496E-2</v>
      </c>
      <c r="F142">
        <f t="shared" si="109"/>
        <v>2.6170687597527224E-2</v>
      </c>
      <c r="G142">
        <f t="shared" si="110"/>
        <v>5.1086051614472008E-2</v>
      </c>
      <c r="H142">
        <f t="shared" si="111"/>
        <v>-3.0905065983855282</v>
      </c>
      <c r="J142">
        <f t="shared" si="112"/>
        <v>15</v>
      </c>
      <c r="M142">
        <f t="shared" si="113"/>
        <v>2.0340329636499805E-2</v>
      </c>
      <c r="N142">
        <f t="shared" si="114"/>
        <v>-1.5707963250000001</v>
      </c>
      <c r="O142">
        <f t="shared" si="115"/>
        <v>18.622784489353904</v>
      </c>
      <c r="P142">
        <f t="shared" si="116"/>
        <v>1.517072824899999</v>
      </c>
      <c r="Q142">
        <f t="shared" si="117"/>
        <v>7.2121340122863558</v>
      </c>
      <c r="R142">
        <f t="shared" si="118"/>
        <v>1.4316929418547673</v>
      </c>
      <c r="S142">
        <f t="shared" si="119"/>
        <v>0.99984973384918685</v>
      </c>
      <c r="T142">
        <f t="shared" si="120"/>
        <v>-1.7336084580049666E-2</v>
      </c>
      <c r="U142">
        <f t="shared" si="121"/>
        <v>0.96554900661441589</v>
      </c>
      <c r="V142">
        <f t="shared" si="122"/>
        <v>-0.26325137366023199</v>
      </c>
      <c r="X142">
        <f t="shared" si="139"/>
        <v>0.30288653539907906</v>
      </c>
      <c r="Y142">
        <f t="shared" si="123"/>
        <v>-113.22572183658293</v>
      </c>
      <c r="Z142">
        <f t="shared" si="140"/>
        <v>66.774278163417065</v>
      </c>
      <c r="AC142">
        <v>1</v>
      </c>
      <c r="AD142">
        <f t="shared" si="124"/>
        <v>18.5959162758096</v>
      </c>
      <c r="AE142">
        <f t="shared" si="125"/>
        <v>-6.3094457403466717E-4</v>
      </c>
      <c r="AF142">
        <f t="shared" si="126"/>
        <v>2.3411148427800003E-3</v>
      </c>
      <c r="AG142">
        <f t="shared" si="141"/>
        <v>7297.9910845690019</v>
      </c>
      <c r="AH142">
        <f t="shared" si="142"/>
        <v>-2393.9995483121488</v>
      </c>
      <c r="AJ142">
        <f t="shared" si="127"/>
        <v>21000</v>
      </c>
      <c r="AK142">
        <f t="shared" si="128"/>
        <v>364.09425185322004</v>
      </c>
      <c r="AL142">
        <v>1</v>
      </c>
      <c r="AM142">
        <f t="shared" si="129"/>
        <v>7.1424699517168193</v>
      </c>
      <c r="AN142">
        <f t="shared" si="143"/>
        <v>453.72657996255259</v>
      </c>
      <c r="AO142">
        <f t="shared" si="144"/>
        <v>-2876.6342118245511</v>
      </c>
      <c r="AQ142">
        <f t="shared" si="130"/>
        <v>0.85726532361765961</v>
      </c>
      <c r="AR142">
        <f t="shared" si="131"/>
        <v>-92.584654950707247</v>
      </c>
      <c r="AT142">
        <f t="shared" si="104"/>
        <v>-215391.30744375745</v>
      </c>
      <c r="AU142">
        <f t="shared" si="105"/>
        <v>-677734.27919568319</v>
      </c>
      <c r="AV142">
        <f t="shared" si="145"/>
        <v>-1.8785122076879031</v>
      </c>
      <c r="AW142">
        <f t="shared" si="146"/>
        <v>-260575.08317215103</v>
      </c>
      <c r="AX142">
        <f t="shared" si="147"/>
        <v>-64464.706072429733</v>
      </c>
      <c r="AY142">
        <f t="shared" si="155"/>
        <v>-2.8990682181749974</v>
      </c>
      <c r="BA142">
        <f t="shared" si="132"/>
        <v>2.6492416226791287</v>
      </c>
      <c r="BB142">
        <f t="shared" si="148"/>
        <v>8.4624313940368374</v>
      </c>
      <c r="BC142">
        <f t="shared" si="149"/>
        <v>1.0205560104870943</v>
      </c>
      <c r="BD142">
        <f t="shared" si="133"/>
        <v>-121.52644777556473</v>
      </c>
      <c r="BF142">
        <f t="shared" si="134"/>
        <v>0.34180894986947075</v>
      </c>
      <c r="BG142">
        <f t="shared" si="135"/>
        <v>-117.62752585306808</v>
      </c>
      <c r="BH142">
        <f t="shared" si="150"/>
        <v>62.372474146931921</v>
      </c>
      <c r="BI142">
        <f t="shared" si="151"/>
        <v>62.372474146931921</v>
      </c>
      <c r="BJ142">
        <f t="shared" si="136"/>
        <v>0</v>
      </c>
      <c r="BK142">
        <f t="shared" si="152"/>
        <v>0</v>
      </c>
      <c r="BM142">
        <f t="shared" si="153"/>
        <v>-8.1206224441673669</v>
      </c>
      <c r="BN142">
        <f t="shared" si="137"/>
        <v>-176.10107807750336</v>
      </c>
      <c r="BQ142" s="66">
        <f t="shared" si="154"/>
        <v>25.364392194321972</v>
      </c>
      <c r="BR142" s="71"/>
      <c r="BS142" s="71"/>
      <c r="BT142" s="71">
        <v>2089.2959999999998</v>
      </c>
      <c r="BU142" s="71">
        <v>8.9698600000000006</v>
      </c>
      <c r="BV142" s="71">
        <v>-254.113</v>
      </c>
      <c r="BW142" s="75"/>
      <c r="BY142" s="71"/>
      <c r="BZ142" s="71"/>
      <c r="CA142" s="71"/>
      <c r="CC142" s="71"/>
    </row>
    <row r="143" spans="1:81" ht="13" x14ac:dyDescent="0.3">
      <c r="A143">
        <f t="shared" si="106"/>
        <v>54500</v>
      </c>
      <c r="B143">
        <f t="shared" si="138"/>
        <v>54.5</v>
      </c>
      <c r="C143">
        <f t="shared" si="107"/>
        <v>1.0001465652213446</v>
      </c>
      <c r="D143">
        <f t="shared" si="108"/>
        <v>1.712000715224643E-2</v>
      </c>
      <c r="F143">
        <f t="shared" si="109"/>
        <v>2.56809358168184E-2</v>
      </c>
      <c r="G143">
        <f t="shared" si="110"/>
        <v>5.0593784762696888E-2</v>
      </c>
      <c r="H143">
        <f t="shared" si="111"/>
        <v>-3.0909988652373035</v>
      </c>
      <c r="J143">
        <f t="shared" si="112"/>
        <v>15</v>
      </c>
      <c r="M143">
        <f t="shared" si="113"/>
        <v>2.0153721107724575E-2</v>
      </c>
      <c r="N143">
        <f t="shared" si="114"/>
        <v>-1.5707963250000001</v>
      </c>
      <c r="O143">
        <f t="shared" si="115"/>
        <v>18.79472275270988</v>
      </c>
      <c r="P143">
        <f t="shared" si="116"/>
        <v>1.5175647662211063</v>
      </c>
      <c r="Q143">
        <f t="shared" si="117"/>
        <v>7.2776349633158013</v>
      </c>
      <c r="R143">
        <f t="shared" si="118"/>
        <v>1.4329529423775051</v>
      </c>
      <c r="S143">
        <f t="shared" si="119"/>
        <v>0.99984693890160137</v>
      </c>
      <c r="T143">
        <f t="shared" si="120"/>
        <v>-1.7496571274089323E-2</v>
      </c>
      <c r="U143">
        <f t="shared" si="121"/>
        <v>0.96494138659899287</v>
      </c>
      <c r="V143">
        <f t="shared" si="122"/>
        <v>-0.26557635987602113</v>
      </c>
      <c r="X143">
        <f t="shared" si="139"/>
        <v>0.21163287281250276</v>
      </c>
      <c r="Y143">
        <f t="shared" si="123"/>
        <v>-113.28695749736364</v>
      </c>
      <c r="Z143">
        <f t="shared" si="140"/>
        <v>66.713042502636355</v>
      </c>
      <c r="AC143">
        <v>1</v>
      </c>
      <c r="AD143">
        <f t="shared" si="124"/>
        <v>18.768100685770804</v>
      </c>
      <c r="AE143">
        <f t="shared" si="125"/>
        <v>-6.4268282614076484E-4</v>
      </c>
      <c r="AF143">
        <f t="shared" si="126"/>
        <v>2.3627918320650002E-3</v>
      </c>
      <c r="AG143">
        <f t="shared" si="141"/>
        <v>7288.808722743227</v>
      </c>
      <c r="AH143">
        <f t="shared" si="142"/>
        <v>-2405.7947517806124</v>
      </c>
      <c r="AJ143">
        <f t="shared" si="127"/>
        <v>21000</v>
      </c>
      <c r="AK143">
        <f t="shared" si="128"/>
        <v>367.46549492593505</v>
      </c>
      <c r="AL143">
        <v>1</v>
      </c>
      <c r="AM143">
        <f t="shared" si="129"/>
        <v>7.2086039327512355</v>
      </c>
      <c r="AN143">
        <f t="shared" si="143"/>
        <v>446.50944628018362</v>
      </c>
      <c r="AO143">
        <f t="shared" si="144"/>
        <v>-2851.244255539973</v>
      </c>
      <c r="AQ143">
        <f t="shared" si="130"/>
        <v>0.84160915670762493</v>
      </c>
      <c r="AR143">
        <f t="shared" si="131"/>
        <v>-91.735398081131123</v>
      </c>
      <c r="AT143">
        <f t="shared" si="104"/>
        <v>-214562.2110935394</v>
      </c>
      <c r="AU143">
        <f t="shared" si="105"/>
        <v>-670666.50861032854</v>
      </c>
      <c r="AV143">
        <f t="shared" si="145"/>
        <v>-1.8804301926995979</v>
      </c>
      <c r="AW143">
        <f t="shared" si="146"/>
        <v>-255852.24654705415</v>
      </c>
      <c r="AX143">
        <f t="shared" si="147"/>
        <v>-63188.316804246191</v>
      </c>
      <c r="AY143">
        <f t="shared" si="155"/>
        <v>-2.8994659862476491</v>
      </c>
      <c r="BA143">
        <f t="shared" si="132"/>
        <v>2.6719030411335387</v>
      </c>
      <c r="BB143">
        <f t="shared" si="148"/>
        <v>8.5364138854661693</v>
      </c>
      <c r="BC143">
        <f t="shared" si="149"/>
        <v>1.0190357935480512</v>
      </c>
      <c r="BD143">
        <f t="shared" si="133"/>
        <v>-121.61354979021573</v>
      </c>
      <c r="BF143">
        <f t="shared" si="134"/>
        <v>0.25172893134530661</v>
      </c>
      <c r="BG143">
        <f t="shared" si="135"/>
        <v>-117.73383529422919</v>
      </c>
      <c r="BH143">
        <f t="shared" si="150"/>
        <v>62.266164705770805</v>
      </c>
      <c r="BI143">
        <f t="shared" si="151"/>
        <v>62.266164705770805</v>
      </c>
      <c r="BJ143">
        <f t="shared" si="136"/>
        <v>0</v>
      </c>
      <c r="BK143">
        <f t="shared" si="152"/>
        <v>0</v>
      </c>
      <c r="BM143">
        <f t="shared" si="153"/>
        <v>-8.2846849541208609</v>
      </c>
      <c r="BN143">
        <f t="shared" si="137"/>
        <v>-176.12028550401348</v>
      </c>
      <c r="BQ143" s="66">
        <f t="shared" si="154"/>
        <v>25.438374685751306</v>
      </c>
      <c r="BR143" s="71"/>
      <c r="BS143" s="71"/>
      <c r="BT143" s="71">
        <v>2137.962</v>
      </c>
      <c r="BU143" s="71">
        <v>8.68736</v>
      </c>
      <c r="BV143" s="71">
        <v>-254.34</v>
      </c>
      <c r="BW143" s="75"/>
      <c r="BY143" s="71"/>
      <c r="BZ143" s="71"/>
      <c r="CA143" s="71"/>
      <c r="CC143" s="71"/>
    </row>
    <row r="144" spans="1:81" ht="13" x14ac:dyDescent="0.3">
      <c r="A144">
        <f t="shared" si="106"/>
        <v>55000</v>
      </c>
      <c r="B144">
        <f t="shared" si="138"/>
        <v>55</v>
      </c>
      <c r="C144">
        <f t="shared" si="107"/>
        <v>1.0001492666259626</v>
      </c>
      <c r="D144">
        <f t="shared" si="108"/>
        <v>1.7277040326542509E-2</v>
      </c>
      <c r="F144">
        <f t="shared" si="109"/>
        <v>2.5204909536265332E-2</v>
      </c>
      <c r="G144">
        <f t="shared" si="110"/>
        <v>5.0111122923156337E-2</v>
      </c>
      <c r="H144">
        <f t="shared" si="111"/>
        <v>-3.0914815270768439</v>
      </c>
      <c r="J144">
        <f t="shared" si="112"/>
        <v>15</v>
      </c>
      <c r="M144">
        <f t="shared" si="113"/>
        <v>1.9970505461290717E-2</v>
      </c>
      <c r="N144">
        <f t="shared" si="114"/>
        <v>-1.5707963250000001</v>
      </c>
      <c r="O144">
        <f t="shared" si="115"/>
        <v>18.966665482040003</v>
      </c>
      <c r="P144">
        <f t="shared" si="116"/>
        <v>1.5180477882472916</v>
      </c>
      <c r="Q144">
        <f t="shared" si="117"/>
        <v>7.3431472621942158</v>
      </c>
      <c r="R144">
        <f t="shared" si="118"/>
        <v>1.4341904625055961</v>
      </c>
      <c r="S144">
        <f t="shared" si="119"/>
        <v>0.99984411821789387</v>
      </c>
      <c r="T144">
        <f t="shared" si="120"/>
        <v>-1.7657057066759425E-2</v>
      </c>
      <c r="U144">
        <f t="shared" si="121"/>
        <v>0.964329327959486</v>
      </c>
      <c r="V144">
        <f t="shared" si="122"/>
        <v>-0.26789840917080365</v>
      </c>
      <c r="X144">
        <f t="shared" si="139"/>
        <v>0.12122347295932383</v>
      </c>
      <c r="Y144">
        <f t="shared" si="123"/>
        <v>-113.34927362473162</v>
      </c>
      <c r="Z144">
        <f t="shared" si="140"/>
        <v>66.650726375268377</v>
      </c>
      <c r="AC144">
        <v>1</v>
      </c>
      <c r="AD144">
        <f t="shared" si="124"/>
        <v>18.940285095732001</v>
      </c>
      <c r="AE144">
        <f t="shared" si="125"/>
        <v>-6.5452926490221826E-4</v>
      </c>
      <c r="AF144">
        <f t="shared" si="126"/>
        <v>2.38446882135E-3</v>
      </c>
      <c r="AG144">
        <f t="shared" si="141"/>
        <v>7279.565128141101</v>
      </c>
      <c r="AH144">
        <f t="shared" si="142"/>
        <v>-2417.5985697587184</v>
      </c>
      <c r="AJ144">
        <f t="shared" si="127"/>
        <v>21000</v>
      </c>
      <c r="AK144">
        <f t="shared" si="128"/>
        <v>370.83673799864999</v>
      </c>
      <c r="AL144">
        <v>1</v>
      </c>
      <c r="AM144">
        <f t="shared" si="129"/>
        <v>7.2747379137856498</v>
      </c>
      <c r="AN144">
        <f t="shared" si="143"/>
        <v>439.48338018234233</v>
      </c>
      <c r="AO144">
        <f t="shared" si="144"/>
        <v>-2826.2896702925086</v>
      </c>
      <c r="AQ144">
        <f t="shared" si="130"/>
        <v>0.82637798529047191</v>
      </c>
      <c r="AR144">
        <f t="shared" si="131"/>
        <v>-90.901578381951907</v>
      </c>
      <c r="AT144">
        <f t="shared" si="104"/>
        <v>-213747.85352063295</v>
      </c>
      <c r="AU144">
        <f t="shared" si="105"/>
        <v>-663721.81031756033</v>
      </c>
      <c r="AV144">
        <f t="shared" si="145"/>
        <v>-1.8823526158482455</v>
      </c>
      <c r="AW144">
        <f t="shared" si="146"/>
        <v>-251254.354746155</v>
      </c>
      <c r="AX144">
        <f t="shared" si="147"/>
        <v>-61953.640813010723</v>
      </c>
      <c r="AY144">
        <f t="shared" si="155"/>
        <v>-2.8998378638243674</v>
      </c>
      <c r="BA144">
        <f t="shared" si="132"/>
        <v>2.6945338572571349</v>
      </c>
      <c r="BB144">
        <f t="shared" si="148"/>
        <v>8.6096728989457016</v>
      </c>
      <c r="BC144">
        <f t="shared" si="149"/>
        <v>1.0174852479761218</v>
      </c>
      <c r="BD144">
        <f t="shared" si="133"/>
        <v>-121.70238950753151</v>
      </c>
      <c r="BF144">
        <f t="shared" si="134"/>
        <v>0.16249735748488209</v>
      </c>
      <c r="BG144">
        <f t="shared" si="135"/>
        <v>-117.84133215977323</v>
      </c>
      <c r="BH144">
        <f t="shared" si="150"/>
        <v>62.158667840226769</v>
      </c>
      <c r="BI144">
        <f t="shared" si="151"/>
        <v>62.158667840226769</v>
      </c>
      <c r="BJ144">
        <f t="shared" si="136"/>
        <v>0</v>
      </c>
      <c r="BK144">
        <f t="shared" si="152"/>
        <v>0</v>
      </c>
      <c r="BM144">
        <f t="shared" si="153"/>
        <v>-8.4471755414608207</v>
      </c>
      <c r="BN144">
        <f t="shared" si="137"/>
        <v>-176.13894265224175</v>
      </c>
      <c r="BQ144" s="66">
        <f t="shared" si="154"/>
        <v>25.511633699230842</v>
      </c>
      <c r="BR144" s="71"/>
      <c r="BS144" s="71"/>
      <c r="BT144" s="71">
        <v>2187.7620000000002</v>
      </c>
      <c r="BU144" s="71">
        <v>8.5308799999999998</v>
      </c>
      <c r="BV144" s="71">
        <v>-253.785</v>
      </c>
      <c r="BW144" s="75"/>
      <c r="BY144" s="71"/>
      <c r="BZ144" s="71"/>
      <c r="CA144" s="71"/>
      <c r="CC144" s="71"/>
    </row>
    <row r="145" spans="1:81" ht="13" x14ac:dyDescent="0.3">
      <c r="A145">
        <f t="shared" si="106"/>
        <v>55500</v>
      </c>
      <c r="B145">
        <f t="shared" si="138"/>
        <v>55.5</v>
      </c>
      <c r="C145">
        <f t="shared" si="107"/>
        <v>1.0001519926935454</v>
      </c>
      <c r="D145">
        <f t="shared" si="108"/>
        <v>1.7434072648674918E-2</v>
      </c>
      <c r="F145">
        <f t="shared" si="109"/>
        <v>2.4742096867993769E-2</v>
      </c>
      <c r="G145">
        <f t="shared" si="110"/>
        <v>4.9637782318395177E-2</v>
      </c>
      <c r="H145">
        <f t="shared" si="111"/>
        <v>-3.0919548676816051</v>
      </c>
      <c r="J145">
        <f t="shared" si="112"/>
        <v>15</v>
      </c>
      <c r="M145">
        <f t="shared" si="113"/>
        <v>1.9790590997675488E-2</v>
      </c>
      <c r="N145">
        <f t="shared" si="114"/>
        <v>-1.5707963250000001</v>
      </c>
      <c r="O145">
        <f t="shared" si="115"/>
        <v>19.138612556976344</v>
      </c>
      <c r="P145">
        <f t="shared" si="116"/>
        <v>1.5185221311509898</v>
      </c>
      <c r="Q145">
        <f t="shared" si="117"/>
        <v>7.4086706078863527</v>
      </c>
      <c r="R145">
        <f t="shared" si="118"/>
        <v>1.4354060948569412</v>
      </c>
      <c r="S145">
        <f t="shared" si="119"/>
        <v>0.9998412717987184</v>
      </c>
      <c r="T145">
        <f t="shared" si="120"/>
        <v>-1.7817541949800793E-2</v>
      </c>
      <c r="U145">
        <f t="shared" si="121"/>
        <v>0.96371285891862468</v>
      </c>
      <c r="V145">
        <f t="shared" si="122"/>
        <v>-0.2702175021130131</v>
      </c>
      <c r="X145">
        <f t="shared" si="139"/>
        <v>3.1639612491384084E-2</v>
      </c>
      <c r="Y145">
        <f t="shared" si="123"/>
        <v>-113.41263764918932</v>
      </c>
      <c r="Z145">
        <f t="shared" si="140"/>
        <v>66.587362350810679</v>
      </c>
      <c r="AC145">
        <v>1</v>
      </c>
      <c r="AD145">
        <f t="shared" si="124"/>
        <v>19.112469505693202</v>
      </c>
      <c r="AE145">
        <f t="shared" si="125"/>
        <v>-6.6648389031902743E-4</v>
      </c>
      <c r="AF145">
        <f t="shared" si="126"/>
        <v>2.4061458106350003E-3</v>
      </c>
      <c r="AG145">
        <f t="shared" si="141"/>
        <v>7270.2608541868376</v>
      </c>
      <c r="AH145">
        <f t="shared" si="142"/>
        <v>-2429.4087714451116</v>
      </c>
      <c r="AJ145">
        <f t="shared" si="127"/>
        <v>21000</v>
      </c>
      <c r="AK145">
        <f t="shared" si="128"/>
        <v>374.20798107136505</v>
      </c>
      <c r="AL145">
        <v>1</v>
      </c>
      <c r="AM145">
        <f t="shared" si="129"/>
        <v>7.3408718948200651</v>
      </c>
      <c r="AN145">
        <f t="shared" si="143"/>
        <v>432.64173805121578</v>
      </c>
      <c r="AO145">
        <f t="shared" si="144"/>
        <v>-2801.7595943149095</v>
      </c>
      <c r="AQ145">
        <f t="shared" si="130"/>
        <v>0.81155656549261479</v>
      </c>
      <c r="AR145">
        <f t="shared" si="131"/>
        <v>-90.082778769680246</v>
      </c>
      <c r="AT145">
        <f t="shared" si="104"/>
        <v>-212947.66497015141</v>
      </c>
      <c r="AU145">
        <f t="shared" si="105"/>
        <v>-656896.90276431106</v>
      </c>
      <c r="AV145">
        <f t="shared" si="145"/>
        <v>-1.8842792592613995</v>
      </c>
      <c r="AW145">
        <f t="shared" si="146"/>
        <v>-246777.07455981811</v>
      </c>
      <c r="AX145">
        <f t="shared" si="147"/>
        <v>-60758.915891325807</v>
      </c>
      <c r="AY145">
        <f t="shared" si="155"/>
        <v>-2.9001844763461451</v>
      </c>
      <c r="BA145">
        <f t="shared" si="132"/>
        <v>2.7171336482562394</v>
      </c>
      <c r="BB145">
        <f t="shared" si="148"/>
        <v>8.6822200136481928</v>
      </c>
      <c r="BC145">
        <f t="shared" si="149"/>
        <v>1.0159052170847456</v>
      </c>
      <c r="BD145">
        <f t="shared" si="133"/>
        <v>-121.7929186092111</v>
      </c>
      <c r="BF145">
        <f t="shared" si="134"/>
        <v>7.4095343730865459E-2</v>
      </c>
      <c r="BG145">
        <f t="shared" si="135"/>
        <v>-117.94998439109324</v>
      </c>
      <c r="BH145">
        <f t="shared" si="150"/>
        <v>62.050015608906762</v>
      </c>
      <c r="BI145">
        <f t="shared" si="151"/>
        <v>62.050015608906762</v>
      </c>
      <c r="BJ145">
        <f t="shared" si="136"/>
        <v>55500</v>
      </c>
      <c r="BK145">
        <f t="shared" si="152"/>
        <v>62.050015608906762</v>
      </c>
      <c r="BM145">
        <f t="shared" si="153"/>
        <v>-8.6081246699173271</v>
      </c>
      <c r="BN145">
        <f t="shared" si="137"/>
        <v>-176.15706578188212</v>
      </c>
      <c r="BQ145" s="66">
        <f t="shared" si="154"/>
        <v>25.58418081393333</v>
      </c>
      <c r="BR145" s="71"/>
      <c r="BS145" s="71"/>
      <c r="BT145" s="71">
        <v>2238.721</v>
      </c>
      <c r="BU145" s="71">
        <v>8.3496900000000007</v>
      </c>
      <c r="BV145" s="71">
        <v>-253.78300000000002</v>
      </c>
      <c r="BW145" s="75"/>
      <c r="BY145" s="71"/>
      <c r="BZ145" s="71"/>
      <c r="CA145" s="71"/>
      <c r="CC145" s="71"/>
    </row>
    <row r="146" spans="1:81" ht="13" x14ac:dyDescent="0.3">
      <c r="A146">
        <f t="shared" si="106"/>
        <v>56000</v>
      </c>
      <c r="B146">
        <f t="shared" si="138"/>
        <v>56</v>
      </c>
      <c r="C146">
        <f t="shared" si="107"/>
        <v>1.0001547434238918</v>
      </c>
      <c r="D146">
        <f t="shared" si="108"/>
        <v>1.759110411090609E-2</v>
      </c>
      <c r="F146">
        <f t="shared" si="109"/>
        <v>2.4292009732164895E-2</v>
      </c>
      <c r="G146">
        <f t="shared" si="110"/>
        <v>4.9173490419811471E-2</v>
      </c>
      <c r="H146">
        <f t="shared" si="111"/>
        <v>-3.0924191595801886</v>
      </c>
      <c r="J146">
        <f t="shared" si="112"/>
        <v>15</v>
      </c>
      <c r="M146">
        <f t="shared" si="113"/>
        <v>1.9613889292339096E-2</v>
      </c>
      <c r="N146">
        <f t="shared" si="114"/>
        <v>-1.5707963250000001</v>
      </c>
      <c r="O146">
        <f t="shared" si="115"/>
        <v>19.310563861435135</v>
      </c>
      <c r="P146">
        <f t="shared" si="116"/>
        <v>1.518988026566104</v>
      </c>
      <c r="Q146">
        <f t="shared" si="117"/>
        <v>7.4742047098633053</v>
      </c>
      <c r="R146">
        <f t="shared" si="118"/>
        <v>1.4366004115291093</v>
      </c>
      <c r="S146">
        <f t="shared" si="119"/>
        <v>0.99983839964473387</v>
      </c>
      <c r="T146">
        <f t="shared" si="120"/>
        <v>-1.7978025914954527E-2</v>
      </c>
      <c r="U146">
        <f t="shared" si="121"/>
        <v>0.96309200780292104</v>
      </c>
      <c r="V146">
        <f t="shared" si="122"/>
        <v>-0.27253361944772686</v>
      </c>
      <c r="X146">
        <f t="shared" si="139"/>
        <v>-5.7136820769764646E-2</v>
      </c>
      <c r="Y146">
        <f t="shared" si="123"/>
        <v>-113.47701803179829</v>
      </c>
      <c r="Z146">
        <f t="shared" si="140"/>
        <v>66.522981968201705</v>
      </c>
      <c r="AC146">
        <v>1</v>
      </c>
      <c r="AD146">
        <f t="shared" si="124"/>
        <v>19.284653915654403</v>
      </c>
      <c r="AE146">
        <f t="shared" si="125"/>
        <v>-6.7854670239119222E-4</v>
      </c>
      <c r="AF146">
        <f t="shared" si="126"/>
        <v>2.4278227999200001E-3</v>
      </c>
      <c r="AG146">
        <f t="shared" si="141"/>
        <v>7260.8964556974506</v>
      </c>
      <c r="AH146">
        <f t="shared" si="142"/>
        <v>-2441.2232007264693</v>
      </c>
      <c r="AJ146">
        <f t="shared" si="127"/>
        <v>21000</v>
      </c>
      <c r="AK146">
        <f t="shared" si="128"/>
        <v>377.57922414408006</v>
      </c>
      <c r="AL146">
        <v>1</v>
      </c>
      <c r="AM146">
        <f t="shared" si="129"/>
        <v>7.4070058758544794</v>
      </c>
      <c r="AN146">
        <f t="shared" si="143"/>
        <v>425.9781607282967</v>
      </c>
      <c r="AO146">
        <f t="shared" si="144"/>
        <v>-2777.6435153560974</v>
      </c>
      <c r="AQ146">
        <f t="shared" si="130"/>
        <v>0.79713033080908724</v>
      </c>
      <c r="AR146">
        <f t="shared" si="131"/>
        <v>-89.278597050617776</v>
      </c>
      <c r="AT146">
        <f t="shared" si="104"/>
        <v>-212161.10165457721</v>
      </c>
      <c r="AU146">
        <f t="shared" si="105"/>
        <v>-650188.62195204536</v>
      </c>
      <c r="AV146">
        <f t="shared" si="145"/>
        <v>-1.8862099122915792</v>
      </c>
      <c r="AW146">
        <f t="shared" si="146"/>
        <v>-242416.25774619935</v>
      </c>
      <c r="AX146">
        <f t="shared" si="147"/>
        <v>-59602.469657581518</v>
      </c>
      <c r="AY146">
        <f t="shared" si="155"/>
        <v>-2.9005064274433203</v>
      </c>
      <c r="BA146">
        <f t="shared" si="132"/>
        <v>2.7397019970169181</v>
      </c>
      <c r="BB146">
        <f t="shared" si="148"/>
        <v>8.754066525826854</v>
      </c>
      <c r="BC146">
        <f t="shared" si="149"/>
        <v>1.0142965151517411</v>
      </c>
      <c r="BD146">
        <f t="shared" si="133"/>
        <v>-121.88509044057211</v>
      </c>
      <c r="BF146">
        <f t="shared" si="134"/>
        <v>-1.3495383881183785E-2</v>
      </c>
      <c r="BG146">
        <f t="shared" si="135"/>
        <v>-118.05976094868869</v>
      </c>
      <c r="BH146">
        <f t="shared" si="150"/>
        <v>61.940239051311309</v>
      </c>
      <c r="BI146">
        <f t="shared" si="151"/>
        <v>61.940239051311309</v>
      </c>
      <c r="BJ146">
        <f t="shared" si="136"/>
        <v>0</v>
      </c>
      <c r="BK146">
        <f t="shared" si="152"/>
        <v>0</v>
      </c>
      <c r="BM146">
        <f t="shared" si="153"/>
        <v>-8.7675619097080375</v>
      </c>
      <c r="BN146">
        <f t="shared" si="137"/>
        <v>-176.17467050811658</v>
      </c>
      <c r="BQ146" s="66">
        <f t="shared" si="154"/>
        <v>25.656027326111989</v>
      </c>
      <c r="BR146" s="71"/>
      <c r="BS146" s="71"/>
      <c r="BT146" s="71">
        <v>2290.8679999999999</v>
      </c>
      <c r="BU146" s="71">
        <v>8.2818299999999994</v>
      </c>
      <c r="BV146" s="71">
        <v>-253.62</v>
      </c>
      <c r="BW146" s="75"/>
      <c r="BY146" s="71"/>
      <c r="BZ146" s="71"/>
      <c r="CA146" s="71"/>
      <c r="CC146" s="71"/>
    </row>
    <row r="147" spans="1:81" ht="13" x14ac:dyDescent="0.3">
      <c r="A147">
        <f t="shared" si="106"/>
        <v>56500</v>
      </c>
      <c r="B147">
        <f t="shared" si="138"/>
        <v>56.5</v>
      </c>
      <c r="C147">
        <f t="shared" si="107"/>
        <v>1.0001575188167982</v>
      </c>
      <c r="D147">
        <f t="shared" si="108"/>
        <v>1.77481347054987E-2</v>
      </c>
      <c r="F147">
        <f t="shared" si="109"/>
        <v>2.3854182531813858E-2</v>
      </c>
      <c r="G147">
        <f t="shared" si="110"/>
        <v>4.8717985388510507E-2</v>
      </c>
      <c r="H147">
        <f t="shared" si="111"/>
        <v>-3.0928746646114895</v>
      </c>
      <c r="J147">
        <f t="shared" si="112"/>
        <v>15</v>
      </c>
      <c r="M147">
        <f t="shared" si="113"/>
        <v>1.9440315050813974E-2</v>
      </c>
      <c r="N147">
        <f t="shared" si="114"/>
        <v>-1.5707963250000001</v>
      </c>
      <c r="O147">
        <f t="shared" si="115"/>
        <v>19.482519283428005</v>
      </c>
      <c r="P147">
        <f t="shared" si="116"/>
        <v>1.519445697963778</v>
      </c>
      <c r="Q147">
        <f t="shared" si="117"/>
        <v>7.5397492876501788</v>
      </c>
      <c r="R147">
        <f t="shared" si="118"/>
        <v>1.437773964974393</v>
      </c>
      <c r="S147">
        <f t="shared" si="119"/>
        <v>0.99983550175660674</v>
      </c>
      <c r="T147">
        <f t="shared" si="120"/>
        <v>-1.8138508953962015E-2</v>
      </c>
      <c r="U147">
        <f t="shared" si="121"/>
        <v>0.96246680303945809</v>
      </c>
      <c r="V147">
        <f t="shared" si="122"/>
        <v>-0.2748467420970987</v>
      </c>
      <c r="X147">
        <f t="shared" si="139"/>
        <v>-0.14512335411124444</v>
      </c>
      <c r="Y147">
        <f t="shared" si="123"/>
        <v>-113.54238422457428</v>
      </c>
      <c r="Z147">
        <f t="shared" si="140"/>
        <v>66.457615775425722</v>
      </c>
      <c r="AC147">
        <v>1</v>
      </c>
      <c r="AD147">
        <f t="shared" si="124"/>
        <v>19.456838325615603</v>
      </c>
      <c r="AE147">
        <f t="shared" si="125"/>
        <v>-6.9071770111871287E-4</v>
      </c>
      <c r="AF147">
        <f t="shared" si="126"/>
        <v>2.4494997892049999E-3</v>
      </c>
      <c r="AG147">
        <f t="shared" si="141"/>
        <v>7251.472488809879</v>
      </c>
      <c r="AH147">
        <f t="shared" si="142"/>
        <v>-2453.0397731311982</v>
      </c>
      <c r="AJ147">
        <f t="shared" si="127"/>
        <v>21000</v>
      </c>
      <c r="AK147">
        <f t="shared" si="128"/>
        <v>380.950467216795</v>
      </c>
      <c r="AL147">
        <v>1</v>
      </c>
      <c r="AM147">
        <f t="shared" si="129"/>
        <v>7.4731398568888956</v>
      </c>
      <c r="AN147">
        <f t="shared" si="143"/>
        <v>419.48655911604834</v>
      </c>
      <c r="AO147">
        <f t="shared" si="144"/>
        <v>-2753.9312571425262</v>
      </c>
      <c r="AQ147">
        <f t="shared" si="130"/>
        <v>0.78308535630383713</v>
      </c>
      <c r="AR147">
        <f t="shared" si="131"/>
        <v>-88.488645262333591</v>
      </c>
      <c r="AT147">
        <f t="shared" si="104"/>
        <v>-211387.6443813747</v>
      </c>
      <c r="AU147">
        <f t="shared" si="105"/>
        <v>-643593.91621663852</v>
      </c>
      <c r="AV147">
        <f t="shared" si="145"/>
        <v>-1.8881443712068562</v>
      </c>
      <c r="AW147">
        <f t="shared" si="146"/>
        <v>-238167.93170285758</v>
      </c>
      <c r="AX147">
        <f t="shared" si="147"/>
        <v>-58482.714232645216</v>
      </c>
      <c r="AY147">
        <f t="shared" si="155"/>
        <v>-2.9008042998766994</v>
      </c>
      <c r="BA147">
        <f t="shared" si="132"/>
        <v>2.7622384919121035</v>
      </c>
      <c r="BB147">
        <f t="shared" si="148"/>
        <v>8.8252234576973478</v>
      </c>
      <c r="BC147">
        <f t="shared" si="149"/>
        <v>1.0126599286698432</v>
      </c>
      <c r="BD147">
        <f t="shared" si="133"/>
        <v>-121.97885993890017</v>
      </c>
      <c r="BF147">
        <f t="shared" si="134"/>
        <v>-0.10029251498166399</v>
      </c>
      <c r="BG147">
        <f t="shared" si="135"/>
        <v>-118.17063177255223</v>
      </c>
      <c r="BH147">
        <f t="shared" si="150"/>
        <v>61.829368227447773</v>
      </c>
      <c r="BI147">
        <f t="shared" si="151"/>
        <v>61.829368227447773</v>
      </c>
      <c r="BJ147">
        <f t="shared" si="136"/>
        <v>0</v>
      </c>
      <c r="BK147">
        <f t="shared" si="152"/>
        <v>0</v>
      </c>
      <c r="BM147">
        <f t="shared" si="153"/>
        <v>-8.9255159726790119</v>
      </c>
      <c r="BN147">
        <f t="shared" si="137"/>
        <v>-176.19177183365204</v>
      </c>
      <c r="BQ147" s="66">
        <f t="shared" si="154"/>
        <v>25.727184257982483</v>
      </c>
      <c r="BR147" s="71"/>
      <c r="BS147" s="71"/>
      <c r="BT147" s="71">
        <v>2344.2289999999998</v>
      </c>
      <c r="BU147" s="71">
        <v>8.0662299999999991</v>
      </c>
      <c r="BV147" s="71">
        <v>-253.17099999999999</v>
      </c>
      <c r="BW147" s="75"/>
      <c r="BY147" s="71"/>
      <c r="BZ147" s="71"/>
      <c r="CA147" s="71"/>
      <c r="CC147" s="71"/>
    </row>
    <row r="148" spans="1:81" ht="13" x14ac:dyDescent="0.3">
      <c r="A148">
        <f t="shared" si="106"/>
        <v>57000</v>
      </c>
      <c r="B148">
        <f t="shared" si="138"/>
        <v>57</v>
      </c>
      <c r="C148">
        <f t="shared" si="107"/>
        <v>1.0001603188720589</v>
      </c>
      <c r="D148">
        <f t="shared" si="108"/>
        <v>1.7905164424715708E-2</v>
      </c>
      <c r="F148">
        <f t="shared" si="109"/>
        <v>2.3428170913469666E-2</v>
      </c>
      <c r="G148">
        <f t="shared" si="110"/>
        <v>4.8271015549524676E-2</v>
      </c>
      <c r="H148">
        <f t="shared" si="111"/>
        <v>-3.0933216344504757</v>
      </c>
      <c r="J148">
        <f t="shared" si="112"/>
        <v>15</v>
      </c>
      <c r="M148">
        <f t="shared" si="113"/>
        <v>1.9269785971420868E-2</v>
      </c>
      <c r="N148">
        <f t="shared" si="114"/>
        <v>-1.5707963250000001</v>
      </c>
      <c r="O148">
        <f t="shared" si="115"/>
        <v>19.654478714883052</v>
      </c>
      <c r="P148">
        <f t="shared" si="116"/>
        <v>1.519895361008514</v>
      </c>
      <c r="Q148">
        <f t="shared" si="117"/>
        <v>7.6053040703968495</v>
      </c>
      <c r="R148">
        <f t="shared" si="118"/>
        <v>1.4389272888307452</v>
      </c>
      <c r="S148">
        <f t="shared" si="119"/>
        <v>0.99983257813500792</v>
      </c>
      <c r="T148">
        <f t="shared" si="120"/>
        <v>-1.8298991058564917E-2</v>
      </c>
      <c r="U148">
        <f t="shared" si="121"/>
        <v>0.9618372731526873</v>
      </c>
      <c r="V148">
        <f t="shared" si="122"/>
        <v>-0.27715685116076832</v>
      </c>
      <c r="X148">
        <f t="shared" si="139"/>
        <v>-0.23233695480649932</v>
      </c>
      <c r="Y148">
        <f t="shared" si="123"/>
        <v>-113.60870663262156</v>
      </c>
      <c r="Z148">
        <f t="shared" si="140"/>
        <v>66.391293367378438</v>
      </c>
      <c r="AC148">
        <v>1</v>
      </c>
      <c r="AD148">
        <f t="shared" si="124"/>
        <v>19.6290227355768</v>
      </c>
      <c r="AE148">
        <f t="shared" si="125"/>
        <v>-7.0299688650158915E-4</v>
      </c>
      <c r="AF148">
        <f t="shared" si="126"/>
        <v>2.4711767784899997E-3</v>
      </c>
      <c r="AG148">
        <f t="shared" si="141"/>
        <v>7241.9895109084327</v>
      </c>
      <c r="AH148">
        <f t="shared" si="142"/>
        <v>-2464.8564729423078</v>
      </c>
      <c r="AJ148">
        <f t="shared" si="127"/>
        <v>21000</v>
      </c>
      <c r="AK148">
        <f t="shared" si="128"/>
        <v>384.32171028951001</v>
      </c>
      <c r="AL148">
        <v>1</v>
      </c>
      <c r="AM148">
        <f t="shared" si="129"/>
        <v>7.5392738379233109</v>
      </c>
      <c r="AN148">
        <f t="shared" si="143"/>
        <v>413.16110061715494</v>
      </c>
      <c r="AO148">
        <f t="shared" si="144"/>
        <v>-2730.6129664410068</v>
      </c>
      <c r="AQ148">
        <f t="shared" si="130"/>
        <v>0.76940832499807643</v>
      </c>
      <c r="AR148">
        <f t="shared" si="131"/>
        <v>-87.712549049780719</v>
      </c>
      <c r="AT148">
        <f t="shared" si="104"/>
        <v>-210626.79726437997</v>
      </c>
      <c r="AU148">
        <f t="shared" si="105"/>
        <v>-637109.84128376062</v>
      </c>
      <c r="AV148">
        <f t="shared" si="145"/>
        <v>-1.8900824388976047</v>
      </c>
      <c r="AW148">
        <f t="shared" si="146"/>
        <v>-234028.29067864991</v>
      </c>
      <c r="AX148">
        <f t="shared" si="147"/>
        <v>-57398.141274481299</v>
      </c>
      <c r="AY148">
        <f t="shared" si="155"/>
        <v>-2.9010786564310749</v>
      </c>
      <c r="BA148">
        <f t="shared" si="132"/>
        <v>2.7847427266192089</v>
      </c>
      <c r="BB148">
        <f t="shared" si="148"/>
        <v>8.8957015659884373</v>
      </c>
      <c r="BC148">
        <f t="shared" si="149"/>
        <v>1.0109962175334701</v>
      </c>
      <c r="BD148">
        <f t="shared" si="133"/>
        <v>-122.07418356545219</v>
      </c>
      <c r="BF148">
        <f t="shared" si="134"/>
        <v>-0.18631317972493688</v>
      </c>
      <c r="BG148">
        <f t="shared" si="135"/>
        <v>-118.28256774429748</v>
      </c>
      <c r="BH148">
        <f t="shared" si="150"/>
        <v>61.717432255702519</v>
      </c>
      <c r="BI148">
        <f t="shared" si="151"/>
        <v>61.717432255702519</v>
      </c>
      <c r="BJ148">
        <f t="shared" si="136"/>
        <v>0</v>
      </c>
      <c r="BK148">
        <f t="shared" si="152"/>
        <v>0</v>
      </c>
      <c r="BM148">
        <f t="shared" si="153"/>
        <v>-9.0820147457133764</v>
      </c>
      <c r="BN148">
        <f t="shared" si="137"/>
        <v>-176.20838417884531</v>
      </c>
      <c r="BQ148" s="66">
        <f t="shared" si="154"/>
        <v>25.797662366273574</v>
      </c>
      <c r="BR148" s="71"/>
      <c r="BS148" s="71"/>
      <c r="BT148" s="71">
        <v>2398.8330000000001</v>
      </c>
      <c r="BU148" s="71">
        <v>7.8140200000000002</v>
      </c>
      <c r="BV148" s="71">
        <v>-252.65800000000002</v>
      </c>
      <c r="BW148" s="75"/>
      <c r="BY148" s="71"/>
      <c r="BZ148" s="71"/>
      <c r="CA148" s="71"/>
      <c r="CC148" s="71"/>
    </row>
    <row r="149" spans="1:81" ht="13" x14ac:dyDescent="0.3">
      <c r="A149">
        <f t="shared" si="106"/>
        <v>57500</v>
      </c>
      <c r="B149">
        <f t="shared" si="138"/>
        <v>57.5</v>
      </c>
      <c r="C149">
        <f t="shared" si="107"/>
        <v>1.0001631435894673</v>
      </c>
      <c r="D149">
        <f t="shared" si="108"/>
        <v>1.806219326082031E-2</v>
      </c>
      <c r="F149">
        <f t="shared" si="109"/>
        <v>2.3013550607232737E-2</v>
      </c>
      <c r="G149">
        <f t="shared" si="110"/>
        <v>4.783233889708103E-2</v>
      </c>
      <c r="H149">
        <f t="shared" si="111"/>
        <v>-3.093760311102919</v>
      </c>
      <c r="J149">
        <f t="shared" si="112"/>
        <v>15</v>
      </c>
      <c r="M149">
        <f t="shared" si="113"/>
        <v>1.9102222615147643E-2</v>
      </c>
      <c r="N149">
        <f t="shared" si="114"/>
        <v>-1.5707963250000001</v>
      </c>
      <c r="O149">
        <f t="shared" si="115"/>
        <v>19.826442051475226</v>
      </c>
      <c r="P149">
        <f t="shared" si="116"/>
        <v>1.5203372238958246</v>
      </c>
      <c r="Q149">
        <f t="shared" si="117"/>
        <v>7.6708687964704048</v>
      </c>
      <c r="R149">
        <f t="shared" si="118"/>
        <v>1.4400608987111569</v>
      </c>
      <c r="S149">
        <f t="shared" si="119"/>
        <v>0.99982962878061543</v>
      </c>
      <c r="T149">
        <f t="shared" si="120"/>
        <v>-1.8459472220505195E-2</v>
      </c>
      <c r="U149">
        <f t="shared" si="121"/>
        <v>0.96120344676123515</v>
      </c>
      <c r="V149">
        <f t="shared" si="122"/>
        <v>-0.27946392791624691</v>
      </c>
      <c r="X149">
        <f t="shared" si="139"/>
        <v>-0.31879405368071168</v>
      </c>
      <c r="Y149">
        <f t="shared" si="123"/>
        <v>-113.67595657792758</v>
      </c>
      <c r="Z149">
        <f t="shared" si="140"/>
        <v>66.324043422072421</v>
      </c>
      <c r="AC149">
        <v>1</v>
      </c>
      <c r="AD149">
        <f t="shared" si="124"/>
        <v>19.801207145538001</v>
      </c>
      <c r="AE149">
        <f t="shared" si="125"/>
        <v>-7.1538425853982139E-4</v>
      </c>
      <c r="AF149">
        <f t="shared" si="126"/>
        <v>2.492853767775E-3</v>
      </c>
      <c r="AG149">
        <f t="shared" si="141"/>
        <v>7232.4480805525827</v>
      </c>
      <c r="AH149">
        <f t="shared" si="142"/>
        <v>-2476.671350459701</v>
      </c>
      <c r="AJ149">
        <f t="shared" si="127"/>
        <v>21000</v>
      </c>
      <c r="AK149">
        <f t="shared" si="128"/>
        <v>387.69295336222501</v>
      </c>
      <c r="AL149">
        <v>1</v>
      </c>
      <c r="AM149">
        <f t="shared" si="129"/>
        <v>7.6054078189577252</v>
      </c>
      <c r="AN149">
        <f t="shared" si="143"/>
        <v>406.99619635650549</v>
      </c>
      <c r="AO149">
        <f t="shared" si="144"/>
        <v>-2707.6791006935955</v>
      </c>
      <c r="AQ149">
        <f t="shared" si="130"/>
        <v>0.75608649629517621</v>
      </c>
      <c r="AR149">
        <f t="shared" si="131"/>
        <v>-86.949947073945253</v>
      </c>
      <c r="AT149">
        <f t="shared" si="104"/>
        <v>-209878.08651316573</v>
      </c>
      <c r="AU149">
        <f t="shared" si="105"/>
        <v>-630733.55558294768</v>
      </c>
      <c r="AV149">
        <f t="shared" si="145"/>
        <v>-1.8920239245984369</v>
      </c>
      <c r="AW149">
        <f t="shared" si="146"/>
        <v>-229993.68749071506</v>
      </c>
      <c r="AX149">
        <f t="shared" si="147"/>
        <v>-56347.317343867544</v>
      </c>
      <c r="AY149">
        <f t="shared" si="155"/>
        <v>-2.9013300407639067</v>
      </c>
      <c r="BA149">
        <f t="shared" si="132"/>
        <v>2.8072142999475971</v>
      </c>
      <c r="BB149">
        <f t="shared" si="148"/>
        <v>8.9655113501751735</v>
      </c>
      <c r="BC149">
        <f t="shared" si="149"/>
        <v>1.0093061161654697</v>
      </c>
      <c r="BD149">
        <f t="shared" si="133"/>
        <v>-122.17101924089854</v>
      </c>
      <c r="BF149">
        <f t="shared" si="134"/>
        <v>-0.27157397233520292</v>
      </c>
      <c r="BG149">
        <f t="shared" si="135"/>
        <v>-118.39554065094759</v>
      </c>
      <c r="BH149">
        <f t="shared" si="150"/>
        <v>61.604459349052405</v>
      </c>
      <c r="BI149">
        <f t="shared" si="151"/>
        <v>61.604459349052405</v>
      </c>
      <c r="BJ149">
        <f t="shared" si="136"/>
        <v>0</v>
      </c>
      <c r="BK149">
        <f t="shared" si="152"/>
        <v>0</v>
      </c>
      <c r="BM149">
        <f t="shared" si="153"/>
        <v>-9.2370853225103779</v>
      </c>
      <c r="BN149">
        <f t="shared" si="137"/>
        <v>-176.22452141004908</v>
      </c>
      <c r="BQ149" s="66">
        <f t="shared" si="154"/>
        <v>25.867472150460312</v>
      </c>
      <c r="BR149" s="71"/>
      <c r="BS149" s="71"/>
      <c r="BT149" s="71">
        <v>2454.7089999999998</v>
      </c>
      <c r="BU149" s="71">
        <v>7.6423899999999998</v>
      </c>
      <c r="BV149" s="71">
        <v>-251.97399999999999</v>
      </c>
      <c r="BW149" s="75"/>
      <c r="BY149" s="71"/>
      <c r="BZ149" s="71"/>
      <c r="CA149" s="71"/>
      <c r="CC149" s="71"/>
    </row>
    <row r="150" spans="1:81" ht="13" x14ac:dyDescent="0.3">
      <c r="A150">
        <f t="shared" si="106"/>
        <v>58000</v>
      </c>
      <c r="B150">
        <f t="shared" si="138"/>
        <v>58</v>
      </c>
      <c r="C150">
        <f t="shared" si="107"/>
        <v>1.000165992968814</v>
      </c>
      <c r="D150">
        <f t="shared" si="108"/>
        <v>1.821922120607597E-2</v>
      </c>
      <c r="F150">
        <f t="shared" si="109"/>
        <v>2.2609916340509253E-2</v>
      </c>
      <c r="G150">
        <f t="shared" si="110"/>
        <v>4.7401722628781423E-2</v>
      </c>
      <c r="H150">
        <f t="shared" si="111"/>
        <v>-3.0941909273712187</v>
      </c>
      <c r="J150">
        <f t="shared" si="112"/>
        <v>15</v>
      </c>
      <c r="M150">
        <f t="shared" si="113"/>
        <v>1.8937548282258437E-2</v>
      </c>
      <c r="N150">
        <f t="shared" si="114"/>
        <v>-1.5707963250000001</v>
      </c>
      <c r="O150">
        <f t="shared" si="115"/>
        <v>19.998409192465456</v>
      </c>
      <c r="P150">
        <f t="shared" si="116"/>
        <v>1.5207714876725242</v>
      </c>
      <c r="Q150">
        <f t="shared" si="117"/>
        <v>7.7364432130680481</v>
      </c>
      <c r="R150">
        <f t="shared" si="118"/>
        <v>1.4411752929538633</v>
      </c>
      <c r="S150">
        <f t="shared" si="119"/>
        <v>0.99982665369411239</v>
      </c>
      <c r="T150">
        <f t="shared" si="120"/>
        <v>-1.8619952431525106E-2</v>
      </c>
      <c r="U150">
        <f t="shared" si="121"/>
        <v>0.96056535257471765</v>
      </c>
      <c r="V150">
        <f t="shared" si="122"/>
        <v>-0.28176795381928094</v>
      </c>
      <c r="X150">
        <f t="shared" si="139"/>
        <v>-0.40451056744610381</v>
      </c>
      <c r="Y150">
        <f t="shared" si="123"/>
        <v>-113.74410626473838</v>
      </c>
      <c r="Z150">
        <f t="shared" si="140"/>
        <v>66.255893735261623</v>
      </c>
      <c r="AC150">
        <v>1</v>
      </c>
      <c r="AD150">
        <f t="shared" si="124"/>
        <v>19.973391555499202</v>
      </c>
      <c r="AE150">
        <f t="shared" si="125"/>
        <v>-7.2787981723340916E-4</v>
      </c>
      <c r="AF150">
        <f t="shared" si="126"/>
        <v>2.5145307570599998E-3</v>
      </c>
      <c r="AG150">
        <f t="shared" si="141"/>
        <v>7222.8487574051042</v>
      </c>
      <c r="AH150">
        <f t="shared" si="142"/>
        <v>-2488.4825194028335</v>
      </c>
      <c r="AJ150">
        <f t="shared" si="127"/>
        <v>21000</v>
      </c>
      <c r="AK150">
        <f t="shared" si="128"/>
        <v>391.06419643494002</v>
      </c>
      <c r="AL150">
        <v>1</v>
      </c>
      <c r="AM150">
        <f t="shared" si="129"/>
        <v>7.6715417999921405</v>
      </c>
      <c r="AN150">
        <f t="shared" si="143"/>
        <v>400.98648913504582</v>
      </c>
      <c r="AO150">
        <f t="shared" si="144"/>
        <v>-2685.120416196658</v>
      </c>
      <c r="AQ150">
        <f t="shared" si="130"/>
        <v>0.74310767630229624</v>
      </c>
      <c r="AR150">
        <f t="shared" si="131"/>
        <v>-86.200490451066358</v>
      </c>
      <c r="AT150">
        <f t="shared" ref="AT150:AT213" si="156">-AR150*AH150+AG150*AQ150</f>
        <v>-209141.05929503127</v>
      </c>
      <c r="AU150">
        <f t="shared" ref="AU150:AU213" si="157">AQ150*AH150+AG150*AR150</f>
        <v>-624462.31580470747</v>
      </c>
      <c r="AV150">
        <f t="shared" si="145"/>
        <v>-1.8939686436244136</v>
      </c>
      <c r="AW150">
        <f t="shared" si="146"/>
        <v>-226060.62571388794</v>
      </c>
      <c r="AX150">
        <f t="shared" si="147"/>
        <v>-55328.879576588966</v>
      </c>
      <c r="AY150">
        <f t="shared" si="155"/>
        <v>-2.9015589782117548</v>
      </c>
      <c r="BA150">
        <f t="shared" si="132"/>
        <v>2.8296528156753267</v>
      </c>
      <c r="BB150">
        <f t="shared" si="148"/>
        <v>9.0346630604079028</v>
      </c>
      <c r="BC150">
        <f t="shared" si="149"/>
        <v>1.0075903345873412</v>
      </c>
      <c r="BD150">
        <f t="shared" si="133"/>
        <v>-122.26932628400394</v>
      </c>
      <c r="BF150">
        <f t="shared" si="134"/>
        <v>-0.35609097342224172</v>
      </c>
      <c r="BG150">
        <f t="shared" si="135"/>
        <v>-118.5095231503054</v>
      </c>
      <c r="BH150">
        <f t="shared" si="150"/>
        <v>61.490476849694602</v>
      </c>
      <c r="BI150">
        <f t="shared" si="151"/>
        <v>61.490476849694602</v>
      </c>
      <c r="BJ150">
        <f t="shared" si="136"/>
        <v>0</v>
      </c>
      <c r="BK150">
        <f t="shared" si="152"/>
        <v>0</v>
      </c>
      <c r="BM150">
        <f t="shared" si="153"/>
        <v>-9.3907540338301434</v>
      </c>
      <c r="BN150">
        <f t="shared" si="137"/>
        <v>-176.24019686630146</v>
      </c>
      <c r="BQ150" s="66">
        <f t="shared" si="154"/>
        <v>25.936623860693039</v>
      </c>
      <c r="BR150" s="71"/>
      <c r="BS150" s="71"/>
      <c r="BT150" s="71">
        <v>2511.886</v>
      </c>
      <c r="BU150" s="71">
        <v>7.45716</v>
      </c>
      <c r="BV150" s="71">
        <v>-252.25200000000001</v>
      </c>
      <c r="BW150" s="75"/>
      <c r="BY150" s="71"/>
      <c r="BZ150" s="71"/>
      <c r="CA150" s="71"/>
      <c r="CC150" s="71"/>
    </row>
    <row r="151" spans="1:81" ht="13" x14ac:dyDescent="0.3">
      <c r="A151">
        <f t="shared" si="106"/>
        <v>58500</v>
      </c>
      <c r="B151">
        <f t="shared" si="138"/>
        <v>58.5</v>
      </c>
      <c r="C151">
        <f t="shared" si="107"/>
        <v>1.0001688670098887</v>
      </c>
      <c r="D151">
        <f t="shared" si="108"/>
        <v>1.8376248252746412E-2</v>
      </c>
      <c r="F151">
        <f t="shared" si="109"/>
        <v>2.2216880820075502E-2</v>
      </c>
      <c r="G151">
        <f t="shared" si="110"/>
        <v>4.6978942706727221E-2</v>
      </c>
      <c r="H151">
        <f t="shared" si="111"/>
        <v>-3.0946137072932731</v>
      </c>
      <c r="J151">
        <f t="shared" si="112"/>
        <v>15</v>
      </c>
      <c r="M151">
        <f t="shared" si="113"/>
        <v>1.877568889523059E-2</v>
      </c>
      <c r="N151">
        <f t="shared" si="114"/>
        <v>-1.5707963250000001</v>
      </c>
      <c r="O151">
        <f t="shared" si="115"/>
        <v>20.170380040547968</v>
      </c>
      <c r="P151">
        <f t="shared" si="116"/>
        <v>1.5211983465406929</v>
      </c>
      <c r="Q151">
        <f t="shared" si="117"/>
        <v>7.8020270758492574</v>
      </c>
      <c r="R151">
        <f t="shared" si="118"/>
        <v>1.4422709533356139</v>
      </c>
      <c r="S151">
        <f t="shared" si="119"/>
        <v>0.99982365287618835</v>
      </c>
      <c r="T151">
        <f t="shared" si="120"/>
        <v>-1.8780431683367186E-2</v>
      </c>
      <c r="U151">
        <f t="shared" si="121"/>
        <v>0.95992301939056568</v>
      </c>
      <c r="V151">
        <f t="shared" si="122"/>
        <v>-0.2840689105041917</v>
      </c>
      <c r="X151">
        <f t="shared" si="139"/>
        <v>-0.48950191988329866</v>
      </c>
      <c r="Y151">
        <f t="shared" si="123"/>
        <v>-113.81312874644019</v>
      </c>
      <c r="Z151">
        <f t="shared" si="140"/>
        <v>66.186871253559815</v>
      </c>
      <c r="AC151">
        <v>1</v>
      </c>
      <c r="AD151">
        <f t="shared" si="124"/>
        <v>20.145575965460402</v>
      </c>
      <c r="AE151">
        <f t="shared" si="125"/>
        <v>-7.4048356258235245E-4</v>
      </c>
      <c r="AF151">
        <f t="shared" si="126"/>
        <v>2.5362077463450001E-3</v>
      </c>
      <c r="AG151">
        <f t="shared" si="141"/>
        <v>7213.1921021606058</v>
      </c>
      <c r="AH151">
        <f t="shared" si="142"/>
        <v>-2500.2881544452839</v>
      </c>
      <c r="AJ151">
        <f t="shared" si="127"/>
        <v>21000</v>
      </c>
      <c r="AK151">
        <f t="shared" si="128"/>
        <v>394.43543950765502</v>
      </c>
      <c r="AL151">
        <v>1</v>
      </c>
      <c r="AM151">
        <f t="shared" si="129"/>
        <v>7.7376757810265548</v>
      </c>
      <c r="AN151">
        <f t="shared" si="143"/>
        <v>395.12684206828919</v>
      </c>
      <c r="AO151">
        <f t="shared" si="144"/>
        <v>-2662.9279567976505</v>
      </c>
      <c r="AQ151">
        <f t="shared" si="130"/>
        <v>0.73046018991964934</v>
      </c>
      <c r="AR151">
        <f t="shared" si="131"/>
        <v>-85.463842220598977</v>
      </c>
      <c r="AT151">
        <f t="shared" si="156"/>
        <v>-208415.2826646732</v>
      </c>
      <c r="AU151">
        <f t="shared" si="157"/>
        <v>-618293.47268607456</v>
      </c>
      <c r="AV151">
        <f t="shared" si="145"/>
        <v>-1.8959164171206804</v>
      </c>
      <c r="AW151">
        <f t="shared" si="146"/>
        <v>-222225.75231222378</v>
      </c>
      <c r="AX151">
        <f t="shared" si="147"/>
        <v>-54341.531639503621</v>
      </c>
      <c r="AY151">
        <f t="shared" si="155"/>
        <v>-2.9017659765568755</v>
      </c>
      <c r="BA151">
        <f t="shared" si="132"/>
        <v>2.8520578823946336</v>
      </c>
      <c r="BB151">
        <f t="shared" si="148"/>
        <v>9.103166705149853</v>
      </c>
      <c r="BC151">
        <f t="shared" si="149"/>
        <v>1.0058495594361951</v>
      </c>
      <c r="BD151">
        <f t="shared" si="133"/>
        <v>-122.36906535335983</v>
      </c>
      <c r="BF151">
        <f t="shared" si="134"/>
        <v>-0.43987977114323418</v>
      </c>
      <c r="BG151">
        <f t="shared" si="135"/>
        <v>-118.62448873783164</v>
      </c>
      <c r="BH151">
        <f t="shared" si="150"/>
        <v>61.375511262168359</v>
      </c>
      <c r="BI151">
        <f t="shared" si="151"/>
        <v>61.375511262168359</v>
      </c>
      <c r="BJ151">
        <f t="shared" si="136"/>
        <v>0</v>
      </c>
      <c r="BK151">
        <f t="shared" si="152"/>
        <v>0</v>
      </c>
      <c r="BM151">
        <f t="shared" si="153"/>
        <v>-9.5430464762930853</v>
      </c>
      <c r="BN151">
        <f t="shared" si="137"/>
        <v>-176.25542338447181</v>
      </c>
      <c r="BQ151" s="66">
        <f t="shared" si="154"/>
        <v>26.005127505434992</v>
      </c>
      <c r="BR151" s="71"/>
      <c r="BS151" s="71"/>
      <c r="BT151" s="71">
        <v>2570.3960000000002</v>
      </c>
      <c r="BU151" s="71">
        <v>7.31271</v>
      </c>
      <c r="BV151" s="71">
        <v>-251.702</v>
      </c>
      <c r="BW151" s="75"/>
      <c r="BY151" s="71"/>
      <c r="BZ151" s="71"/>
      <c r="CA151" s="71"/>
      <c r="CC151" s="71"/>
    </row>
    <row r="152" spans="1:81" ht="13" x14ac:dyDescent="0.3">
      <c r="A152">
        <f t="shared" si="106"/>
        <v>59000</v>
      </c>
      <c r="B152">
        <f t="shared" si="138"/>
        <v>59</v>
      </c>
      <c r="C152">
        <f t="shared" si="107"/>
        <v>1.0001717657124785</v>
      </c>
      <c r="D152">
        <f t="shared" si="108"/>
        <v>1.8533274393095638E-2</v>
      </c>
      <c r="F152">
        <f t="shared" si="109"/>
        <v>2.1834073777577498E-2</v>
      </c>
      <c r="G152">
        <f t="shared" si="110"/>
        <v>4.6563783443773446E-2</v>
      </c>
      <c r="H152">
        <f t="shared" si="111"/>
        <v>-3.0950288665562269</v>
      </c>
      <c r="J152">
        <f t="shared" si="112"/>
        <v>15</v>
      </c>
      <c r="M152">
        <f t="shared" si="113"/>
        <v>1.861657288764389E-2</v>
      </c>
      <c r="N152">
        <f t="shared" si="114"/>
        <v>-1.5707963250000001</v>
      </c>
      <c r="O152">
        <f t="shared" si="115"/>
        <v>20.342354501705358</v>
      </c>
      <c r="P152">
        <f t="shared" si="116"/>
        <v>1.521617988146273</v>
      </c>
      <c r="Q152">
        <f t="shared" si="117"/>
        <v>7.8676201485861093</v>
      </c>
      <c r="R152">
        <f t="shared" si="118"/>
        <v>1.4433483457500995</v>
      </c>
      <c r="S152">
        <f t="shared" si="119"/>
        <v>0.99982062632753865</v>
      </c>
      <c r="T152">
        <f t="shared" si="120"/>
        <v>-1.894090996777428E-2</v>
      </c>
      <c r="U152">
        <f t="shared" si="121"/>
        <v>0.95927647609086109</v>
      </c>
      <c r="V152">
        <f t="shared" si="122"/>
        <v>-0.28636677978419361</v>
      </c>
      <c r="X152">
        <f t="shared" si="139"/>
        <v>-0.57378306193952189</v>
      </c>
      <c r="Y152">
        <f t="shared" si="123"/>
        <v>-113.88299789387739</v>
      </c>
      <c r="Z152">
        <f t="shared" si="140"/>
        <v>66.117002106122612</v>
      </c>
      <c r="AC152">
        <v>1</v>
      </c>
      <c r="AD152">
        <f t="shared" si="124"/>
        <v>20.317760375421599</v>
      </c>
      <c r="AE152">
        <f t="shared" si="125"/>
        <v>-7.5319549458665181E-4</v>
      </c>
      <c r="AF152">
        <f t="shared" si="126"/>
        <v>2.5578847356299999E-3</v>
      </c>
      <c r="AG152">
        <f t="shared" si="141"/>
        <v>7203.478676474444</v>
      </c>
      <c r="AH152">
        <f t="shared" si="142"/>
        <v>-2512.0864888733749</v>
      </c>
      <c r="AJ152">
        <f t="shared" si="127"/>
        <v>21000</v>
      </c>
      <c r="AK152">
        <f t="shared" si="128"/>
        <v>397.80668258037002</v>
      </c>
      <c r="AL152">
        <v>1</v>
      </c>
      <c r="AM152">
        <f t="shared" si="129"/>
        <v>7.803809762060971</v>
      </c>
      <c r="AN152">
        <f t="shared" si="143"/>
        <v>389.41232786565638</v>
      </c>
      <c r="AO152">
        <f t="shared" si="144"/>
        <v>-2641.0930430845265</v>
      </c>
      <c r="AQ152">
        <f t="shared" si="130"/>
        <v>0.71813285457809695</v>
      </c>
      <c r="AR152">
        <f t="shared" si="131"/>
        <v>-84.739676840215438</v>
      </c>
      <c r="AT152">
        <f t="shared" si="156"/>
        <v>-207700.3425569722</v>
      </c>
      <c r="AU152">
        <f t="shared" si="157"/>
        <v>-612224.4670110289</v>
      </c>
      <c r="AV152">
        <f t="shared" si="145"/>
        <v>-1.897867071824743</v>
      </c>
      <c r="AW152">
        <f t="shared" si="146"/>
        <v>-218485.85068446817</v>
      </c>
      <c r="AX152">
        <f t="shared" si="147"/>
        <v>-53384.039949710575</v>
      </c>
      <c r="AY152">
        <f t="shared" si="155"/>
        <v>-2.9019515267562501</v>
      </c>
      <c r="BA152">
        <f t="shared" si="132"/>
        <v>2.8744291133656303</v>
      </c>
      <c r="BB152">
        <f t="shared" si="148"/>
        <v>9.1710320585353404</v>
      </c>
      <c r="BC152">
        <f t="shared" si="149"/>
        <v>1.0040844549315071</v>
      </c>
      <c r="BD152">
        <f t="shared" si="133"/>
        <v>-122.47019839199353</v>
      </c>
      <c r="BF152">
        <f t="shared" si="134"/>
        <v>-0.5229554812814643</v>
      </c>
      <c r="BG152">
        <f t="shared" si="135"/>
        <v>-118.74041171496002</v>
      </c>
      <c r="BH152">
        <f t="shared" si="150"/>
        <v>61.259588285039982</v>
      </c>
      <c r="BI152">
        <f t="shared" si="151"/>
        <v>61.259588285039982</v>
      </c>
      <c r="BJ152">
        <f t="shared" si="136"/>
        <v>0</v>
      </c>
      <c r="BK152">
        <f t="shared" si="152"/>
        <v>0</v>
      </c>
      <c r="BM152">
        <f t="shared" si="153"/>
        <v>-9.6939875398168045</v>
      </c>
      <c r="BN152">
        <f t="shared" si="137"/>
        <v>-176.2702133229665</v>
      </c>
      <c r="BQ152" s="66">
        <f t="shared" si="154"/>
        <v>26.072992858820477</v>
      </c>
      <c r="BR152" s="71"/>
      <c r="BS152" s="71"/>
      <c r="BT152" s="71">
        <v>2630.268</v>
      </c>
      <c r="BU152" s="71">
        <v>7.13504</v>
      </c>
      <c r="BV152" s="71">
        <v>-251.40100000000001</v>
      </c>
      <c r="BW152" s="75"/>
      <c r="BY152" s="71"/>
      <c r="BZ152" s="71"/>
      <c r="CA152" s="71"/>
      <c r="CC152" s="71"/>
    </row>
    <row r="153" spans="1:81" ht="13" x14ac:dyDescent="0.3">
      <c r="A153">
        <f t="shared" si="106"/>
        <v>59500</v>
      </c>
      <c r="B153">
        <f t="shared" si="138"/>
        <v>59.5</v>
      </c>
      <c r="C153">
        <f t="shared" si="107"/>
        <v>1.0001746890763688</v>
      </c>
      <c r="D153">
        <f t="shared" si="108"/>
        <v>1.8690299619387899E-2</v>
      </c>
      <c r="F153">
        <f t="shared" si="109"/>
        <v>2.1461141073963765E-2</v>
      </c>
      <c r="G153">
        <f t="shared" si="110"/>
        <v>4.6156037113236077E-2</v>
      </c>
      <c r="H153">
        <f t="shared" si="111"/>
        <v>-3.0954366128867643</v>
      </c>
      <c r="J153">
        <f t="shared" si="112"/>
        <v>15</v>
      </c>
      <c r="M153">
        <f t="shared" si="113"/>
        <v>1.8460131098672092E-2</v>
      </c>
      <c r="N153">
        <f t="shared" si="114"/>
        <v>-1.5707963250000001</v>
      </c>
      <c r="O153">
        <f t="shared" si="115"/>
        <v>20.514332485070913</v>
      </c>
      <c r="P153">
        <f t="shared" si="116"/>
        <v>1.5220305938531991</v>
      </c>
      <c r="Q153">
        <f t="shared" si="117"/>
        <v>7.9332222028307147</v>
      </c>
      <c r="R153">
        <f t="shared" si="118"/>
        <v>1.4444079208534908</v>
      </c>
      <c r="S153">
        <f t="shared" si="119"/>
        <v>0.99981757404886451</v>
      </c>
      <c r="T153">
        <f t="shared" si="120"/>
        <v>-1.9101387276489523E-2</v>
      </c>
      <c r="U153">
        <f t="shared" si="121"/>
        <v>0.95862575163918251</v>
      </c>
      <c r="V153">
        <f t="shared" si="122"/>
        <v>-0.28866154365168883</v>
      </c>
      <c r="X153">
        <f t="shared" si="139"/>
        <v>-0.65736849080940019</v>
      </c>
      <c r="Y153">
        <f t="shared" si="123"/>
        <v>-113.95368836503856</v>
      </c>
      <c r="Z153">
        <f t="shared" si="140"/>
        <v>66.046311634961441</v>
      </c>
      <c r="AC153">
        <v>1</v>
      </c>
      <c r="AD153">
        <f t="shared" si="124"/>
        <v>20.489944785382804</v>
      </c>
      <c r="AE153">
        <f t="shared" si="125"/>
        <v>-7.660156132463067E-4</v>
      </c>
      <c r="AF153">
        <f t="shared" si="126"/>
        <v>2.5795617249150002E-3</v>
      </c>
      <c r="AG153">
        <f t="shared" si="141"/>
        <v>7193.7090428920292</v>
      </c>
      <c r="AH153">
        <f t="shared" si="142"/>
        <v>-2523.8758123614853</v>
      </c>
      <c r="AJ153">
        <f t="shared" si="127"/>
        <v>21000</v>
      </c>
      <c r="AK153">
        <f t="shared" si="128"/>
        <v>401.17792565308503</v>
      </c>
      <c r="AL153">
        <v>1</v>
      </c>
      <c r="AM153">
        <f t="shared" si="129"/>
        <v>7.8699437430953854</v>
      </c>
      <c r="AN153">
        <f t="shared" si="143"/>
        <v>383.83821870992369</v>
      </c>
      <c r="AO153">
        <f t="shared" si="144"/>
        <v>-2619.6072620439577</v>
      </c>
      <c r="AQ153">
        <f t="shared" si="130"/>
        <v>0.70611495551475778</v>
      </c>
      <c r="AR153">
        <f t="shared" si="131"/>
        <v>-84.02767970625618</v>
      </c>
      <c r="AT153">
        <f t="shared" si="156"/>
        <v>-206995.84283867019</v>
      </c>
      <c r="AU153">
        <f t="shared" si="157"/>
        <v>-606252.82581310044</v>
      </c>
      <c r="AV153">
        <f t="shared" si="145"/>
        <v>-1.899820439840636</v>
      </c>
      <c r="AW153">
        <f t="shared" si="146"/>
        <v>-214837.83409729326</v>
      </c>
      <c r="AX153">
        <f t="shared" si="147"/>
        <v>-52455.230137722552</v>
      </c>
      <c r="AY153">
        <f t="shared" si="155"/>
        <v>-2.9021161036351546</v>
      </c>
      <c r="BA153">
        <f t="shared" si="132"/>
        <v>2.8967661263777487</v>
      </c>
      <c r="BB153">
        <f t="shared" si="148"/>
        <v>9.2382686674602539</v>
      </c>
      <c r="BC153">
        <f t="shared" si="149"/>
        <v>1.0022956637945186</v>
      </c>
      <c r="BD153">
        <f t="shared" si="133"/>
        <v>-122.57268857469049</v>
      </c>
      <c r="BF153">
        <f t="shared" si="134"/>
        <v>-0.6053327663076451</v>
      </c>
      <c r="BG153">
        <f t="shared" si="135"/>
        <v>-118.85726715878151</v>
      </c>
      <c r="BH153">
        <f t="shared" si="150"/>
        <v>61.142732841218489</v>
      </c>
      <c r="BI153">
        <f t="shared" si="151"/>
        <v>61.142732841218489</v>
      </c>
      <c r="BJ153">
        <f t="shared" si="136"/>
        <v>0</v>
      </c>
      <c r="BK153">
        <f t="shared" si="152"/>
        <v>0</v>
      </c>
      <c r="BM153">
        <f t="shared" si="153"/>
        <v>-9.8436014337678976</v>
      </c>
      <c r="BN153">
        <f t="shared" si="137"/>
        <v>-176.28457858409101</v>
      </c>
      <c r="BQ153" s="66">
        <f t="shared" si="154"/>
        <v>26.140229467745392</v>
      </c>
      <c r="BR153" s="71"/>
      <c r="BS153" s="71"/>
      <c r="BT153" s="71">
        <v>2691.5349999999999</v>
      </c>
      <c r="BU153" s="71">
        <v>6.8809300000000002</v>
      </c>
      <c r="BV153" s="71">
        <v>-251.244</v>
      </c>
      <c r="BW153" s="75"/>
      <c r="BY153" s="71"/>
      <c r="BZ153" s="71"/>
      <c r="CA153" s="71"/>
      <c r="CC153" s="71"/>
    </row>
    <row r="154" spans="1:81" ht="13" x14ac:dyDescent="0.3">
      <c r="A154">
        <f t="shared" si="106"/>
        <v>60000</v>
      </c>
      <c r="B154">
        <f t="shared" si="138"/>
        <v>60</v>
      </c>
      <c r="C154">
        <f t="shared" si="107"/>
        <v>1.0001776371013438</v>
      </c>
      <c r="D154">
        <f t="shared" si="108"/>
        <v>1.8847323923887733E-2</v>
      </c>
      <c r="F154">
        <f t="shared" si="109"/>
        <v>2.1097743858707503E-2</v>
      </c>
      <c r="G154">
        <f t="shared" si="110"/>
        <v>4.5755503580503988E-2</v>
      </c>
      <c r="H154">
        <f t="shared" si="111"/>
        <v>-3.095837146419496</v>
      </c>
      <c r="J154">
        <f t="shared" si="112"/>
        <v>15</v>
      </c>
      <c r="M154">
        <f t="shared" si="113"/>
        <v>1.8306296672849824E-2</v>
      </c>
      <c r="N154">
        <f t="shared" si="114"/>
        <v>-1.5707963250000001</v>
      </c>
      <c r="O154">
        <f t="shared" si="115"/>
        <v>20.686313902797835</v>
      </c>
      <c r="P154">
        <f t="shared" si="116"/>
        <v>1.5224363390038964</v>
      </c>
      <c r="Q154">
        <f t="shared" si="117"/>
        <v>7.9988330175988329</v>
      </c>
      <c r="R154">
        <f t="shared" si="118"/>
        <v>1.4454501146789254</v>
      </c>
      <c r="S154">
        <f t="shared" si="119"/>
        <v>0.99981449604087358</v>
      </c>
      <c r="T154">
        <f t="shared" si="120"/>
        <v>-1.9261863601256358E-2</v>
      </c>
      <c r="U154">
        <f t="shared" si="121"/>
        <v>0.95797087507746381</v>
      </c>
      <c r="V154">
        <f t="shared" si="122"/>
        <v>-0.29095318427853983</v>
      </c>
      <c r="X154">
        <f t="shared" si="139"/>
        <v>-0.74027226805947099</v>
      </c>
      <c r="Y154">
        <f t="shared" si="123"/>
        <v>-114.02517557604575</v>
      </c>
      <c r="Z154">
        <f t="shared" si="140"/>
        <v>65.974824423954246</v>
      </c>
      <c r="AC154">
        <v>1</v>
      </c>
      <c r="AD154">
        <f t="shared" si="124"/>
        <v>20.662129195344001</v>
      </c>
      <c r="AE154">
        <f t="shared" si="125"/>
        <v>-7.7894391856131754E-4</v>
      </c>
      <c r="AF154">
        <f t="shared" si="126"/>
        <v>2.6012387142E-3</v>
      </c>
      <c r="AG154">
        <f t="shared" si="141"/>
        <v>7183.8837647785604</v>
      </c>
      <c r="AH154">
        <f t="shared" si="142"/>
        <v>-2535.6544688572212</v>
      </c>
      <c r="AJ154">
        <f t="shared" si="127"/>
        <v>21000</v>
      </c>
      <c r="AK154">
        <f t="shared" si="128"/>
        <v>404.54916872579997</v>
      </c>
      <c r="AL154">
        <v>1</v>
      </c>
      <c r="AM154">
        <f t="shared" si="129"/>
        <v>7.9360777241298006</v>
      </c>
      <c r="AN154">
        <f t="shared" si="143"/>
        <v>378.39997669892796</v>
      </c>
      <c r="AO154">
        <f t="shared" si="144"/>
        <v>-2598.4624571657973</v>
      </c>
      <c r="AQ154">
        <f t="shared" si="130"/>
        <v>0.69439622248454969</v>
      </c>
      <c r="AR154">
        <f t="shared" si="131"/>
        <v>-83.327546698145966</v>
      </c>
      <c r="AT154">
        <f t="shared" si="156"/>
        <v>-206301.4044150323</v>
      </c>
      <c r="AU154">
        <f t="shared" si="157"/>
        <v>-600376.15876833862</v>
      </c>
      <c r="AV154">
        <f t="shared" si="145"/>
        <v>-1.9017763584243006</v>
      </c>
      <c r="AW154">
        <f t="shared" si="146"/>
        <v>-211278.7394819567</v>
      </c>
      <c r="AX154">
        <f t="shared" si="147"/>
        <v>-51553.983737072187</v>
      </c>
      <c r="AY154">
        <f t="shared" si="155"/>
        <v>-2.9022601665472605</v>
      </c>
      <c r="BA154">
        <f t="shared" si="132"/>
        <v>2.9190685436185055</v>
      </c>
      <c r="BB154">
        <f t="shared" si="148"/>
        <v>9.3048858584158971</v>
      </c>
      <c r="BC154">
        <f t="shared" si="149"/>
        <v>1.0004838081229599</v>
      </c>
      <c r="BD154">
        <f t="shared" si="133"/>
        <v>-122.67650025787628</v>
      </c>
      <c r="BF154">
        <f t="shared" si="134"/>
        <v>-0.68702585348496059</v>
      </c>
      <c r="BG154">
        <f t="shared" si="135"/>
        <v>-118.97503089303339</v>
      </c>
      <c r="BH154">
        <f t="shared" si="150"/>
        <v>61.024969106966608</v>
      </c>
      <c r="BI154">
        <f t="shared" si="151"/>
        <v>61.024969106966608</v>
      </c>
      <c r="BJ154">
        <f t="shared" si="136"/>
        <v>0</v>
      </c>
      <c r="BK154">
        <f t="shared" si="152"/>
        <v>0</v>
      </c>
      <c r="BM154">
        <f t="shared" si="153"/>
        <v>-9.9919117119008565</v>
      </c>
      <c r="BN154">
        <f t="shared" si="137"/>
        <v>-176.29853063515711</v>
      </c>
      <c r="BQ154" s="66">
        <f t="shared" si="154"/>
        <v>26.206846658701032</v>
      </c>
      <c r="BR154" s="71"/>
      <c r="BS154" s="71"/>
      <c r="BT154" s="71">
        <v>2754.2289999999998</v>
      </c>
      <c r="BU154" s="71">
        <v>6.7009400000000001</v>
      </c>
      <c r="BV154" s="71">
        <v>-251.05099999999999</v>
      </c>
      <c r="BW154" s="75"/>
      <c r="BY154" s="71"/>
      <c r="BZ154" s="71"/>
      <c r="CA154" s="71"/>
      <c r="CC154" s="71"/>
    </row>
    <row r="155" spans="1:81" ht="13" x14ac:dyDescent="0.3">
      <c r="A155">
        <f t="shared" si="106"/>
        <v>60500</v>
      </c>
      <c r="B155">
        <f t="shared" si="138"/>
        <v>60.5</v>
      </c>
      <c r="C155">
        <f t="shared" si="107"/>
        <v>1.000180609787185</v>
      </c>
      <c r="D155">
        <f t="shared" si="108"/>
        <v>1.9004347298859942E-2</v>
      </c>
      <c r="F155">
        <f t="shared" si="109"/>
        <v>2.0743557780000563E-2</v>
      </c>
      <c r="G155">
        <f t="shared" si="110"/>
        <v>4.5361989955123125E-2</v>
      </c>
      <c r="H155">
        <f t="shared" si="111"/>
        <v>-3.0962306600448772</v>
      </c>
      <c r="J155">
        <f t="shared" si="112"/>
        <v>15</v>
      </c>
      <c r="M155">
        <f t="shared" si="113"/>
        <v>1.8155004964809741E-2</v>
      </c>
      <c r="N155">
        <f t="shared" si="114"/>
        <v>-1.5707963250000001</v>
      </c>
      <c r="O155">
        <f t="shared" si="115"/>
        <v>20.85829866993484</v>
      </c>
      <c r="P155">
        <f t="shared" si="116"/>
        <v>1.5228353931669349</v>
      </c>
      <c r="Q155">
        <f t="shared" si="117"/>
        <v>8.0644523790687224</v>
      </c>
      <c r="R155">
        <f t="shared" si="118"/>
        <v>1.4464753492216618</v>
      </c>
      <c r="S155">
        <f t="shared" si="119"/>
        <v>0.99981139230427862</v>
      </c>
      <c r="T155">
        <f t="shared" si="120"/>
        <v>-1.942233893381853E-2</v>
      </c>
      <c r="U155">
        <f t="shared" si="121"/>
        <v>0.95731187552286434</v>
      </c>
      <c r="V155">
        <f t="shared" si="122"/>
        <v>-0.29324168401631956</v>
      </c>
      <c r="X155">
        <f t="shared" si="139"/>
        <v>-0.82250803685351781</v>
      </c>
      <c r="Y155">
        <f t="shared" si="123"/>
        <v>-114.09743567338701</v>
      </c>
      <c r="Z155">
        <f t="shared" si="140"/>
        <v>65.902564326612989</v>
      </c>
      <c r="AC155">
        <v>1</v>
      </c>
      <c r="AD155">
        <f t="shared" si="124"/>
        <v>20.834313605305201</v>
      </c>
      <c r="AE155">
        <f t="shared" si="125"/>
        <v>-7.9198041053168413E-4</v>
      </c>
      <c r="AF155">
        <f t="shared" si="126"/>
        <v>2.6229157034850003E-3</v>
      </c>
      <c r="AG155">
        <f t="shared" si="141"/>
        <v>7174.0034062491786</v>
      </c>
      <c r="AH155">
        <f t="shared" si="142"/>
        <v>-2547.4208545700353</v>
      </c>
      <c r="AJ155">
        <f t="shared" si="127"/>
        <v>21000</v>
      </c>
      <c r="AK155">
        <f t="shared" si="128"/>
        <v>407.92041179851503</v>
      </c>
      <c r="AL155">
        <v>1</v>
      </c>
      <c r="AM155">
        <f t="shared" si="129"/>
        <v>8.0022117051642141</v>
      </c>
      <c r="AN155">
        <f t="shared" si="143"/>
        <v>373.09324481432486</v>
      </c>
      <c r="AO155">
        <f t="shared" si="144"/>
        <v>-2577.6507189723734</v>
      </c>
      <c r="AQ155">
        <f t="shared" si="130"/>
        <v>0.68296680781314023</v>
      </c>
      <c r="AR155">
        <f t="shared" si="131"/>
        <v>-82.638983745389979</v>
      </c>
      <c r="AT155">
        <f t="shared" si="156"/>
        <v>-205616.66438787399</v>
      </c>
      <c r="AU155">
        <f t="shared" si="157"/>
        <v>-594592.15476760047</v>
      </c>
      <c r="AV155">
        <f t="shared" si="145"/>
        <v>-1.9037346697795265</v>
      </c>
      <c r="AW155">
        <f t="shared" si="146"/>
        <v>-207805.72157173385</v>
      </c>
      <c r="AX155">
        <f t="shared" si="147"/>
        <v>-50679.235084173793</v>
      </c>
      <c r="AY155">
        <f t="shared" si="155"/>
        <v>-2.902384160003121</v>
      </c>
      <c r="BA155">
        <f t="shared" si="132"/>
        <v>2.9413359915491211</v>
      </c>
      <c r="BB155">
        <f t="shared" si="148"/>
        <v>9.3708927440766789</v>
      </c>
      <c r="BC155">
        <f t="shared" si="149"/>
        <v>0.9986494902235945</v>
      </c>
      <c r="BD155">
        <f t="shared" si="133"/>
        <v>-122.78159893191531</v>
      </c>
      <c r="BF155">
        <f t="shared" si="134"/>
        <v>-0.76804855207499378</v>
      </c>
      <c r="BG155">
        <f t="shared" si="135"/>
        <v>-119.09367946033232</v>
      </c>
      <c r="BH155">
        <f t="shared" si="150"/>
        <v>60.906320539667675</v>
      </c>
      <c r="BI155">
        <f t="shared" si="151"/>
        <v>60.906320539667675</v>
      </c>
      <c r="BJ155">
        <f t="shared" si="136"/>
        <v>0</v>
      </c>
      <c r="BK155">
        <f t="shared" si="152"/>
        <v>0</v>
      </c>
      <c r="BM155">
        <f t="shared" si="153"/>
        <v>-10.138941296151671</v>
      </c>
      <c r="BN155">
        <f t="shared" si="137"/>
        <v>-176.31208052841703</v>
      </c>
      <c r="BQ155" s="66">
        <f t="shared" si="154"/>
        <v>26.272853544361816</v>
      </c>
      <c r="BR155" s="71"/>
      <c r="BS155" s="71"/>
      <c r="BT155" s="71">
        <v>2818.3829999999998</v>
      </c>
      <c r="BU155" s="71">
        <v>6.5356199999999998</v>
      </c>
      <c r="BV155" s="71">
        <v>-250.48</v>
      </c>
      <c r="BW155" s="75"/>
      <c r="BY155" s="71"/>
      <c r="BZ155" s="71"/>
      <c r="CA155" s="71"/>
      <c r="CC155" s="71"/>
    </row>
    <row r="156" spans="1:81" ht="13" x14ac:dyDescent="0.3">
      <c r="A156">
        <f t="shared" si="106"/>
        <v>61000</v>
      </c>
      <c r="B156">
        <f t="shared" si="138"/>
        <v>61</v>
      </c>
      <c r="C156">
        <f t="shared" si="107"/>
        <v>1.0001836071336727</v>
      </c>
      <c r="D156">
        <f t="shared" si="108"/>
        <v>1.9161369736569608E-2</v>
      </c>
      <c r="F156">
        <f t="shared" si="109"/>
        <v>2.0398272242400105E-2</v>
      </c>
      <c r="G156">
        <f t="shared" si="110"/>
        <v>4.4975310262027515E-2</v>
      </c>
      <c r="H156">
        <f t="shared" si="111"/>
        <v>-3.0966173397379726</v>
      </c>
      <c r="J156">
        <f t="shared" si="112"/>
        <v>15</v>
      </c>
      <c r="M156">
        <f t="shared" si="113"/>
        <v>1.8006193448704744E-2</v>
      </c>
      <c r="N156">
        <f t="shared" si="114"/>
        <v>-1.5707963250000001</v>
      </c>
      <c r="O156">
        <f t="shared" si="115"/>
        <v>21.03028670430794</v>
      </c>
      <c r="P156">
        <f t="shared" si="116"/>
        <v>1.5232279203725689</v>
      </c>
      <c r="Q156">
        <f t="shared" si="117"/>
        <v>8.130080080294416</v>
      </c>
      <c r="R156">
        <f t="shared" si="118"/>
        <v>1.4474840329965106</v>
      </c>
      <c r="S156">
        <f t="shared" si="119"/>
        <v>0.99980826283979918</v>
      </c>
      <c r="T156">
        <f t="shared" si="120"/>
        <v>-1.9582813265920086E-2</v>
      </c>
      <c r="U156">
        <f t="shared" si="121"/>
        <v>0.95664878216465177</v>
      </c>
      <c r="V156">
        <f t="shared" si="122"/>
        <v>-0.29552702539653952</v>
      </c>
      <c r="X156">
        <f t="shared" si="139"/>
        <v>-0.90408903833147969</v>
      </c>
      <c r="Y156">
        <f t="shared" si="123"/>
        <v>-114.17044550733239</v>
      </c>
      <c r="Z156">
        <f t="shared" si="140"/>
        <v>65.829554492667611</v>
      </c>
      <c r="AC156">
        <v>1</v>
      </c>
      <c r="AD156">
        <f t="shared" si="124"/>
        <v>21.006498015266402</v>
      </c>
      <c r="AE156">
        <f t="shared" si="125"/>
        <v>-8.0512508915740635E-4</v>
      </c>
      <c r="AF156">
        <f t="shared" si="126"/>
        <v>2.6445926927700001E-3</v>
      </c>
      <c r="AG156">
        <f t="shared" si="141"/>
        <v>7164.0685320995572</v>
      </c>
      <c r="AH156">
        <f t="shared" si="142"/>
        <v>-2559.1734160573192</v>
      </c>
      <c r="AJ156">
        <f t="shared" si="127"/>
        <v>21000</v>
      </c>
      <c r="AK156">
        <f t="shared" si="128"/>
        <v>411.29165487123009</v>
      </c>
      <c r="AL156">
        <v>1</v>
      </c>
      <c r="AM156">
        <f t="shared" si="129"/>
        <v>8.0683456861986311</v>
      </c>
      <c r="AN156">
        <f t="shared" si="143"/>
        <v>367.91383838464191</v>
      </c>
      <c r="AO156">
        <f t="shared" si="144"/>
        <v>-2557.1643759522749</v>
      </c>
      <c r="AQ156">
        <f t="shared" si="130"/>
        <v>0.67181726570372857</v>
      </c>
      <c r="AR156">
        <f t="shared" si="131"/>
        <v>-81.961706415854891</v>
      </c>
      <c r="AT156">
        <f t="shared" si="156"/>
        <v>-204941.2752616012</v>
      </c>
      <c r="AU156">
        <f t="shared" si="157"/>
        <v>-588898.57865784573</v>
      </c>
      <c r="AV156">
        <f t="shared" si="145"/>
        <v>-1.9056952208638511</v>
      </c>
      <c r="AW156">
        <f t="shared" si="146"/>
        <v>-204416.04735903445</v>
      </c>
      <c r="AX156">
        <f t="shared" si="147"/>
        <v>-49829.968413535316</v>
      </c>
      <c r="AY156">
        <f t="shared" si="155"/>
        <v>-2.9024885142687777</v>
      </c>
      <c r="BA156">
        <f t="shared" si="132"/>
        <v>2.9635681007866759</v>
      </c>
      <c r="BB156">
        <f t="shared" si="148"/>
        <v>9.4362982296519</v>
      </c>
      <c r="BC156">
        <f t="shared" si="149"/>
        <v>0.99679329340492662</v>
      </c>
      <c r="BD156">
        <f t="shared" si="133"/>
        <v>-122.88795117569211</v>
      </c>
      <c r="BF156">
        <f t="shared" si="134"/>
        <v>-0.84841426969725242</v>
      </c>
      <c r="BG156">
        <f t="shared" si="135"/>
        <v>-119.21319009559232</v>
      </c>
      <c r="BH156">
        <f t="shared" si="150"/>
        <v>60.786809904407676</v>
      </c>
      <c r="BI156">
        <f t="shared" si="151"/>
        <v>60.786809904407676</v>
      </c>
      <c r="BJ156">
        <f t="shared" si="136"/>
        <v>0</v>
      </c>
      <c r="BK156">
        <f t="shared" si="152"/>
        <v>0</v>
      </c>
      <c r="BM156">
        <f t="shared" si="153"/>
        <v>-10.284712499349151</v>
      </c>
      <c r="BN156">
        <f t="shared" si="137"/>
        <v>-176.32523891990022</v>
      </c>
      <c r="BQ156" s="66">
        <f t="shared" si="154"/>
        <v>26.338259029937035</v>
      </c>
      <c r="BR156" s="71"/>
      <c r="BS156" s="71"/>
      <c r="BT156" s="71">
        <v>2884.0320000000002</v>
      </c>
      <c r="BU156" s="71">
        <v>6.3265200000000004</v>
      </c>
      <c r="BV156" s="71">
        <v>-250.202</v>
      </c>
      <c r="BW156" s="75"/>
      <c r="BY156" s="71"/>
      <c r="BZ156" s="71"/>
      <c r="CA156" s="71"/>
      <c r="CC156" s="71"/>
    </row>
    <row r="157" spans="1:81" ht="13" x14ac:dyDescent="0.3">
      <c r="A157">
        <f t="shared" si="106"/>
        <v>61500</v>
      </c>
      <c r="B157">
        <f t="shared" si="138"/>
        <v>61.5</v>
      </c>
      <c r="C157">
        <f t="shared" si="107"/>
        <v>1.0001866291405854</v>
      </c>
      <c r="D157">
        <f t="shared" si="108"/>
        <v>1.9318391229282087E-2</v>
      </c>
      <c r="F157">
        <f t="shared" si="109"/>
        <v>2.0061589708680796E-2</v>
      </c>
      <c r="G157">
        <f t="shared" si="110"/>
        <v>4.4595285130689277E-2</v>
      </c>
      <c r="H157">
        <f t="shared" si="111"/>
        <v>-3.0969973648693108</v>
      </c>
      <c r="J157">
        <f t="shared" si="112"/>
        <v>15</v>
      </c>
      <c r="M157">
        <f t="shared" si="113"/>
        <v>1.7859801632048609E-2</v>
      </c>
      <c r="N157">
        <f t="shared" si="114"/>
        <v>-1.5707963250000001</v>
      </c>
      <c r="O157">
        <f t="shared" si="115"/>
        <v>21.20227792640792</v>
      </c>
      <c r="P157">
        <f t="shared" si="116"/>
        <v>1.5236140793368482</v>
      </c>
      <c r="Q157">
        <f t="shared" si="117"/>
        <v>8.1957159209325852</v>
      </c>
      <c r="R157">
        <f t="shared" si="118"/>
        <v>1.4484765615690542</v>
      </c>
      <c r="S157">
        <f t="shared" si="119"/>
        <v>0.99980510764816</v>
      </c>
      <c r="T157">
        <f t="shared" si="120"/>
        <v>-1.9743286589305395E-2</v>
      </c>
      <c r="U157">
        <f t="shared" si="121"/>
        <v>0.95598162426109823</v>
      </c>
      <c r="V157">
        <f t="shared" si="122"/>
        <v>-0.29780919113085574</v>
      </c>
      <c r="X157">
        <f t="shared" si="139"/>
        <v>-0.98502812719164479</v>
      </c>
      <c r="Y157">
        <f t="shared" si="123"/>
        <v>-114.2441826064788</v>
      </c>
      <c r="Z157">
        <f t="shared" si="140"/>
        <v>65.755817393521198</v>
      </c>
      <c r="AC157">
        <v>1</v>
      </c>
      <c r="AD157">
        <f t="shared" si="124"/>
        <v>21.178682425227603</v>
      </c>
      <c r="AE157">
        <f t="shared" si="125"/>
        <v>-8.1837795443848432E-4</v>
      </c>
      <c r="AF157">
        <f t="shared" si="126"/>
        <v>2.6662696820549999E-3</v>
      </c>
      <c r="AG157">
        <f t="shared" si="141"/>
        <v>7154.0797077369562</v>
      </c>
      <c r="AH157">
        <f t="shared" si="142"/>
        <v>-2570.910648402385</v>
      </c>
      <c r="AJ157">
        <f t="shared" si="127"/>
        <v>21000</v>
      </c>
      <c r="AK157">
        <f t="shared" si="128"/>
        <v>414.66289794394504</v>
      </c>
      <c r="AL157">
        <v>1</v>
      </c>
      <c r="AM157">
        <f t="shared" si="129"/>
        <v>8.1344796672330446</v>
      </c>
      <c r="AN157">
        <f t="shared" si="143"/>
        <v>362.85773701212787</v>
      </c>
      <c r="AO157">
        <f t="shared" si="144"/>
        <v>-2536.995985879405</v>
      </c>
      <c r="AQ157">
        <f t="shared" si="130"/>
        <v>0.66093853271645742</v>
      </c>
      <c r="AR157">
        <f t="shared" si="131"/>
        <v>-81.295439524124262</v>
      </c>
      <c r="AT157">
        <f t="shared" si="156"/>
        <v>-204274.90419415495</v>
      </c>
      <c r="AU157">
        <f t="shared" si="157"/>
        <v>-583293.26814279449</v>
      </c>
      <c r="AV157">
        <f t="shared" si="145"/>
        <v>-1.9076578632038568</v>
      </c>
      <c r="AW157">
        <f t="shared" si="146"/>
        <v>-201107.09085256892</v>
      </c>
      <c r="AX157">
        <f t="shared" si="147"/>
        <v>-49005.215134579586</v>
      </c>
      <c r="AY157">
        <f t="shared" si="155"/>
        <v>-2.9025736459361329</v>
      </c>
      <c r="BA157">
        <f t="shared" si="132"/>
        <v>2.9857645059923565</v>
      </c>
      <c r="BB157">
        <f t="shared" si="148"/>
        <v>9.5011110190111037</v>
      </c>
      <c r="BC157">
        <f t="shared" si="149"/>
        <v>0.9949157827322761</v>
      </c>
      <c r="BD157">
        <f t="shared" si="133"/>
        <v>-122.99552461334868</v>
      </c>
      <c r="BF157">
        <f t="shared" si="134"/>
        <v>-0.92813602789205363</v>
      </c>
      <c r="BG157">
        <f t="shared" si="135"/>
        <v>-119.33354070057283</v>
      </c>
      <c r="BH157">
        <f t="shared" si="150"/>
        <v>60.666459299427174</v>
      </c>
      <c r="BI157">
        <f t="shared" si="151"/>
        <v>60.666459299427174</v>
      </c>
      <c r="BJ157">
        <f t="shared" si="136"/>
        <v>0</v>
      </c>
      <c r="BK157">
        <f t="shared" si="152"/>
        <v>0</v>
      </c>
      <c r="BM157">
        <f t="shared" si="153"/>
        <v>-10.429247046903157</v>
      </c>
      <c r="BN157">
        <f t="shared" si="137"/>
        <v>-176.33801608722413</v>
      </c>
      <c r="BQ157" s="66">
        <f t="shared" si="154"/>
        <v>26.403071819296244</v>
      </c>
      <c r="BR157" s="71"/>
      <c r="BS157" s="71"/>
      <c r="BT157" s="71">
        <v>2951.2089999999998</v>
      </c>
      <c r="BU157" s="71">
        <v>6.1830800000000004</v>
      </c>
      <c r="BV157" s="71">
        <v>-249.92599999999999</v>
      </c>
      <c r="BW157" s="75"/>
      <c r="BY157" s="71"/>
      <c r="BZ157" s="71"/>
      <c r="CA157" s="71"/>
      <c r="CC157" s="71"/>
    </row>
    <row r="158" spans="1:81" ht="13" x14ac:dyDescent="0.3">
      <c r="A158">
        <f t="shared" si="106"/>
        <v>62000</v>
      </c>
      <c r="B158">
        <f t="shared" si="138"/>
        <v>62</v>
      </c>
      <c r="C158">
        <f t="shared" si="107"/>
        <v>1.0001896758076994</v>
      </c>
      <c r="D158">
        <f t="shared" si="108"/>
        <v>1.9475411769263012E-2</v>
      </c>
      <c r="F158">
        <f t="shared" si="109"/>
        <v>1.9733225042894625E-2</v>
      </c>
      <c r="G158">
        <f t="shared" si="110"/>
        <v>4.4221741501049641E-2</v>
      </c>
      <c r="H158">
        <f t="shared" si="111"/>
        <v>-3.0973709084989505</v>
      </c>
      <c r="J158">
        <f t="shared" si="112"/>
        <v>15</v>
      </c>
      <c r="M158">
        <f t="shared" si="113"/>
        <v>1.7715770973725637E-2</v>
      </c>
      <c r="N158">
        <f t="shared" si="114"/>
        <v>-1.5707963250000001</v>
      </c>
      <c r="O158">
        <f t="shared" si="115"/>
        <v>21.374272259283238</v>
      </c>
      <c r="P158">
        <f t="shared" si="116"/>
        <v>1.5239940236749419</v>
      </c>
      <c r="Q158">
        <f t="shared" si="117"/>
        <v>8.2613597069822937</v>
      </c>
      <c r="R158">
        <f t="shared" si="118"/>
        <v>1.4494533180620766</v>
      </c>
      <c r="S158">
        <f t="shared" si="119"/>
        <v>0.9998019267300926</v>
      </c>
      <c r="T158">
        <f t="shared" si="120"/>
        <v>-1.9903758895719117E-2</v>
      </c>
      <c r="U158">
        <f t="shared" si="121"/>
        <v>0.9553104311363898</v>
      </c>
      <c r="V158">
        <f t="shared" si="122"/>
        <v>-0.30008816411125266</v>
      </c>
      <c r="X158">
        <f t="shared" si="139"/>
        <v>-1.0653377865220364</v>
      </c>
      <c r="Y158">
        <f t="shared" si="123"/>
        <v>-114.31862515337093</v>
      </c>
      <c r="Z158">
        <f t="shared" si="140"/>
        <v>65.681374846629069</v>
      </c>
      <c r="AC158">
        <v>1</v>
      </c>
      <c r="AD158">
        <f t="shared" si="124"/>
        <v>21.350866835188803</v>
      </c>
      <c r="AE158">
        <f t="shared" si="125"/>
        <v>-8.3173900637491813E-4</v>
      </c>
      <c r="AF158">
        <f t="shared" si="126"/>
        <v>2.6879466713400002E-3</v>
      </c>
      <c r="AG158">
        <f t="shared" si="141"/>
        <v>7144.0374991117333</v>
      </c>
      <c r="AH158">
        <f t="shared" si="142"/>
        <v>-2582.6310934791063</v>
      </c>
      <c r="AJ158">
        <f t="shared" si="127"/>
        <v>21000</v>
      </c>
      <c r="AK158">
        <f t="shared" si="128"/>
        <v>418.03414101666004</v>
      </c>
      <c r="AL158">
        <v>1</v>
      </c>
      <c r="AM158">
        <f t="shared" si="129"/>
        <v>8.2006136482674599</v>
      </c>
      <c r="AN158">
        <f t="shared" si="143"/>
        <v>357.92107693498309</v>
      </c>
      <c r="AO158">
        <f t="shared" si="144"/>
        <v>-2517.1383274989503</v>
      </c>
      <c r="AQ158">
        <f t="shared" si="130"/>
        <v>0.65032190934512579</v>
      </c>
      <c r="AR158">
        <f t="shared" si="131"/>
        <v>-80.639916758795607</v>
      </c>
      <c r="AT158">
        <f t="shared" si="156"/>
        <v>-203617.23228997688</v>
      </c>
      <c r="AU158">
        <f t="shared" si="157"/>
        <v>-577774.13083392987</v>
      </c>
      <c r="AV158">
        <f t="shared" si="145"/>
        <v>-1.9096224527193368</v>
      </c>
      <c r="AW158">
        <f t="shared" si="146"/>
        <v>-197876.32811625593</v>
      </c>
      <c r="AX158">
        <f t="shared" si="147"/>
        <v>-48204.051277396953</v>
      </c>
      <c r="AY158">
        <f t="shared" si="155"/>
        <v>-2.9026399584666076</v>
      </c>
      <c r="BA158">
        <f t="shared" si="132"/>
        <v>3.0079248457655385</v>
      </c>
      <c r="BB158">
        <f t="shared" si="148"/>
        <v>9.5653396205924572</v>
      </c>
      <c r="BC158">
        <f t="shared" si="149"/>
        <v>0.99301750574727077</v>
      </c>
      <c r="BD158">
        <f t="shared" si="133"/>
        <v>-123.10428787306058</v>
      </c>
      <c r="BF158">
        <f t="shared" si="134"/>
        <v>-1.0072264769325627</v>
      </c>
      <c r="BG158">
        <f t="shared" si="135"/>
        <v>-119.45470981950348</v>
      </c>
      <c r="BH158">
        <f t="shared" si="150"/>
        <v>60.545290180496522</v>
      </c>
      <c r="BI158">
        <f t="shared" si="151"/>
        <v>60.545290180496522</v>
      </c>
      <c r="BJ158">
        <f t="shared" si="136"/>
        <v>0</v>
      </c>
      <c r="BK158">
        <f t="shared" si="152"/>
        <v>0</v>
      </c>
      <c r="BM158">
        <f t="shared" si="153"/>
        <v>-10.572566097525023</v>
      </c>
      <c r="BN158">
        <f t="shared" si="137"/>
        <v>-176.35042194644288</v>
      </c>
      <c r="BQ158" s="66">
        <f t="shared" si="154"/>
        <v>26.467300420877592</v>
      </c>
      <c r="BR158" s="71"/>
      <c r="BS158" s="71"/>
      <c r="BT158" s="71">
        <v>3019.9520000000002</v>
      </c>
      <c r="BU158" s="71">
        <v>6.0130600000000003</v>
      </c>
      <c r="BV158" s="71">
        <v>-249.65100000000001</v>
      </c>
      <c r="BW158" s="75"/>
      <c r="BY158" s="71"/>
      <c r="BZ158" s="71"/>
      <c r="CA158" s="71"/>
      <c r="CC158" s="71"/>
    </row>
    <row r="159" spans="1:81" ht="13" x14ac:dyDescent="0.3">
      <c r="A159">
        <f t="shared" si="106"/>
        <v>62500</v>
      </c>
      <c r="B159">
        <f t="shared" si="138"/>
        <v>62.5</v>
      </c>
      <c r="C159">
        <f t="shared" si="107"/>
        <v>1.0001927471347893</v>
      </c>
      <c r="D159">
        <f t="shared" si="108"/>
        <v>1.9632431348778304E-2</v>
      </c>
      <c r="F159">
        <f t="shared" si="109"/>
        <v>1.9412904891868154E-2</v>
      </c>
      <c r="G159">
        <f t="shared" si="110"/>
        <v>4.3854512345175213E-2</v>
      </c>
      <c r="H159">
        <f t="shared" si="111"/>
        <v>-3.097738137654825</v>
      </c>
      <c r="J159">
        <f t="shared" si="112"/>
        <v>15</v>
      </c>
      <c r="M159">
        <f t="shared" si="113"/>
        <v>1.7574044805935832E-2</v>
      </c>
      <c r="N159">
        <f t="shared" si="114"/>
        <v>-1.5707963250000001</v>
      </c>
      <c r="O159">
        <f t="shared" si="115"/>
        <v>21.546269628438075</v>
      </c>
      <c r="P159">
        <f t="shared" si="116"/>
        <v>1.524367902104276</v>
      </c>
      <c r="Q159">
        <f t="shared" si="117"/>
        <v>8.3270112505369056</v>
      </c>
      <c r="R159">
        <f t="shared" si="118"/>
        <v>1.4504146736385324</v>
      </c>
      <c r="S159">
        <f t="shared" si="119"/>
        <v>0.99979872008633375</v>
      </c>
      <c r="T159">
        <f t="shared" si="120"/>
        <v>-2.0064230176906245E-2</v>
      </c>
      <c r="U159">
        <f t="shared" si="121"/>
        <v>0.95463523217755042</v>
      </c>
      <c r="V159">
        <f t="shared" si="122"/>
        <v>-0.30236392741020535</v>
      </c>
      <c r="X159">
        <f t="shared" si="139"/>
        <v>-1.1450301419241129</v>
      </c>
      <c r="Y159">
        <f t="shared" si="123"/>
        <v>-114.39375196114717</v>
      </c>
      <c r="Z159">
        <f t="shared" si="140"/>
        <v>65.606248038852826</v>
      </c>
      <c r="AC159">
        <v>1</v>
      </c>
      <c r="AD159">
        <f t="shared" si="124"/>
        <v>21.52305124515</v>
      </c>
      <c r="AE159">
        <f t="shared" si="125"/>
        <v>-8.4520824496670769E-4</v>
      </c>
      <c r="AF159">
        <f t="shared" si="126"/>
        <v>2.709623660625E-3</v>
      </c>
      <c r="AG159">
        <f t="shared" si="141"/>
        <v>7133.9424726493326</v>
      </c>
      <c r="AH159">
        <f t="shared" si="142"/>
        <v>-2594.3333382983296</v>
      </c>
      <c r="AJ159">
        <f t="shared" si="127"/>
        <v>21000</v>
      </c>
      <c r="AK159">
        <f t="shared" si="128"/>
        <v>421.40538408937499</v>
      </c>
      <c r="AL159">
        <v>1</v>
      </c>
      <c r="AM159">
        <f t="shared" si="129"/>
        <v>8.2667476293018751</v>
      </c>
      <c r="AN159">
        <f t="shared" si="143"/>
        <v>353.10014379849622</v>
      </c>
      <c r="AO159">
        <f t="shared" si="144"/>
        <v>-2497.5843925629952</v>
      </c>
      <c r="AQ159">
        <f t="shared" si="130"/>
        <v>0.63995904262127223</v>
      </c>
      <c r="AR159">
        <f t="shared" si="131"/>
        <v>-79.994880327659033</v>
      </c>
      <c r="AT159">
        <f t="shared" si="156"/>
        <v>-202967.95393231913</v>
      </c>
      <c r="AU159">
        <f t="shared" si="157"/>
        <v>-572339.14144340518</v>
      </c>
      <c r="AV159">
        <f t="shared" si="145"/>
        <v>-1.911588849555836</v>
      </c>
      <c r="AW159">
        <f t="shared" si="146"/>
        <v>-194721.33257281463</v>
      </c>
      <c r="AX159">
        <f t="shared" si="147"/>
        <v>-47425.595095728742</v>
      </c>
      <c r="AY159">
        <f t="shared" si="155"/>
        <v>-2.9026878427095308</v>
      </c>
      <c r="BA159">
        <f t="shared" si="132"/>
        <v>3.0300487625433057</v>
      </c>
      <c r="BB159">
        <f t="shared" si="148"/>
        <v>9.6289923531027153</v>
      </c>
      <c r="BC159">
        <f t="shared" si="149"/>
        <v>0.99109899315369487</v>
      </c>
      <c r="BD159">
        <f t="shared" si="133"/>
        <v>-123.21421054774078</v>
      </c>
      <c r="BF159">
        <f t="shared" si="134"/>
        <v>-1.0856979099292918</v>
      </c>
      <c r="BG159">
        <f t="shared" si="135"/>
        <v>-119.57667661573608</v>
      </c>
      <c r="BH159">
        <f t="shared" si="150"/>
        <v>60.423323384263924</v>
      </c>
      <c r="BI159">
        <f t="shared" si="151"/>
        <v>60.423323384263924</v>
      </c>
      <c r="BJ159">
        <f t="shared" si="136"/>
        <v>0</v>
      </c>
      <c r="BK159">
        <f t="shared" si="152"/>
        <v>0</v>
      </c>
      <c r="BM159">
        <f t="shared" si="153"/>
        <v>-10.71469026303201</v>
      </c>
      <c r="BN159">
        <f t="shared" si="137"/>
        <v>-176.36246606799529</v>
      </c>
      <c r="BQ159" s="66">
        <f t="shared" si="154"/>
        <v>26.530953153387852</v>
      </c>
      <c r="BR159" s="71"/>
      <c r="BS159" s="71"/>
      <c r="BT159" s="71">
        <v>3090.2950000000001</v>
      </c>
      <c r="BU159" s="71">
        <v>5.8544900000000002</v>
      </c>
      <c r="BV159" s="71">
        <v>-248.41800000000001</v>
      </c>
      <c r="BW159" s="75"/>
      <c r="BY159" s="71"/>
      <c r="BZ159" s="71"/>
      <c r="CA159" s="71"/>
      <c r="CC159" s="71"/>
    </row>
    <row r="160" spans="1:81" ht="13" x14ac:dyDescent="0.3">
      <c r="A160">
        <f t="shared" si="106"/>
        <v>63000</v>
      </c>
      <c r="B160">
        <f t="shared" si="138"/>
        <v>63</v>
      </c>
      <c r="C160">
        <f t="shared" si="107"/>
        <v>1.0001958431216278</v>
      </c>
      <c r="D160">
        <f t="shared" si="108"/>
        <v>1.9789449960094165E-2</v>
      </c>
      <c r="F160">
        <f t="shared" si="109"/>
        <v>1.9100367102575823E-2</v>
      </c>
      <c r="G160">
        <f t="shared" si="110"/>
        <v>4.3493436403659713E-2</v>
      </c>
      <c r="H160">
        <f t="shared" si="111"/>
        <v>-3.0980992135963406</v>
      </c>
      <c r="J160">
        <f t="shared" si="112"/>
        <v>15</v>
      </c>
      <c r="M160">
        <f t="shared" si="113"/>
        <v>1.7434568259856974E-2</v>
      </c>
      <c r="N160">
        <f t="shared" si="114"/>
        <v>-1.5707963250000001</v>
      </c>
      <c r="O160">
        <f t="shared" si="115"/>
        <v>21.718269961735174</v>
      </c>
      <c r="P160">
        <f t="shared" si="116"/>
        <v>1.5247358586380464</v>
      </c>
      <c r="Q160">
        <f t="shared" si="117"/>
        <v>8.3926703695475098</v>
      </c>
      <c r="R160">
        <f t="shared" si="118"/>
        <v>1.4513609879623082</v>
      </c>
      <c r="S160">
        <f t="shared" si="119"/>
        <v>0.99979548771762661</v>
      </c>
      <c r="T160">
        <f t="shared" si="120"/>
        <v>-2.0224700424612076E-2</v>
      </c>
      <c r="U160">
        <f t="shared" si="121"/>
        <v>0.95395605683138029</v>
      </c>
      <c r="V160">
        <f t="shared" si="122"/>
        <v>-0.30463646428082053</v>
      </c>
      <c r="X160">
        <f t="shared" si="139"/>
        <v>-1.2241169749689604</v>
      </c>
      <c r="Y160">
        <f t="shared" si="123"/>
        <v>-114.46954245116353</v>
      </c>
      <c r="Z160">
        <f t="shared" si="140"/>
        <v>65.530457548836466</v>
      </c>
      <c r="AC160">
        <v>1</v>
      </c>
      <c r="AD160">
        <f t="shared" si="124"/>
        <v>21.695235655111201</v>
      </c>
      <c r="AE160">
        <f t="shared" si="125"/>
        <v>-8.5878567021385277E-4</v>
      </c>
      <c r="AF160">
        <f t="shared" si="126"/>
        <v>2.7313006499100003E-3</v>
      </c>
      <c r="AG160">
        <f t="shared" si="141"/>
        <v>7123.7951951827654</v>
      </c>
      <c r="AH160">
        <f t="shared" si="142"/>
        <v>-2606.0160134314747</v>
      </c>
      <c r="AJ160">
        <f t="shared" si="127"/>
        <v>21000</v>
      </c>
      <c r="AK160">
        <f t="shared" si="128"/>
        <v>424.77662716209005</v>
      </c>
      <c r="AL160">
        <v>1</v>
      </c>
      <c r="AM160">
        <f t="shared" si="129"/>
        <v>8.3328816103362904</v>
      </c>
      <c r="AN160">
        <f t="shared" si="143"/>
        <v>348.39136581039151</v>
      </c>
      <c r="AO160">
        <f t="shared" si="144"/>
        <v>-2478.3273781992648</v>
      </c>
      <c r="AQ160">
        <f t="shared" si="130"/>
        <v>0.62984190968067011</v>
      </c>
      <c r="AR160">
        <f t="shared" si="131"/>
        <v>-79.360080619764446</v>
      </c>
      <c r="AT160">
        <f t="shared" si="156"/>
        <v>-202326.77615241107</v>
      </c>
      <c r="AU160">
        <f t="shared" si="157"/>
        <v>-566986.33911095292</v>
      </c>
      <c r="AV160">
        <f t="shared" si="145"/>
        <v>-1.9135569179251013</v>
      </c>
      <c r="AW160">
        <f t="shared" si="146"/>
        <v>-191639.77055611816</v>
      </c>
      <c r="AX160">
        <f t="shared" si="147"/>
        <v>-46669.004816371482</v>
      </c>
      <c r="AY160">
        <f t="shared" si="155"/>
        <v>-2.9027176773966064</v>
      </c>
      <c r="BA160">
        <f t="shared" si="132"/>
        <v>3.052135902505154</v>
      </c>
      <c r="BB160">
        <f t="shared" si="148"/>
        <v>9.6920773510173781</v>
      </c>
      <c r="BC160">
        <f t="shared" si="149"/>
        <v>0.98916075947150506</v>
      </c>
      <c r="BD160">
        <f t="shared" si="133"/>
        <v>-123.32526315756726</v>
      </c>
      <c r="BF160">
        <f t="shared" si="134"/>
        <v>-1.1635622762670701</v>
      </c>
      <c r="BG160">
        <f t="shared" si="135"/>
        <v>-119.69942084937504</v>
      </c>
      <c r="BH160">
        <f t="shared" si="150"/>
        <v>60.300579150624955</v>
      </c>
      <c r="BI160">
        <f t="shared" si="151"/>
        <v>60.300579150624955</v>
      </c>
      <c r="BJ160">
        <f t="shared" si="136"/>
        <v>0</v>
      </c>
      <c r="BK160">
        <f t="shared" si="152"/>
        <v>0</v>
      </c>
      <c r="BM160">
        <f t="shared" si="153"/>
        <v>-10.855639627284448</v>
      </c>
      <c r="BN160">
        <f t="shared" si="137"/>
        <v>-176.3741576918078</v>
      </c>
      <c r="BQ160" s="66">
        <f t="shared" si="154"/>
        <v>26.594038151302513</v>
      </c>
      <c r="BR160" s="71"/>
      <c r="BS160" s="71"/>
      <c r="BT160" s="71">
        <v>3162.2779999999998</v>
      </c>
      <c r="BU160" s="71">
        <v>5.6099300000000003</v>
      </c>
      <c r="BV160" s="71">
        <v>-248.626</v>
      </c>
      <c r="BW160" s="75"/>
      <c r="BY160" s="71"/>
      <c r="BZ160" s="71"/>
      <c r="CA160" s="71"/>
      <c r="CC160" s="71"/>
    </row>
    <row r="161" spans="1:81" ht="13" x14ac:dyDescent="0.3">
      <c r="A161">
        <f t="shared" si="106"/>
        <v>63500</v>
      </c>
      <c r="B161">
        <f t="shared" si="138"/>
        <v>63.5</v>
      </c>
      <c r="C161">
        <f t="shared" si="107"/>
        <v>1.0001989637679862</v>
      </c>
      <c r="D161">
        <f t="shared" si="108"/>
        <v>1.9946467595477076E-2</v>
      </c>
      <c r="F161">
        <f t="shared" si="109"/>
        <v>1.8795360173019207E-2</v>
      </c>
      <c r="G161">
        <f t="shared" si="110"/>
        <v>4.3138357935860391E-2</v>
      </c>
      <c r="H161">
        <f t="shared" si="111"/>
        <v>-3.0984542920641398</v>
      </c>
      <c r="J161">
        <f t="shared" si="112"/>
        <v>15</v>
      </c>
      <c r="M161">
        <f t="shared" si="113"/>
        <v>1.7297288194818732E-2</v>
      </c>
      <c r="N161">
        <f t="shared" si="114"/>
        <v>-1.5707963250000001</v>
      </c>
      <c r="O161">
        <f t="shared" si="115"/>
        <v>21.890273189303304</v>
      </c>
      <c r="P161">
        <f t="shared" si="116"/>
        <v>1.5250980327696353</v>
      </c>
      <c r="Q161">
        <f t="shared" si="117"/>
        <v>8.4583368875972429</v>
      </c>
      <c r="R161">
        <f t="shared" si="118"/>
        <v>1.4522926096379527</v>
      </c>
      <c r="S161">
        <f t="shared" si="119"/>
        <v>0.9997922296247197</v>
      </c>
      <c r="T161">
        <f t="shared" si="120"/>
        <v>-2.0385169630582237E-2</v>
      </c>
      <c r="U161">
        <f t="shared" si="121"/>
        <v>0.9532729346014106</v>
      </c>
      <c r="V161">
        <f t="shared" si="122"/>
        <v>-0.30690575815695548</v>
      </c>
      <c r="X161">
        <f t="shared" si="139"/>
        <v>-1.3026097360234326</v>
      </c>
      <c r="Y161">
        <f t="shared" si="123"/>
        <v>-114.54597663155033</v>
      </c>
      <c r="Z161">
        <f t="shared" si="140"/>
        <v>65.454023368449668</v>
      </c>
      <c r="AC161">
        <v>1</v>
      </c>
      <c r="AD161">
        <f t="shared" si="124"/>
        <v>21.867420065072402</v>
      </c>
      <c r="AE161">
        <f t="shared" si="125"/>
        <v>-8.7247128211635349E-4</v>
      </c>
      <c r="AF161">
        <f t="shared" si="126"/>
        <v>2.7529776391950001E-3</v>
      </c>
      <c r="AG161">
        <f t="shared" si="141"/>
        <v>7113.596233885577</v>
      </c>
      <c r="AH161">
        <f t="shared" si="142"/>
        <v>-2617.6777915070325</v>
      </c>
      <c r="AJ161">
        <f t="shared" si="127"/>
        <v>21000</v>
      </c>
      <c r="AK161">
        <f t="shared" si="128"/>
        <v>428.14787023480505</v>
      </c>
      <c r="AL161">
        <v>1</v>
      </c>
      <c r="AM161">
        <f t="shared" si="129"/>
        <v>8.3990155913707056</v>
      </c>
      <c r="AN161">
        <f t="shared" si="143"/>
        <v>343.79130725735115</v>
      </c>
      <c r="AO161">
        <f t="shared" si="144"/>
        <v>-2459.3606795974038</v>
      </c>
      <c r="AQ161">
        <f t="shared" si="130"/>
        <v>0.61996280223186606</v>
      </c>
      <c r="AR161">
        <f t="shared" si="131"/>
        <v>-78.735275883446988</v>
      </c>
      <c r="AT161">
        <f t="shared" si="156"/>
        <v>-201693.41803317267</v>
      </c>
      <c r="AU161">
        <f t="shared" si="157"/>
        <v>-561713.82485739328</v>
      </c>
      <c r="AV161">
        <f t="shared" si="145"/>
        <v>-1.9155265259530125</v>
      </c>
      <c r="AW161">
        <f t="shared" si="146"/>
        <v>-188629.39709745627</v>
      </c>
      <c r="AX161">
        <f t="shared" si="147"/>
        <v>-45933.476525012346</v>
      </c>
      <c r="AY161">
        <f t="shared" si="155"/>
        <v>-2.9027298296137314</v>
      </c>
      <c r="BA161">
        <f t="shared" si="132"/>
        <v>3.0741859154825879</v>
      </c>
      <c r="BB161">
        <f t="shared" si="148"/>
        <v>9.7546025698890162</v>
      </c>
      <c r="BC161">
        <f t="shared" si="149"/>
        <v>0.98720330366071884</v>
      </c>
      <c r="BD161">
        <f t="shared" si="133"/>
        <v>-123.43741711423682</v>
      </c>
      <c r="BF161">
        <f t="shared" si="134"/>
        <v>-1.2408311944120543</v>
      </c>
      <c r="BG161">
        <f t="shared" si="135"/>
        <v>-119.82292285584188</v>
      </c>
      <c r="BH161">
        <f t="shared" si="150"/>
        <v>60.177077144158119</v>
      </c>
      <c r="BI161">
        <f t="shared" si="151"/>
        <v>60.177077144158119</v>
      </c>
      <c r="BJ161">
        <f t="shared" si="136"/>
        <v>0</v>
      </c>
      <c r="BK161">
        <f t="shared" si="152"/>
        <v>0</v>
      </c>
      <c r="BM161">
        <f t="shared" si="153"/>
        <v>-10.995433764301071</v>
      </c>
      <c r="BN161">
        <f t="shared" si="137"/>
        <v>-176.38550574160504</v>
      </c>
      <c r="BQ161" s="66">
        <f t="shared" si="154"/>
        <v>26.656563370174151</v>
      </c>
      <c r="BR161" s="71"/>
      <c r="BS161" s="71"/>
      <c r="BT161" s="71">
        <v>3235.9369999999999</v>
      </c>
      <c r="BU161" s="71">
        <v>5.4320899999999996</v>
      </c>
      <c r="BV161" s="71">
        <v>-248.57499999999999</v>
      </c>
      <c r="BW161" s="75"/>
      <c r="BY161" s="71"/>
      <c r="BZ161" s="71"/>
      <c r="CA161" s="71"/>
      <c r="CC161" s="71"/>
    </row>
    <row r="162" spans="1:81" ht="13" x14ac:dyDescent="0.3">
      <c r="A162">
        <f t="shared" si="106"/>
        <v>64000</v>
      </c>
      <c r="B162">
        <f t="shared" si="138"/>
        <v>64</v>
      </c>
      <c r="C162">
        <f t="shared" si="107"/>
        <v>1.0002021090736335</v>
      </c>
      <c r="D162">
        <f t="shared" si="108"/>
        <v>2.0103484247193826E-2</v>
      </c>
      <c r="F162">
        <f t="shared" si="109"/>
        <v>1.8497642734417532E-2</v>
      </c>
      <c r="G162">
        <f t="shared" si="110"/>
        <v>4.2789126483123309E-2</v>
      </c>
      <c r="H162">
        <f t="shared" si="111"/>
        <v>-3.0988035235168767</v>
      </c>
      <c r="J162">
        <f t="shared" si="112"/>
        <v>15</v>
      </c>
      <c r="M162">
        <f t="shared" si="113"/>
        <v>1.716215313079671E-2</v>
      </c>
      <c r="N162">
        <f t="shared" si="114"/>
        <v>-1.5707963250000001</v>
      </c>
      <c r="O162">
        <f t="shared" si="115"/>
        <v>22.062279243449016</v>
      </c>
      <c r="P162">
        <f t="shared" si="116"/>
        <v>1.5254545596484266</v>
      </c>
      <c r="Q162">
        <f t="shared" si="117"/>
        <v>8.5240106336859167</v>
      </c>
      <c r="R162">
        <f t="shared" si="118"/>
        <v>1.4532098766304791</v>
      </c>
      <c r="S162">
        <f t="shared" si="119"/>
        <v>0.99978894580836808</v>
      </c>
      <c r="T162">
        <f t="shared" si="120"/>
        <v>-2.0545637786562668E-2</v>
      </c>
      <c r="U162">
        <f t="shared" si="121"/>
        <v>0.95258589504487134</v>
      </c>
      <c r="V162">
        <f t="shared" si="122"/>
        <v>-0.30917179265331607</v>
      </c>
      <c r="X162">
        <f t="shared" si="139"/>
        <v>-1.3805195564815484</v>
      </c>
      <c r="Y162">
        <f t="shared" si="123"/>
        <v>-114.62303507665708</v>
      </c>
      <c r="Z162">
        <f t="shared" si="140"/>
        <v>65.376964923342925</v>
      </c>
      <c r="AC162">
        <v>1</v>
      </c>
      <c r="AD162">
        <f t="shared" si="124"/>
        <v>22.039604475033602</v>
      </c>
      <c r="AE162">
        <f t="shared" si="125"/>
        <v>-8.8626508067421016E-4</v>
      </c>
      <c r="AF162">
        <f t="shared" si="126"/>
        <v>2.7746546284800003E-3</v>
      </c>
      <c r="AG162">
        <f t="shared" si="141"/>
        <v>7103.3461562053453</v>
      </c>
      <c r="AH162">
        <f t="shared" si="142"/>
        <v>-2629.3173857759484</v>
      </c>
      <c r="AJ162">
        <f t="shared" si="127"/>
        <v>21000</v>
      </c>
      <c r="AK162">
        <f t="shared" si="128"/>
        <v>431.51911330752</v>
      </c>
      <c r="AL162">
        <v>1</v>
      </c>
      <c r="AM162">
        <f t="shared" si="129"/>
        <v>8.4651495724051209</v>
      </c>
      <c r="AN162">
        <f t="shared" si="143"/>
        <v>339.29666236120948</v>
      </c>
      <c r="AO162">
        <f t="shared" si="144"/>
        <v>-2440.6778829979576</v>
      </c>
      <c r="AQ162">
        <f t="shared" si="130"/>
        <v>0.61031431187061336</v>
      </c>
      <c r="AR162">
        <f t="shared" si="131"/>
        <v>-78.12023191943851</v>
      </c>
      <c r="AT162">
        <f t="shared" si="156"/>
        <v>-201067.61014532563</v>
      </c>
      <c r="AU162">
        <f t="shared" si="157"/>
        <v>-556519.75915780291</v>
      </c>
      <c r="AV162">
        <f t="shared" si="145"/>
        <v>-1.9174975455345815</v>
      </c>
      <c r="AW162">
        <f t="shared" si="146"/>
        <v>-185688.05193183487</v>
      </c>
      <c r="AX162">
        <f t="shared" si="147"/>
        <v>-45218.242179256747</v>
      </c>
      <c r="AY162">
        <f t="shared" si="155"/>
        <v>-2.9027246552513533</v>
      </c>
      <c r="BA162">
        <f t="shared" si="132"/>
        <v>3.0961984548733326</v>
      </c>
      <c r="BB162">
        <f t="shared" si="148"/>
        <v>9.8165757914714575</v>
      </c>
      <c r="BC162">
        <f t="shared" si="149"/>
        <v>0.98522710971677174</v>
      </c>
      <c r="BD162">
        <f t="shared" si="133"/>
        <v>-123.55064468685369</v>
      </c>
      <c r="BF162">
        <f t="shared" si="134"/>
        <v>-1.3175159641240286</v>
      </c>
      <c r="BG162">
        <f t="shared" si="135"/>
        <v>-119.94716352532974</v>
      </c>
      <c r="BH162">
        <f t="shared" si="150"/>
        <v>60.052836474670258</v>
      </c>
      <c r="BI162">
        <f t="shared" si="151"/>
        <v>60.052836474670258</v>
      </c>
      <c r="BJ162">
        <f t="shared" si="136"/>
        <v>0</v>
      </c>
      <c r="BK162">
        <f t="shared" si="152"/>
        <v>0</v>
      </c>
      <c r="BM162">
        <f t="shared" si="153"/>
        <v>-11.134091755595488</v>
      </c>
      <c r="BN162">
        <f t="shared" si="137"/>
        <v>-176.39651883847606</v>
      </c>
      <c r="BQ162" s="66">
        <f t="shared" si="154"/>
        <v>26.718536591756596</v>
      </c>
      <c r="BR162" s="71"/>
      <c r="BS162" s="71"/>
      <c r="BT162" s="71">
        <v>3311.3110000000001</v>
      </c>
      <c r="BU162" s="71">
        <v>5.2356100000000003</v>
      </c>
      <c r="BV162" s="71">
        <v>-247.75799999999998</v>
      </c>
      <c r="BW162" s="75"/>
      <c r="BY162" s="71"/>
      <c r="BZ162" s="71"/>
      <c r="CA162" s="71"/>
      <c r="CC162" s="71"/>
    </row>
    <row r="163" spans="1:81" ht="13" x14ac:dyDescent="0.3">
      <c r="A163">
        <f t="shared" si="106"/>
        <v>64500</v>
      </c>
      <c r="B163">
        <f t="shared" si="138"/>
        <v>64.5</v>
      </c>
      <c r="C163">
        <f t="shared" si="107"/>
        <v>1.0002052790383371</v>
      </c>
      <c r="D163">
        <f t="shared" si="108"/>
        <v>2.0260499907511473E-2</v>
      </c>
      <c r="F163">
        <f t="shared" si="109"/>
        <v>1.8206983062676031E-2</v>
      </c>
      <c r="G163">
        <f t="shared" si="110"/>
        <v>4.2445596644209778E-2</v>
      </c>
      <c r="H163">
        <f t="shared" si="111"/>
        <v>-3.0991470533557903</v>
      </c>
      <c r="J163">
        <f t="shared" si="112"/>
        <v>15</v>
      </c>
      <c r="M163">
        <f t="shared" si="113"/>
        <v>1.7029113184046346E-2</v>
      </c>
      <c r="N163">
        <f t="shared" si="114"/>
        <v>-1.5707963250000001</v>
      </c>
      <c r="O163">
        <f t="shared" si="115"/>
        <v>22.234288058572478</v>
      </c>
      <c r="P163">
        <f t="shared" si="116"/>
        <v>1.5258055702474811</v>
      </c>
      <c r="Q163">
        <f t="shared" si="117"/>
        <v>8.5896914420244403</v>
      </c>
      <c r="R163">
        <f t="shared" si="118"/>
        <v>1.4541131166662833</v>
      </c>
      <c r="S163">
        <f t="shared" si="119"/>
        <v>0.99978563626933292</v>
      </c>
      <c r="T163">
        <f t="shared" si="120"/>
        <v>-2.0706104884299636E-2</v>
      </c>
      <c r="U163">
        <f t="shared" si="121"/>
        <v>0.95189496776967841</v>
      </c>
      <c r="V163">
        <f t="shared" si="122"/>
        <v>-0.31143455156553357</v>
      </c>
      <c r="X163">
        <f t="shared" si="139"/>
        <v>-1.4578572604337816</v>
      </c>
      <c r="Y163">
        <f t="shared" si="123"/>
        <v>-114.70069890734639</v>
      </c>
      <c r="Z163">
        <f t="shared" si="140"/>
        <v>65.299301092653607</v>
      </c>
      <c r="AC163">
        <v>1</v>
      </c>
      <c r="AD163">
        <f t="shared" si="124"/>
        <v>22.2117888849948</v>
      </c>
      <c r="AE163">
        <f t="shared" si="125"/>
        <v>-9.0016706588742269E-4</v>
      </c>
      <c r="AF163">
        <f t="shared" si="126"/>
        <v>2.7963316177650002E-3</v>
      </c>
      <c r="AG163">
        <f t="shared" si="141"/>
        <v>7093.0455297976841</v>
      </c>
      <c r="AH163">
        <f t="shared" si="142"/>
        <v>-2640.9335487421076</v>
      </c>
      <c r="AJ163">
        <f t="shared" si="127"/>
        <v>21000</v>
      </c>
      <c r="AK163">
        <f t="shared" si="128"/>
        <v>434.89035638023506</v>
      </c>
      <c r="AL163">
        <v>1</v>
      </c>
      <c r="AM163">
        <f t="shared" si="129"/>
        <v>8.5312835534395344</v>
      </c>
      <c r="AN163">
        <f t="shared" si="143"/>
        <v>334.90424945473865</v>
      </c>
      <c r="AO163">
        <f t="shared" si="144"/>
        <v>-2422.272758969988</v>
      </c>
      <c r="AQ163">
        <f t="shared" si="130"/>
        <v>0.60088931618795816</v>
      </c>
      <c r="AR163">
        <f t="shared" si="131"/>
        <v>-77.514721788246604</v>
      </c>
      <c r="AT163">
        <f t="shared" si="156"/>
        <v>-200449.09401390108</v>
      </c>
      <c r="AU163">
        <f t="shared" si="157"/>
        <v>-551402.35962783522</v>
      </c>
      <c r="AV163">
        <f t="shared" si="145"/>
        <v>-1.9194698521956386</v>
      </c>
      <c r="AW163">
        <f t="shared" si="146"/>
        <v>-182813.65571135329</v>
      </c>
      <c r="AX163">
        <f t="shared" si="147"/>
        <v>-44522.567740298618</v>
      </c>
      <c r="AY163">
        <f t="shared" si="155"/>
        <v>-2.902702499434493</v>
      </c>
      <c r="BA163">
        <f t="shared" si="132"/>
        <v>3.1181731775599397</v>
      </c>
      <c r="BB163">
        <f t="shared" si="148"/>
        <v>9.8780046286672274</v>
      </c>
      <c r="BC163">
        <f t="shared" si="149"/>
        <v>0.9832326472388544</v>
      </c>
      <c r="BD163">
        <f t="shared" si="133"/>
        <v>-123.66491896936614</v>
      </c>
      <c r="BF163">
        <f t="shared" si="134"/>
        <v>-1.3936275781066521</v>
      </c>
      <c r="BG163">
        <f t="shared" si="135"/>
        <v>-120.07212428310727</v>
      </c>
      <c r="BH163">
        <f t="shared" si="150"/>
        <v>59.927875716892729</v>
      </c>
      <c r="BI163">
        <f t="shared" si="151"/>
        <v>59.927875716892729</v>
      </c>
      <c r="BJ163">
        <f t="shared" si="136"/>
        <v>0</v>
      </c>
      <c r="BK163">
        <f t="shared" si="152"/>
        <v>0</v>
      </c>
      <c r="BM163">
        <f t="shared" si="153"/>
        <v>-11.27163220677388</v>
      </c>
      <c r="BN163">
        <f t="shared" si="137"/>
        <v>-176.40720531374114</v>
      </c>
      <c r="BQ163" s="66">
        <f t="shared" si="154"/>
        <v>26.779965428952366</v>
      </c>
      <c r="BR163" s="71"/>
      <c r="BS163" s="71"/>
      <c r="BT163" s="71">
        <v>3388.442</v>
      </c>
      <c r="BU163" s="71">
        <v>5.0528199999999996</v>
      </c>
      <c r="BV163" s="71">
        <v>-247.756</v>
      </c>
      <c r="BW163" s="75"/>
      <c r="BY163" s="71"/>
      <c r="BZ163" s="71"/>
      <c r="CA163" s="71"/>
      <c r="CC163" s="71"/>
    </row>
    <row r="164" spans="1:81" ht="13" x14ac:dyDescent="0.3">
      <c r="A164">
        <f t="shared" si="106"/>
        <v>65000</v>
      </c>
      <c r="B164">
        <f t="shared" si="138"/>
        <v>65</v>
      </c>
      <c r="C164">
        <f t="shared" si="107"/>
        <v>1.0002084736618628</v>
      </c>
      <c r="D164">
        <f t="shared" si="108"/>
        <v>2.0417514568697379E-2</v>
      </c>
      <c r="F164">
        <f t="shared" si="109"/>
        <v>1.792315861724663E-2</v>
      </c>
      <c r="G164">
        <f t="shared" si="110"/>
        <v>4.2107627862191334E-2</v>
      </c>
      <c r="H164">
        <f t="shared" si="111"/>
        <v>-3.099485022137809</v>
      </c>
      <c r="J164">
        <f t="shared" si="112"/>
        <v>15</v>
      </c>
      <c r="M164">
        <f t="shared" si="113"/>
        <v>1.6898120005707531E-2</v>
      </c>
      <c r="N164">
        <f t="shared" si="114"/>
        <v>-1.5707963250000001</v>
      </c>
      <c r="O164">
        <f t="shared" si="115"/>
        <v>22.406299571087221</v>
      </c>
      <c r="P164">
        <f t="shared" si="116"/>
        <v>1.5261511915235129</v>
      </c>
      <c r="Q164">
        <f t="shared" si="117"/>
        <v>8.6553791518384777</v>
      </c>
      <c r="R164">
        <f t="shared" si="118"/>
        <v>1.4550026476161542</v>
      </c>
      <c r="S164">
        <f t="shared" si="119"/>
        <v>0.9997823010083805</v>
      </c>
      <c r="T164">
        <f t="shared" si="120"/>
        <v>-2.0866570915539739E-2</v>
      </c>
      <c r="U164">
        <f t="shared" si="121"/>
        <v>0.95120018243143456</v>
      </c>
      <c r="V164">
        <f t="shared" si="122"/>
        <v>-0.31369401887022058</v>
      </c>
      <c r="X164">
        <f t="shared" si="139"/>
        <v>-1.534633375805182</v>
      </c>
      <c r="Y164">
        <f t="shared" si="123"/>
        <v>-114.77894977209624</v>
      </c>
      <c r="Z164">
        <f t="shared" si="140"/>
        <v>65.22105022790376</v>
      </c>
      <c r="AC164">
        <v>1</v>
      </c>
      <c r="AD164">
        <f t="shared" si="124"/>
        <v>22.383973294956004</v>
      </c>
      <c r="AE164">
        <f t="shared" si="125"/>
        <v>-9.1417723775599085E-4</v>
      </c>
      <c r="AF164">
        <f t="shared" si="126"/>
        <v>2.8180086070500004E-3</v>
      </c>
      <c r="AG164">
        <f t="shared" si="141"/>
        <v>7082.6949224607833</v>
      </c>
      <c r="AH164">
        <f t="shared" si="142"/>
        <v>-2652.525070854389</v>
      </c>
      <c r="AJ164">
        <f t="shared" si="127"/>
        <v>21000</v>
      </c>
      <c r="AK164">
        <f t="shared" si="128"/>
        <v>438.26159945295007</v>
      </c>
      <c r="AL164">
        <v>1</v>
      </c>
      <c r="AM164">
        <f t="shared" si="129"/>
        <v>8.5974175344739496</v>
      </c>
      <c r="AN164">
        <f t="shared" si="143"/>
        <v>330.61100545826082</v>
      </c>
      <c r="AO164">
        <f t="shared" si="144"/>
        <v>-2404.1392559639639</v>
      </c>
      <c r="AQ164">
        <f t="shared" si="130"/>
        <v>0.59168096562333594</v>
      </c>
      <c r="AR164">
        <f t="shared" si="131"/>
        <v>-76.918525531033666</v>
      </c>
      <c r="AT164">
        <f t="shared" si="156"/>
        <v>-199837.62161328309</v>
      </c>
      <c r="AU164">
        <f t="shared" si="157"/>
        <v>-546359.89881708543</v>
      </c>
      <c r="AV164">
        <f t="shared" si="145"/>
        <v>-1.921443324960852</v>
      </c>
      <c r="AW164">
        <f t="shared" si="146"/>
        <v>-180004.20641355068</v>
      </c>
      <c r="AX164">
        <f t="shared" si="147"/>
        <v>-43845.751415317376</v>
      </c>
      <c r="AY164">
        <f t="shared" si="155"/>
        <v>-2.9026636969334865</v>
      </c>
      <c r="BA164">
        <f t="shared" si="132"/>
        <v>3.1401097438325034</v>
      </c>
      <c r="BB164">
        <f t="shared" si="148"/>
        <v>9.9388965303051506</v>
      </c>
      <c r="BC164">
        <f t="shared" si="149"/>
        <v>0.98122037197263445</v>
      </c>
      <c r="BD164">
        <f t="shared" si="133"/>
        <v>-123.78021384947084</v>
      </c>
      <c r="BF164">
        <f t="shared" si="134"/>
        <v>-1.4691767331266408</v>
      </c>
      <c r="BG164">
        <f t="shared" si="135"/>
        <v>-120.19778707063304</v>
      </c>
      <c r="BH164">
        <f t="shared" si="150"/>
        <v>59.802212929366959</v>
      </c>
      <c r="BI164">
        <f t="shared" si="151"/>
        <v>59.802212929366959</v>
      </c>
      <c r="BJ164">
        <f t="shared" si="136"/>
        <v>0</v>
      </c>
      <c r="BK164">
        <f t="shared" si="152"/>
        <v>0</v>
      </c>
      <c r="BM164">
        <f t="shared" si="153"/>
        <v>-11.408073263431792</v>
      </c>
      <c r="BN164">
        <f t="shared" si="137"/>
        <v>-176.4175732211622</v>
      </c>
      <c r="BQ164" s="66">
        <f t="shared" si="154"/>
        <v>26.840857330590286</v>
      </c>
      <c r="BR164" s="71"/>
      <c r="BS164" s="71"/>
      <c r="BT164" s="71">
        <v>3467.3690000000001</v>
      </c>
      <c r="BU164" s="71">
        <v>4.9028999999999998</v>
      </c>
      <c r="BV164" s="71">
        <v>-247.51300000000001</v>
      </c>
      <c r="BW164" s="75"/>
      <c r="BY164" s="71"/>
      <c r="BZ164" s="71"/>
      <c r="CA164" s="71"/>
      <c r="CC164" s="71"/>
    </row>
    <row r="165" spans="1:81" ht="13" x14ac:dyDescent="0.3">
      <c r="A165">
        <f t="shared" si="106"/>
        <v>65500</v>
      </c>
      <c r="B165">
        <f t="shared" si="138"/>
        <v>65.5</v>
      </c>
      <c r="C165">
        <f t="shared" si="107"/>
        <v>1.0002116929439737</v>
      </c>
      <c r="D165">
        <f t="shared" si="108"/>
        <v>2.0574528223019205E-2</v>
      </c>
      <c r="F165">
        <f t="shared" si="109"/>
        <v>1.7645955605631574E-2</v>
      </c>
      <c r="G165">
        <f t="shared" si="110"/>
        <v>4.1775084222130235E-2</v>
      </c>
      <c r="H165">
        <f t="shared" si="111"/>
        <v>-3.0998175657778702</v>
      </c>
      <c r="J165">
        <f t="shared" si="112"/>
        <v>15</v>
      </c>
      <c r="M165">
        <f t="shared" si="113"/>
        <v>1.6769126723221211E-2</v>
      </c>
      <c r="N165">
        <f t="shared" si="114"/>
        <v>-1.5707963250000001</v>
      </c>
      <c r="O165">
        <f t="shared" si="115"/>
        <v>22.578313719343516</v>
      </c>
      <c r="P165">
        <f t="shared" si="116"/>
        <v>1.5264915465695696</v>
      </c>
      <c r="Q165">
        <f t="shared" si="117"/>
        <v>8.7210736071809034</v>
      </c>
      <c r="R165">
        <f t="shared" si="118"/>
        <v>1.4558787778612996</v>
      </c>
      <c r="S165">
        <f t="shared" si="119"/>
        <v>0.99977894002628365</v>
      </c>
      <c r="T165">
        <f t="shared" si="120"/>
        <v>-2.1027035872029899E-2</v>
      </c>
      <c r="U165">
        <f t="shared" si="121"/>
        <v>0.95050156873044933</v>
      </c>
      <c r="V165">
        <f t="shared" si="122"/>
        <v>-0.31595017872500614</v>
      </c>
      <c r="X165">
        <f t="shared" si="139"/>
        <v>-1.6108581449910511</v>
      </c>
      <c r="Y165">
        <f t="shared" si="123"/>
        <v>-114.85776982887425</v>
      </c>
      <c r="Z165">
        <f t="shared" si="140"/>
        <v>65.142230171125746</v>
      </c>
      <c r="AC165">
        <v>1</v>
      </c>
      <c r="AD165">
        <f t="shared" si="124"/>
        <v>22.556157704917201</v>
      </c>
      <c r="AE165">
        <f t="shared" si="125"/>
        <v>-9.2829559627991465E-4</v>
      </c>
      <c r="AF165">
        <f t="shared" si="126"/>
        <v>2.8396855963350003E-3</v>
      </c>
      <c r="AG165">
        <f t="shared" si="141"/>
        <v>7072.29490207049</v>
      </c>
      <c r="AH165">
        <f t="shared" si="142"/>
        <v>-2664.0907792569774</v>
      </c>
      <c r="AJ165">
        <f t="shared" si="127"/>
        <v>21000</v>
      </c>
      <c r="AK165">
        <f t="shared" si="128"/>
        <v>441.63284252566501</v>
      </c>
      <c r="AL165">
        <v>1</v>
      </c>
      <c r="AM165">
        <f t="shared" si="129"/>
        <v>8.6635515155083649</v>
      </c>
      <c r="AN165">
        <f t="shared" si="143"/>
        <v>326.41398063955143</v>
      </c>
      <c r="AO165">
        <f t="shared" si="144"/>
        <v>-2386.2714941272393</v>
      </c>
      <c r="AQ165">
        <f t="shared" si="130"/>
        <v>0.58268267101736393</v>
      </c>
      <c r="AR165">
        <f t="shared" si="131"/>
        <v>-76.331429903274682</v>
      </c>
      <c r="AT165">
        <f t="shared" si="156"/>
        <v>-199232.95488905345</v>
      </c>
      <c r="AU165">
        <f t="shared" si="157"/>
        <v>-541390.70210377069</v>
      </c>
      <c r="AV165">
        <f t="shared" si="145"/>
        <v>-1.9234178462277365</v>
      </c>
      <c r="AW165">
        <f t="shared" si="146"/>
        <v>-177257.77593339374</v>
      </c>
      <c r="AX165">
        <f t="shared" si="147"/>
        <v>-43187.122003268043</v>
      </c>
      <c r="AY165">
        <f t="shared" si="155"/>
        <v>-2.9026085725564426</v>
      </c>
      <c r="BA165">
        <f t="shared" si="132"/>
        <v>3.1620078173153336</v>
      </c>
      <c r="BB165">
        <f t="shared" si="148"/>
        <v>9.9992587857550248</v>
      </c>
      <c r="BC165">
        <f t="shared" si="149"/>
        <v>0.97919072632870607</v>
      </c>
      <c r="BD165">
        <f t="shared" si="133"/>
        <v>-123.89650397890793</v>
      </c>
      <c r="BF165">
        <f t="shared" si="134"/>
        <v>-1.5441738406305092</v>
      </c>
      <c r="BG165">
        <f t="shared" si="135"/>
        <v>-120.32413432744248</v>
      </c>
      <c r="BH165">
        <f t="shared" si="150"/>
        <v>59.675865672557521</v>
      </c>
      <c r="BI165">
        <f t="shared" si="151"/>
        <v>59.675865672557521</v>
      </c>
      <c r="BJ165">
        <f t="shared" si="136"/>
        <v>0</v>
      </c>
      <c r="BK165">
        <f t="shared" si="152"/>
        <v>0</v>
      </c>
      <c r="BM165">
        <f t="shared" si="153"/>
        <v>-11.543432626385535</v>
      </c>
      <c r="BN165">
        <f t="shared" si="137"/>
        <v>-176.42763034853456</v>
      </c>
      <c r="BQ165" s="66">
        <f t="shared" si="154"/>
        <v>26.901219586040163</v>
      </c>
      <c r="BR165" s="71"/>
      <c r="BS165" s="71"/>
      <c r="BT165" s="71">
        <v>3548.134</v>
      </c>
      <c r="BU165" s="71">
        <v>4.6522600000000001</v>
      </c>
      <c r="BV165" s="71">
        <v>-246.726</v>
      </c>
      <c r="BW165" s="75"/>
      <c r="BY165" s="71"/>
      <c r="BZ165" s="71"/>
      <c r="CA165" s="71"/>
      <c r="CC165" s="71"/>
    </row>
    <row r="166" spans="1:81" ht="13" x14ac:dyDescent="0.3">
      <c r="A166">
        <f t="shared" ref="A166:A200" si="158">A165+500</f>
        <v>66000</v>
      </c>
      <c r="B166">
        <f t="shared" si="138"/>
        <v>66</v>
      </c>
      <c r="C166">
        <f t="shared" si="107"/>
        <v>1.0002149368844324</v>
      </c>
      <c r="D166">
        <f t="shared" si="108"/>
        <v>2.0731540862744903E-2</v>
      </c>
      <c r="F166">
        <f t="shared" si="109"/>
        <v>1.7375168571905828E-2</v>
      </c>
      <c r="G166">
        <f t="shared" si="110"/>
        <v>4.1447834258909577E-2</v>
      </c>
      <c r="H166">
        <f t="shared" si="111"/>
        <v>-3.1001448157410905</v>
      </c>
      <c r="J166">
        <f t="shared" si="112"/>
        <v>15</v>
      </c>
      <c r="M166">
        <f t="shared" si="113"/>
        <v>1.6642087884408931E-2</v>
      </c>
      <c r="N166">
        <f t="shared" si="114"/>
        <v>-1.5707963250000001</v>
      </c>
      <c r="O166">
        <f t="shared" si="115"/>
        <v>22.750330443555214</v>
      </c>
      <c r="P166">
        <f t="shared" si="116"/>
        <v>1.5268267547608081</v>
      </c>
      <c r="Q166">
        <f t="shared" si="117"/>
        <v>8.7867746567525788</v>
      </c>
      <c r="R166">
        <f t="shared" si="118"/>
        <v>1.4567418066432545</v>
      </c>
      <c r="S166">
        <f t="shared" si="119"/>
        <v>0.99977555332382118</v>
      </c>
      <c r="T166">
        <f t="shared" si="120"/>
        <v>-2.1187499745517372E-2</v>
      </c>
      <c r="U166">
        <f t="shared" si="121"/>
        <v>0.94979915640877566</v>
      </c>
      <c r="V166">
        <f t="shared" si="122"/>
        <v>-0.3182030154685499</v>
      </c>
      <c r="X166">
        <f t="shared" si="139"/>
        <v>-1.6865415350171975</v>
      </c>
      <c r="Y166">
        <f t="shared" si="123"/>
        <v>-114.93714172774848</v>
      </c>
      <c r="Z166">
        <f t="shared" si="140"/>
        <v>65.062858272251518</v>
      </c>
      <c r="AC166">
        <v>1</v>
      </c>
      <c r="AD166">
        <f t="shared" si="124"/>
        <v>22.728342114878402</v>
      </c>
      <c r="AE166">
        <f t="shared" si="125"/>
        <v>-9.425221414591944E-4</v>
      </c>
      <c r="AF166">
        <f t="shared" si="126"/>
        <v>2.8613625856200001E-3</v>
      </c>
      <c r="AG166">
        <f t="shared" si="141"/>
        <v>7061.8460365159399</v>
      </c>
      <c r="AH166">
        <f t="shared" si="142"/>
        <v>-2675.6295365947963</v>
      </c>
      <c r="AJ166">
        <f t="shared" si="127"/>
        <v>21000</v>
      </c>
      <c r="AK166">
        <f t="shared" si="128"/>
        <v>445.00408559838007</v>
      </c>
      <c r="AL166">
        <v>1</v>
      </c>
      <c r="AM166">
        <f t="shared" si="129"/>
        <v>8.7296854965427801</v>
      </c>
      <c r="AN166">
        <f t="shared" si="143"/>
        <v>322.31033364062716</v>
      </c>
      <c r="AO166">
        <f t="shared" si="144"/>
        <v>-2368.6637593700671</v>
      </c>
      <c r="AQ166">
        <f t="shared" si="130"/>
        <v>0.57388809182209466</v>
      </c>
      <c r="AR166">
        <f t="shared" si="131"/>
        <v>-75.753228120516496</v>
      </c>
      <c r="AT166">
        <f t="shared" si="156"/>
        <v>-198634.86530501986</v>
      </c>
      <c r="AU166">
        <f t="shared" si="157"/>
        <v>-536493.14568533644</v>
      </c>
      <c r="AV166">
        <f t="shared" si="145"/>
        <v>-1.9253933016463396</v>
      </c>
      <c r="AW166">
        <f t="shared" si="146"/>
        <v>-174572.50684831277</v>
      </c>
      <c r="AX166">
        <f t="shared" si="147"/>
        <v>-42546.037337266142</v>
      </c>
      <c r="AY166">
        <f t="shared" si="155"/>
        <v>-2.9025374415243448</v>
      </c>
      <c r="BA166">
        <f t="shared" si="132"/>
        <v>3.1838670648973251</v>
      </c>
      <c r="BB166">
        <f t="shared" si="148"/>
        <v>10.059098529385615</v>
      </c>
      <c r="BC166">
        <f t="shared" si="149"/>
        <v>0.97714413987800519</v>
      </c>
      <c r="BD166">
        <f t="shared" si="133"/>
        <v>-124.01376474507575</v>
      </c>
      <c r="BF166">
        <f t="shared" si="134"/>
        <v>-1.6186290368860101</v>
      </c>
      <c r="BG166">
        <f t="shared" si="135"/>
        <v>-120.4511489737733</v>
      </c>
      <c r="BH166">
        <f t="shared" si="150"/>
        <v>59.5488510262267</v>
      </c>
      <c r="BI166">
        <f t="shared" si="151"/>
        <v>59.5488510262267</v>
      </c>
      <c r="BJ166">
        <f t="shared" si="136"/>
        <v>0</v>
      </c>
      <c r="BK166">
        <f t="shared" si="152"/>
        <v>0</v>
      </c>
      <c r="BM166">
        <f t="shared" si="153"/>
        <v>-11.677727566271624</v>
      </c>
      <c r="BN166">
        <f t="shared" si="137"/>
        <v>-176.43738422869754</v>
      </c>
      <c r="BQ166" s="66">
        <f t="shared" si="154"/>
        <v>26.961059329670753</v>
      </c>
      <c r="BR166" s="71"/>
      <c r="BS166" s="71"/>
      <c r="BT166" s="71">
        <v>3630.7809999999999</v>
      </c>
      <c r="BU166" s="71">
        <v>4.4950999999999999</v>
      </c>
      <c r="BV166" s="71">
        <v>-246.21199999999999</v>
      </c>
      <c r="BW166" s="75"/>
      <c r="BY166" s="71"/>
      <c r="BZ166" s="71"/>
      <c r="CA166" s="71"/>
      <c r="CC166" s="71"/>
    </row>
    <row r="167" spans="1:81" ht="13" x14ac:dyDescent="0.3">
      <c r="A167">
        <f t="shared" si="158"/>
        <v>66500</v>
      </c>
      <c r="B167">
        <f t="shared" si="138"/>
        <v>66.5</v>
      </c>
      <c r="C167">
        <f t="shared" si="107"/>
        <v>1.0002182054829984</v>
      </c>
      <c r="D167">
        <f t="shared" si="108"/>
        <v>2.0888552480142722E-2</v>
      </c>
      <c r="F167">
        <f t="shared" si="109"/>
        <v>1.7110600007749482E-2</v>
      </c>
      <c r="G167">
        <f t="shared" si="110"/>
        <v>4.1125750774618976E-2</v>
      </c>
      <c r="H167">
        <f t="shared" si="111"/>
        <v>-3.1004668992253812</v>
      </c>
      <c r="J167">
        <f t="shared" si="112"/>
        <v>15</v>
      </c>
      <c r="M167">
        <f t="shared" si="113"/>
        <v>1.6516959404075028E-2</v>
      </c>
      <c r="N167">
        <f t="shared" si="114"/>
        <v>-1.5707963250000001</v>
      </c>
      <c r="O167">
        <f t="shared" si="115"/>
        <v>22.922349685729912</v>
      </c>
      <c r="P167">
        <f t="shared" si="116"/>
        <v>1.5271569318937206</v>
      </c>
      <c r="Q167">
        <f t="shared" si="117"/>
        <v>8.8524821537310299</v>
      </c>
      <c r="R167">
        <f t="shared" si="118"/>
        <v>1.4575920243984903</v>
      </c>
      <c r="S167">
        <f t="shared" si="119"/>
        <v>0.99977214090177746</v>
      </c>
      <c r="T167">
        <f t="shared" si="120"/>
        <v>-2.1347962527749752E-2</v>
      </c>
      <c r="U167">
        <f t="shared" si="121"/>
        <v>0.94909297524726344</v>
      </c>
      <c r="V167">
        <f t="shared" si="122"/>
        <v>-0.32045251362053684</v>
      </c>
      <c r="X167">
        <f t="shared" si="139"/>
        <v>-1.7616932472501792</v>
      </c>
      <c r="Y167">
        <f t="shared" si="123"/>
        <v>-115.01704859420157</v>
      </c>
      <c r="Z167">
        <f t="shared" si="140"/>
        <v>64.982951405798431</v>
      </c>
      <c r="AC167">
        <v>1</v>
      </c>
      <c r="AD167">
        <f t="shared" si="124"/>
        <v>22.900526524839602</v>
      </c>
      <c r="AE167">
        <f t="shared" si="125"/>
        <v>-9.5685687329382979E-4</v>
      </c>
      <c r="AF167">
        <f t="shared" si="126"/>
        <v>2.8830395749049999E-3</v>
      </c>
      <c r="AG167">
        <f t="shared" si="141"/>
        <v>7051.3488936357553</v>
      </c>
      <c r="AH167">
        <f t="shared" si="142"/>
        <v>-2687.1402398711411</v>
      </c>
      <c r="AJ167">
        <f t="shared" si="127"/>
        <v>21000</v>
      </c>
      <c r="AK167">
        <f t="shared" si="128"/>
        <v>448.37532867109502</v>
      </c>
      <c r="AL167">
        <v>1</v>
      </c>
      <c r="AM167">
        <f t="shared" si="129"/>
        <v>8.7958194775771954</v>
      </c>
      <c r="AN167">
        <f t="shared" si="143"/>
        <v>318.29732675607352</v>
      </c>
      <c r="AO167">
        <f t="shared" si="144"/>
        <v>-2351.3104976707286</v>
      </c>
      <c r="AQ167">
        <f t="shared" si="130"/>
        <v>0.56529112492933864</v>
      </c>
      <c r="AR167">
        <f t="shared" si="131"/>
        <v>-75.18371961560203</v>
      </c>
      <c r="AT167">
        <f t="shared" si="156"/>
        <v>-198043.13341392085</v>
      </c>
      <c r="AU167">
        <f t="shared" si="157"/>
        <v>-531665.65465993586</v>
      </c>
      <c r="AV167">
        <f t="shared" si="145"/>
        <v>-1.9273695800043054</v>
      </c>
      <c r="AW167">
        <f t="shared" si="146"/>
        <v>-171946.60934637114</v>
      </c>
      <c r="AX167">
        <f t="shared" si="147"/>
        <v>-41921.882817262143</v>
      </c>
      <c r="AY167">
        <f t="shared" si="155"/>
        <v>-2.9024506098296916</v>
      </c>
      <c r="BA167">
        <f t="shared" si="132"/>
        <v>3.2056871566658489</v>
      </c>
      <c r="BB167">
        <f t="shared" si="148"/>
        <v>10.118422744872182</v>
      </c>
      <c r="BC167">
        <f t="shared" si="149"/>
        <v>0.97508102982538625</v>
      </c>
      <c r="BD167">
        <f t="shared" si="133"/>
        <v>-124.13197224389688</v>
      </c>
      <c r="BF167">
        <f t="shared" si="134"/>
        <v>-1.6925521926735891</v>
      </c>
      <c r="BG167">
        <f t="shared" si="135"/>
        <v>-120.57881439389458</v>
      </c>
      <c r="BH167">
        <f t="shared" si="150"/>
        <v>59.421185606105425</v>
      </c>
      <c r="BI167">
        <f t="shared" si="151"/>
        <v>59.421185606105425</v>
      </c>
      <c r="BJ167">
        <f t="shared" si="136"/>
        <v>0</v>
      </c>
      <c r="BK167">
        <f t="shared" si="152"/>
        <v>0</v>
      </c>
      <c r="BM167">
        <f t="shared" si="153"/>
        <v>-11.810974937545771</v>
      </c>
      <c r="BN167">
        <f t="shared" si="137"/>
        <v>-176.44684214999765</v>
      </c>
      <c r="BQ167" s="66">
        <f t="shared" si="154"/>
        <v>27.020383545157319</v>
      </c>
      <c r="BR167" s="71"/>
      <c r="BS167" s="71"/>
      <c r="BT167" s="71">
        <v>3715.3519999999999</v>
      </c>
      <c r="BU167" s="71">
        <v>4.3437000000000001</v>
      </c>
      <c r="BV167" s="71">
        <v>-245.97</v>
      </c>
      <c r="BW167" s="75"/>
      <c r="BY167" s="71"/>
      <c r="BZ167" s="71"/>
      <c r="CA167" s="71"/>
      <c r="CC167" s="71"/>
    </row>
    <row r="168" spans="1:81" ht="13" x14ac:dyDescent="0.3">
      <c r="A168">
        <f t="shared" si="158"/>
        <v>67000</v>
      </c>
      <c r="B168">
        <f t="shared" si="138"/>
        <v>67</v>
      </c>
      <c r="C168">
        <f t="shared" si="107"/>
        <v>1.0002214987394304</v>
      </c>
      <c r="D168">
        <f t="shared" si="108"/>
        <v>2.1045563067481229E-2</v>
      </c>
      <c r="F168">
        <f t="shared" si="109"/>
        <v>1.6852059984587449E-2</v>
      </c>
      <c r="G168">
        <f t="shared" si="110"/>
        <v>4.0808710664942099E-2</v>
      </c>
      <c r="H168">
        <f t="shared" si="111"/>
        <v>-3.100783939335058</v>
      </c>
      <c r="J168">
        <f t="shared" si="112"/>
        <v>15</v>
      </c>
      <c r="M168">
        <f t="shared" si="113"/>
        <v>1.6393698512999842E-2</v>
      </c>
      <c r="N168">
        <f t="shared" si="114"/>
        <v>-1.5707963250000001</v>
      </c>
      <c r="O168">
        <f t="shared" si="115"/>
        <v>23.094371389602198</v>
      </c>
      <c r="P168">
        <f t="shared" si="116"/>
        <v>1.5274821903191573</v>
      </c>
      <c r="Q168">
        <f t="shared" si="117"/>
        <v>8.9181959556066204</v>
      </c>
      <c r="R168">
        <f t="shared" si="118"/>
        <v>1.4584297130784973</v>
      </c>
      <c r="S168">
        <f t="shared" si="119"/>
        <v>0.99976870276094332</v>
      </c>
      <c r="T168">
        <f t="shared" si="120"/>
        <v>-2.1508424210474959E-2</v>
      </c>
      <c r="U168">
        <f t="shared" si="121"/>
        <v>0.94838305506263454</v>
      </c>
      <c r="V168">
        <f t="shared" si="122"/>
        <v>-0.32269865788165025</v>
      </c>
      <c r="X168">
        <f t="shared" si="139"/>
        <v>-1.8363227266811719</v>
      </c>
      <c r="Y168">
        <f t="shared" si="123"/>
        <v>-115.09747401311515</v>
      </c>
      <c r="Z168">
        <f t="shared" si="140"/>
        <v>64.902525986884854</v>
      </c>
      <c r="AC168">
        <v>1</v>
      </c>
      <c r="AD168">
        <f t="shared" si="124"/>
        <v>23.072710934800803</v>
      </c>
      <c r="AE168">
        <f t="shared" si="125"/>
        <v>-9.7129979178382081E-4</v>
      </c>
      <c r="AF168">
        <f t="shared" si="126"/>
        <v>2.9047165641899997E-3</v>
      </c>
      <c r="AG168">
        <f t="shared" si="141"/>
        <v>7040.8040411548018</v>
      </c>
      <c r="AH168">
        <f t="shared" si="142"/>
        <v>-2698.621819354767</v>
      </c>
      <c r="AJ168">
        <f t="shared" si="127"/>
        <v>21000</v>
      </c>
      <c r="AK168">
        <f t="shared" si="128"/>
        <v>451.74657174381002</v>
      </c>
      <c r="AL168">
        <v>1</v>
      </c>
      <c r="AM168">
        <f t="shared" si="129"/>
        <v>8.8619534586116107</v>
      </c>
      <c r="AN168">
        <f t="shared" si="143"/>
        <v>314.37232144854448</v>
      </c>
      <c r="AO168">
        <f t="shared" si="144"/>
        <v>-2334.20630960888</v>
      </c>
      <c r="AQ168">
        <f t="shared" si="130"/>
        <v>0.55688589408030298</v>
      </c>
      <c r="AR168">
        <f t="shared" si="131"/>
        <v>-74.622709806760597</v>
      </c>
      <c r="AT168">
        <f t="shared" si="156"/>
        <v>-197457.54845040041</v>
      </c>
      <c r="AU168">
        <f t="shared" si="157"/>
        <v>-526906.70119401801</v>
      </c>
      <c r="AV168">
        <f t="shared" si="145"/>
        <v>-1.9293465731170374</v>
      </c>
      <c r="AW168">
        <f t="shared" si="146"/>
        <v>-169378.35830828169</v>
      </c>
      <c r="AX168">
        <f t="shared" si="147"/>
        <v>-41314.070027154128</v>
      </c>
      <c r="AY168">
        <f t="shared" si="155"/>
        <v>-2.9023483745794936</v>
      </c>
      <c r="BA168">
        <f t="shared" si="132"/>
        <v>3.2274677658439881</v>
      </c>
      <c r="BB168">
        <f t="shared" si="148"/>
        <v>10.177238269359448</v>
      </c>
      <c r="BC168">
        <f t="shared" si="149"/>
        <v>0.97300180146245618</v>
      </c>
      <c r="BD168">
        <f t="shared" si="133"/>
        <v>-124.2511032538728</v>
      </c>
      <c r="BF168">
        <f t="shared" si="134"/>
        <v>-1.7659529225516002</v>
      </c>
      <c r="BG168">
        <f t="shared" si="135"/>
        <v>-120.70711442010843</v>
      </c>
      <c r="BH168">
        <f t="shared" si="150"/>
        <v>59.292885579891575</v>
      </c>
      <c r="BI168">
        <f t="shared" si="151"/>
        <v>59.292885579891575</v>
      </c>
      <c r="BJ168">
        <f t="shared" si="136"/>
        <v>0</v>
      </c>
      <c r="BK168">
        <f t="shared" si="152"/>
        <v>0</v>
      </c>
      <c r="BM168">
        <f t="shared" si="153"/>
        <v>-11.943191191911048</v>
      </c>
      <c r="BN168">
        <f t="shared" si="137"/>
        <v>-176.45601116623564</v>
      </c>
      <c r="BQ168" s="66">
        <f t="shared" si="154"/>
        <v>27.079199069644581</v>
      </c>
      <c r="BR168" s="71"/>
      <c r="BS168" s="71"/>
      <c r="BT168" s="71">
        <v>3801.8939999999998</v>
      </c>
      <c r="BU168" s="71">
        <v>4.1437400000000002</v>
      </c>
      <c r="BV168" s="71">
        <v>-245.16899999999998</v>
      </c>
      <c r="BW168" s="75"/>
      <c r="BY168" s="71"/>
      <c r="BZ168" s="71"/>
      <c r="CA168" s="71"/>
      <c r="CC168" s="71"/>
    </row>
    <row r="169" spans="1:81" ht="13" x14ac:dyDescent="0.3">
      <c r="A169">
        <f t="shared" si="158"/>
        <v>67500</v>
      </c>
      <c r="B169">
        <f t="shared" si="138"/>
        <v>67.5</v>
      </c>
      <c r="C169">
        <f t="shared" si="107"/>
        <v>1.0002248166534846</v>
      </c>
      <c r="D169">
        <f t="shared" si="108"/>
        <v>2.1202572617029278E-2</v>
      </c>
      <c r="F169">
        <f t="shared" si="109"/>
        <v>1.6599365805531945E-2</v>
      </c>
      <c r="G169">
        <f t="shared" si="110"/>
        <v>4.0496594754028843E-2</v>
      </c>
      <c r="H169">
        <f t="shared" si="111"/>
        <v>-3.1010960552459714</v>
      </c>
      <c r="J169">
        <f t="shared" si="112"/>
        <v>15</v>
      </c>
      <c r="M169">
        <f t="shared" si="113"/>
        <v>1.6272263709199843E-2</v>
      </c>
      <c r="N169">
        <f t="shared" si="114"/>
        <v>-1.5707963250000001</v>
      </c>
      <c r="O169">
        <f t="shared" si="115"/>
        <v>23.266395500569875</v>
      </c>
      <c r="P169">
        <f t="shared" si="116"/>
        <v>1.5278026390694608</v>
      </c>
      <c r="Q169">
        <f t="shared" si="117"/>
        <v>8.9839159240258439</v>
      </c>
      <c r="R169">
        <f t="shared" si="118"/>
        <v>1.4592551464560652</v>
      </c>
      <c r="S169">
        <f t="shared" si="119"/>
        <v>0.99976523890211477</v>
      </c>
      <c r="T169">
        <f t="shared" si="120"/>
        <v>-2.1668884785441263E-2</v>
      </c>
      <c r="U169">
        <f t="shared" si="121"/>
        <v>0.94766942570457247</v>
      </c>
      <c r="V169">
        <f t="shared" si="122"/>
        <v>-0.32494143313352603</v>
      </c>
      <c r="X169">
        <f t="shared" si="139"/>
        <v>-1.9104391708059689</v>
      </c>
      <c r="Y169">
        <f t="shared" si="123"/>
        <v>-115.17840201339565</v>
      </c>
      <c r="Z169">
        <f t="shared" si="140"/>
        <v>64.821597986604345</v>
      </c>
      <c r="AC169">
        <v>1</v>
      </c>
      <c r="AD169">
        <f t="shared" si="124"/>
        <v>23.244895344762003</v>
      </c>
      <c r="AE169">
        <f t="shared" si="125"/>
        <v>-9.8585089692916758E-4</v>
      </c>
      <c r="AF169">
        <f t="shared" si="126"/>
        <v>2.926393553475E-3</v>
      </c>
      <c r="AG169">
        <f t="shared" si="141"/>
        <v>7030.212046621541</v>
      </c>
      <c r="AH169">
        <f t="shared" si="142"/>
        <v>-2710.0732375338166</v>
      </c>
      <c r="AJ169">
        <f t="shared" si="127"/>
        <v>21000</v>
      </c>
      <c r="AK169">
        <f t="shared" si="128"/>
        <v>455.11781481652508</v>
      </c>
      <c r="AL169">
        <v>1</v>
      </c>
      <c r="AM169">
        <f t="shared" si="129"/>
        <v>8.9280874396460241</v>
      </c>
      <c r="AN169">
        <f t="shared" si="143"/>
        <v>310.53277408798033</v>
      </c>
      <c r="AO169">
        <f t="shared" si="144"/>
        <v>-2317.3459451168087</v>
      </c>
      <c r="AQ169">
        <f t="shared" si="130"/>
        <v>0.54866673982223202</v>
      </c>
      <c r="AR169">
        <f t="shared" si="131"/>
        <v>-74.070009876001322</v>
      </c>
      <c r="AT169">
        <f t="shared" si="156"/>
        <v>-196877.90794493785</v>
      </c>
      <c r="AU169">
        <f t="shared" si="157"/>
        <v>-522214.80277155817</v>
      </c>
      <c r="AV169">
        <f t="shared" si="145"/>
        <v>-1.9313241757226931</v>
      </c>
      <c r="AW169">
        <f t="shared" si="146"/>
        <v>-166866.0905345736</v>
      </c>
      <c r="AX169">
        <f t="shared" si="147"/>
        <v>-40722.035430905409</v>
      </c>
      <c r="AY169">
        <f t="shared" si="155"/>
        <v>-2.9022310243234184</v>
      </c>
      <c r="BA169">
        <f t="shared" si="132"/>
        <v>3.2492085687309369</v>
      </c>
      <c r="BB169">
        <f t="shared" si="148"/>
        <v>10.235551797485558</v>
      </c>
      <c r="BC169">
        <f t="shared" si="149"/>
        <v>0.97090684860072529</v>
      </c>
      <c r="BD169">
        <f t="shared" si="133"/>
        <v>-124.37113521126599</v>
      </c>
      <c r="BF169">
        <f t="shared" si="134"/>
        <v>-1.8388405937176266</v>
      </c>
      <c r="BG169">
        <f t="shared" si="135"/>
        <v>-120.83603331739367</v>
      </c>
      <c r="BH169">
        <f t="shared" si="150"/>
        <v>59.163966682606329</v>
      </c>
      <c r="BI169">
        <f t="shared" si="151"/>
        <v>59.163966682606329</v>
      </c>
      <c r="BJ169">
        <f t="shared" si="136"/>
        <v>0</v>
      </c>
      <c r="BK169">
        <f t="shared" si="152"/>
        <v>0</v>
      </c>
      <c r="BM169">
        <f t="shared" si="153"/>
        <v>-12.074392391203183</v>
      </c>
      <c r="BN169">
        <f t="shared" si="137"/>
        <v>-176.46489810612763</v>
      </c>
      <c r="BQ169" s="66">
        <f t="shared" si="154"/>
        <v>27.137512597770694</v>
      </c>
      <c r="BR169" s="71"/>
      <c r="BS169" s="71"/>
      <c r="BT169" s="71">
        <v>3890.451</v>
      </c>
      <c r="BU169" s="71">
        <v>3.9573</v>
      </c>
      <c r="BV169" s="71">
        <v>-244.768</v>
      </c>
      <c r="BW169" s="75"/>
      <c r="BY169" s="71"/>
      <c r="BZ169" s="71"/>
      <c r="CA169" s="71"/>
      <c r="CC169" s="71"/>
    </row>
    <row r="170" spans="1:81" ht="13" x14ac:dyDescent="0.3">
      <c r="A170">
        <f t="shared" si="158"/>
        <v>68000</v>
      </c>
      <c r="B170">
        <f t="shared" si="138"/>
        <v>68</v>
      </c>
      <c r="C170">
        <f t="shared" si="107"/>
        <v>1.0002281592249158</v>
      </c>
      <c r="D170">
        <f t="shared" si="108"/>
        <v>2.1359581121056032E-2</v>
      </c>
      <c r="F170">
        <f t="shared" si="109"/>
        <v>1.6352341675913401E-2</v>
      </c>
      <c r="G170">
        <f t="shared" si="110"/>
        <v>4.0189287637368329E-2</v>
      </c>
      <c r="H170">
        <f t="shared" si="111"/>
        <v>-3.1014033623626318</v>
      </c>
      <c r="J170">
        <f t="shared" si="112"/>
        <v>15</v>
      </c>
      <c r="M170">
        <f t="shared" si="113"/>
        <v>1.6152614711338081E-2</v>
      </c>
      <c r="N170">
        <f t="shared" si="114"/>
        <v>-1.5707963250000001</v>
      </c>
      <c r="O170">
        <f t="shared" si="115"/>
        <v>23.438421965632994</v>
      </c>
      <c r="P170">
        <f t="shared" si="116"/>
        <v>1.5281183839800188</v>
      </c>
      <c r="Q170">
        <f t="shared" si="117"/>
        <v>9.049641924641378</v>
      </c>
      <c r="R170">
        <f t="shared" si="118"/>
        <v>1.4600685904184498</v>
      </c>
      <c r="S170">
        <f t="shared" si="119"/>
        <v>0.99976174932609485</v>
      </c>
      <c r="T170">
        <f t="shared" si="120"/>
        <v>-2.1829344244397274E-2</v>
      </c>
      <c r="U170">
        <f t="shared" si="121"/>
        <v>0.946952117052834</v>
      </c>
      <c r="V170">
        <f t="shared" si="122"/>
        <v>-0.3271808244386864</v>
      </c>
      <c r="X170">
        <f t="shared" si="139"/>
        <v>-1.9840515381218928</v>
      </c>
      <c r="Y170">
        <f t="shared" si="123"/>
        <v>-115.25981705321166</v>
      </c>
      <c r="Z170">
        <f t="shared" si="140"/>
        <v>64.740182946788337</v>
      </c>
      <c r="AC170">
        <v>1</v>
      </c>
      <c r="AD170">
        <f t="shared" si="124"/>
        <v>23.417079754723201</v>
      </c>
      <c r="AE170">
        <f t="shared" si="125"/>
        <v>-1.0005101887298703E-3</v>
      </c>
      <c r="AF170">
        <f t="shared" si="126"/>
        <v>2.9480705427599998E-3</v>
      </c>
      <c r="AG170">
        <f t="shared" si="141"/>
        <v>7019.5734773459471</v>
      </c>
      <c r="AH170">
        <f t="shared" si="142"/>
        <v>-2721.493488114183</v>
      </c>
      <c r="AJ170">
        <f t="shared" si="127"/>
        <v>21000</v>
      </c>
      <c r="AK170">
        <f t="shared" si="128"/>
        <v>458.48905788924003</v>
      </c>
      <c r="AL170">
        <v>1</v>
      </c>
      <c r="AM170">
        <f t="shared" si="129"/>
        <v>8.9942214206804394</v>
      </c>
      <c r="AN170">
        <f t="shared" si="143"/>
        <v>306.77623190193583</v>
      </c>
      <c r="AO170">
        <f t="shared" si="144"/>
        <v>-2300.7242984387813</v>
      </c>
      <c r="AQ170">
        <f t="shared" si="130"/>
        <v>0.54062820997999672</v>
      </c>
      <c r="AR170">
        <f t="shared" si="131"/>
        <v>-73.525436557279562</v>
      </c>
      <c r="AT170">
        <f t="shared" si="156"/>
        <v>-196304.01735750822</v>
      </c>
      <c r="AU170">
        <f t="shared" si="157"/>
        <v>-517588.52052071312</v>
      </c>
      <c r="AV170">
        <f t="shared" si="145"/>
        <v>-1.9333022853817701</v>
      </c>
      <c r="AW170">
        <f t="shared" si="146"/>
        <v>-164408.20210975886</v>
      </c>
      <c r="AX170">
        <f t="shared" si="147"/>
        <v>-40145.23914261951</v>
      </c>
      <c r="AY170">
        <f t="shared" si="155"/>
        <v>-2.9020988393678229</v>
      </c>
      <c r="BA170">
        <f t="shared" si="132"/>
        <v>3.2709092446453938</v>
      </c>
      <c r="BB170">
        <f t="shared" si="148"/>
        <v>10.293369885272449</v>
      </c>
      <c r="BC170">
        <f t="shared" si="149"/>
        <v>0.9687965539860528</v>
      </c>
      <c r="BD170">
        <f t="shared" si="133"/>
        <v>-124.49204618635409</v>
      </c>
      <c r="BF170">
        <f t="shared" si="134"/>
        <v>-1.9112243344869204</v>
      </c>
      <c r="BG170">
        <f t="shared" si="135"/>
        <v>-120.96555576866214</v>
      </c>
      <c r="BH170">
        <f t="shared" si="150"/>
        <v>59.034444231337858</v>
      </c>
      <c r="BI170">
        <f t="shared" si="151"/>
        <v>59.034444231337858</v>
      </c>
      <c r="BJ170">
        <f t="shared" si="136"/>
        <v>0</v>
      </c>
      <c r="BK170">
        <f t="shared" si="152"/>
        <v>0</v>
      </c>
      <c r="BM170">
        <f t="shared" si="153"/>
        <v>-12.204594219759368</v>
      </c>
      <c r="BN170">
        <f t="shared" si="137"/>
        <v>-176.47350958230805</v>
      </c>
      <c r="BQ170" s="66">
        <f t="shared" si="154"/>
        <v>27.195330685557586</v>
      </c>
      <c r="BR170" s="71"/>
      <c r="BS170" s="71"/>
      <c r="BT170" s="71">
        <v>3981.0720000000001</v>
      </c>
      <c r="BU170" s="71">
        <v>3.8980899999999998</v>
      </c>
      <c r="BV170" s="71">
        <v>-244.315</v>
      </c>
      <c r="BW170" s="75"/>
      <c r="BY170" s="71"/>
      <c r="BZ170" s="71"/>
      <c r="CA170" s="71"/>
      <c r="CC170" s="71"/>
    </row>
    <row r="171" spans="1:81" ht="13" x14ac:dyDescent="0.3">
      <c r="A171">
        <f t="shared" si="158"/>
        <v>68500</v>
      </c>
      <c r="B171">
        <f t="shared" si="138"/>
        <v>68.5</v>
      </c>
      <c r="C171">
        <f t="shared" si="107"/>
        <v>1.0002315264534765</v>
      </c>
      <c r="D171">
        <f t="shared" si="108"/>
        <v>2.1516588571830982E-2</v>
      </c>
      <c r="F171">
        <f t="shared" si="109"/>
        <v>1.6110818391269099E-2</v>
      </c>
      <c r="G171">
        <f t="shared" si="110"/>
        <v>3.9886677532210958E-2</v>
      </c>
      <c r="H171">
        <f t="shared" si="111"/>
        <v>-3.1017059724677893</v>
      </c>
      <c r="J171">
        <f t="shared" si="112"/>
        <v>15</v>
      </c>
      <c r="M171">
        <f t="shared" si="113"/>
        <v>1.6034712414175027E-2</v>
      </c>
      <c r="N171">
        <f t="shared" si="114"/>
        <v>-1.5707963250000001</v>
      </c>
      <c r="O171">
        <f t="shared" si="115"/>
        <v>23.610450733335515</v>
      </c>
      <c r="P171">
        <f t="shared" si="116"/>
        <v>1.5284295278055124</v>
      </c>
      <c r="Q171">
        <f t="shared" si="117"/>
        <v>9.1153738269685665</v>
      </c>
      <c r="R171">
        <f t="shared" si="118"/>
        <v>1.4608703032480728</v>
      </c>
      <c r="S171">
        <f t="shared" si="119"/>
        <v>0.99975823403369135</v>
      </c>
      <c r="T171">
        <f t="shared" si="120"/>
        <v>-2.1989802579091944E-2</v>
      </c>
      <c r="U171">
        <f t="shared" si="121"/>
        <v>0.94623115901438026</v>
      </c>
      <c r="V171">
        <f t="shared" si="122"/>
        <v>-0.32941681704045406</v>
      </c>
      <c r="X171">
        <f t="shared" si="139"/>
        <v>-2.0571685562615247</v>
      </c>
      <c r="Y171">
        <f t="shared" si="123"/>
        <v>-115.34170400581546</v>
      </c>
      <c r="Z171">
        <f t="shared" si="140"/>
        <v>64.658295994184542</v>
      </c>
      <c r="AC171">
        <v>1</v>
      </c>
      <c r="AD171">
        <f t="shared" si="124"/>
        <v>23.589264164684405</v>
      </c>
      <c r="AE171">
        <f t="shared" si="125"/>
        <v>-1.0152776671859284E-3</v>
      </c>
      <c r="AF171">
        <f t="shared" si="126"/>
        <v>2.9697475320450001E-3</v>
      </c>
      <c r="AG171">
        <f t="shared" si="141"/>
        <v>7008.8889003380609</v>
      </c>
      <c r="AH171">
        <f t="shared" si="142"/>
        <v>-2732.8815950599787</v>
      </c>
      <c r="AJ171">
        <f t="shared" si="127"/>
        <v>21000</v>
      </c>
      <c r="AK171">
        <f t="shared" si="128"/>
        <v>461.86030096195503</v>
      </c>
      <c r="AL171">
        <v>1</v>
      </c>
      <c r="AM171">
        <f t="shared" si="129"/>
        <v>9.0603554017148564</v>
      </c>
      <c r="AN171">
        <f t="shared" si="143"/>
        <v>303.10032912520603</v>
      </c>
      <c r="AO171">
        <f t="shared" si="144"/>
        <v>-2284.3364032891564</v>
      </c>
      <c r="AQ171">
        <f t="shared" si="130"/>
        <v>0.53276505061267976</v>
      </c>
      <c r="AR171">
        <f t="shared" si="131"/>
        <v>-72.988811933937129</v>
      </c>
      <c r="AT171">
        <f t="shared" si="156"/>
        <v>-195735.68972982364</v>
      </c>
      <c r="AU171">
        <f t="shared" si="157"/>
        <v>-513026.45761394472</v>
      </c>
      <c r="AV171">
        <f t="shared" si="145"/>
        <v>-1.9352808023810377</v>
      </c>
      <c r="AW171">
        <f t="shared" si="146"/>
        <v>-162003.14589585486</v>
      </c>
      <c r="AX171">
        <f t="shared" si="147"/>
        <v>-39583.163765880934</v>
      </c>
      <c r="AY171">
        <f t="shared" si="155"/>
        <v>-2.9019520920763653</v>
      </c>
      <c r="BA171">
        <f t="shared" si="132"/>
        <v>3.2925694758718191</v>
      </c>
      <c r="BB171">
        <f t="shared" si="148"/>
        <v>10.350698953887768</v>
      </c>
      <c r="BC171">
        <f t="shared" si="149"/>
        <v>0.96667128969532756</v>
      </c>
      <c r="BD171">
        <f t="shared" si="133"/>
        <v>-124.61381486070164</v>
      </c>
      <c r="BF171">
        <f t="shared" si="134"/>
        <v>-1.9831130424076107</v>
      </c>
      <c r="BG171">
        <f t="shared" si="135"/>
        <v>-121.09566686060127</v>
      </c>
      <c r="BH171">
        <f t="shared" si="150"/>
        <v>58.90433313939873</v>
      </c>
      <c r="BI171">
        <f t="shared" si="151"/>
        <v>58.90433313939873</v>
      </c>
      <c r="BJ171">
        <f t="shared" si="136"/>
        <v>0</v>
      </c>
      <c r="BK171">
        <f t="shared" si="152"/>
        <v>0</v>
      </c>
      <c r="BM171">
        <f t="shared" si="153"/>
        <v>-12.333811996295378</v>
      </c>
      <c r="BN171">
        <f t="shared" si="137"/>
        <v>-176.48185199989965</v>
      </c>
      <c r="BQ171" s="66">
        <f t="shared" si="154"/>
        <v>27.252659754172907</v>
      </c>
      <c r="BR171" s="71"/>
      <c r="BS171" s="71"/>
      <c r="BT171" s="71">
        <v>4073.8029999999999</v>
      </c>
      <c r="BU171" s="71">
        <v>3.5600999999999998</v>
      </c>
      <c r="BV171" s="71">
        <v>-244.142</v>
      </c>
      <c r="BW171" s="75"/>
      <c r="BY171" s="71"/>
      <c r="BZ171" s="71"/>
      <c r="CA171" s="71"/>
      <c r="CC171" s="71"/>
    </row>
    <row r="172" spans="1:81" ht="13" x14ac:dyDescent="0.3">
      <c r="A172">
        <f t="shared" si="158"/>
        <v>69000</v>
      </c>
      <c r="B172">
        <f t="shared" si="138"/>
        <v>69</v>
      </c>
      <c r="C172">
        <f t="shared" si="107"/>
        <v>1.0002349183389181</v>
      </c>
      <c r="D172">
        <f t="shared" si="108"/>
        <v>2.1673594961623899E-2</v>
      </c>
      <c r="F172">
        <f t="shared" si="109"/>
        <v>1.5874633041735833E-2</v>
      </c>
      <c r="G172">
        <f t="shared" si="110"/>
        <v>3.9588656135116695E-2</v>
      </c>
      <c r="H172">
        <f t="shared" si="111"/>
        <v>-3.1020039938648836</v>
      </c>
      <c r="J172">
        <f t="shared" si="112"/>
        <v>15</v>
      </c>
      <c r="M172">
        <f t="shared" si="113"/>
        <v>1.5918518845956367E-2</v>
      </c>
      <c r="N172">
        <f t="shared" si="114"/>
        <v>-1.5707963250000001</v>
      </c>
      <c r="O172">
        <f t="shared" si="115"/>
        <v>23.782481753709547</v>
      </c>
      <c r="P172">
        <f t="shared" si="116"/>
        <v>1.5287361703311353</v>
      </c>
      <c r="Q172">
        <f t="shared" si="117"/>
        <v>9.1811115042480118</v>
      </c>
      <c r="R172">
        <f t="shared" si="118"/>
        <v>1.4616605358913668</v>
      </c>
      <c r="S172">
        <f t="shared" si="119"/>
        <v>0.99975469302571907</v>
      </c>
      <c r="T172">
        <f t="shared" si="120"/>
        <v>-2.2150259781274575E-2</v>
      </c>
      <c r="U172">
        <f t="shared" si="121"/>
        <v>0.94550658152052602</v>
      </c>
      <c r="V172">
        <f t="shared" si="122"/>
        <v>-0.3316493963628469</v>
      </c>
      <c r="X172">
        <f t="shared" si="139"/>
        <v>-2.1297987297816148</v>
      </c>
      <c r="Y172">
        <f t="shared" si="123"/>
        <v>-115.42404814592311</v>
      </c>
      <c r="Z172">
        <f t="shared" si="140"/>
        <v>64.575951854076891</v>
      </c>
      <c r="AC172">
        <v>1</v>
      </c>
      <c r="AD172">
        <f t="shared" si="124"/>
        <v>23.761448574645602</v>
      </c>
      <c r="AE172">
        <f t="shared" si="125"/>
        <v>-1.0301533322973424E-3</v>
      </c>
      <c r="AF172">
        <f t="shared" si="126"/>
        <v>2.9914245213299999E-3</v>
      </c>
      <c r="AG172">
        <f t="shared" si="141"/>
        <v>6998.1588822470903</v>
      </c>
      <c r="AH172">
        <f t="shared" si="142"/>
        <v>-2744.2366116739763</v>
      </c>
      <c r="AJ172">
        <f t="shared" si="127"/>
        <v>21000</v>
      </c>
      <c r="AK172">
        <f t="shared" si="128"/>
        <v>465.23154403466998</v>
      </c>
      <c r="AL172">
        <v>1</v>
      </c>
      <c r="AM172">
        <f t="shared" si="129"/>
        <v>9.1264893827492699</v>
      </c>
      <c r="AN172">
        <f t="shared" si="143"/>
        <v>299.50278333766482</v>
      </c>
      <c r="AO172">
        <f t="shared" si="144"/>
        <v>-2268.1774282003826</v>
      </c>
      <c r="AQ172">
        <f t="shared" si="130"/>
        <v>0.52507219742714628</v>
      </c>
      <c r="AR172">
        <f t="shared" si="131"/>
        <v>-72.459963244946181</v>
      </c>
      <c r="AT172">
        <f t="shared" si="156"/>
        <v>-195172.74535508617</v>
      </c>
      <c r="AU172">
        <f t="shared" si="157"/>
        <v>-508527.25773786951</v>
      </c>
      <c r="AV172">
        <f t="shared" si="145"/>
        <v>-1.9372596296416074</v>
      </c>
      <c r="AW172">
        <f t="shared" si="146"/>
        <v>-159649.42914809406</v>
      </c>
      <c r="AX172">
        <f t="shared" si="147"/>
        <v>-39035.313297998029</v>
      </c>
      <c r="AY172">
        <f t="shared" si="155"/>
        <v>-2.9017910471578596</v>
      </c>
      <c r="BA172">
        <f t="shared" si="132"/>
        <v>3.3141889476093778</v>
      </c>
      <c r="BB172">
        <f t="shared" si="148"/>
        <v>10.407545293283242</v>
      </c>
      <c r="BC172">
        <f t="shared" si="149"/>
        <v>0.96453141751625227</v>
      </c>
      <c r="BD172">
        <f t="shared" si="133"/>
        <v>-124.73642050540022</v>
      </c>
      <c r="BF172">
        <f t="shared" si="134"/>
        <v>-2.0545153920312904</v>
      </c>
      <c r="BG172">
        <f t="shared" si="135"/>
        <v>-121.22635207007545</v>
      </c>
      <c r="BH172">
        <f t="shared" si="150"/>
        <v>58.77364792992455</v>
      </c>
      <c r="BI172">
        <f t="shared" si="151"/>
        <v>58.77364792992455</v>
      </c>
      <c r="BJ172">
        <f t="shared" si="136"/>
        <v>0</v>
      </c>
      <c r="BK172">
        <f t="shared" si="152"/>
        <v>0</v>
      </c>
      <c r="BM172">
        <f t="shared" si="153"/>
        <v>-12.462060685314531</v>
      </c>
      <c r="BN172">
        <f t="shared" si="137"/>
        <v>-176.48993156467526</v>
      </c>
      <c r="BQ172" s="66">
        <f t="shared" si="154"/>
        <v>27.30950609356838</v>
      </c>
      <c r="BR172" s="71"/>
      <c r="BS172" s="71"/>
      <c r="BT172" s="71">
        <v>4168.6940000000004</v>
      </c>
      <c r="BU172" s="71">
        <v>3.4098799999999998</v>
      </c>
      <c r="BV172" s="71">
        <v>-243.709</v>
      </c>
      <c r="BW172" s="75"/>
      <c r="BY172" s="71"/>
      <c r="BZ172" s="71"/>
      <c r="CA172" s="71"/>
      <c r="CC172" s="71"/>
    </row>
    <row r="173" spans="1:81" ht="13" x14ac:dyDescent="0.3">
      <c r="A173">
        <f t="shared" si="158"/>
        <v>69500</v>
      </c>
      <c r="B173">
        <f t="shared" si="138"/>
        <v>69.5</v>
      </c>
      <c r="C173">
        <f t="shared" si="107"/>
        <v>1.0002383348809893</v>
      </c>
      <c r="D173">
        <f t="shared" si="108"/>
        <v>2.1830600282704903E-2</v>
      </c>
      <c r="F173">
        <f t="shared" si="109"/>
        <v>1.5643628731864222E-2</v>
      </c>
      <c r="G173">
        <f t="shared" si="110"/>
        <v>3.9295118486233495E-2</v>
      </c>
      <c r="H173">
        <f t="shared" si="111"/>
        <v>-3.1022975315137669</v>
      </c>
      <c r="J173">
        <f t="shared" si="112"/>
        <v>15</v>
      </c>
      <c r="M173">
        <f t="shared" si="113"/>
        <v>1.5803997127640135E-2</v>
      </c>
      <c r="N173">
        <f t="shared" si="114"/>
        <v>-1.5707963250000001</v>
      </c>
      <c r="O173">
        <f t="shared" si="115"/>
        <v>23.954514978221926</v>
      </c>
      <c r="P173">
        <f t="shared" si="116"/>
        <v>1.5290384084790301</v>
      </c>
      <c r="Q173">
        <f t="shared" si="117"/>
        <v>9.2468548333139591</v>
      </c>
      <c r="R173">
        <f t="shared" si="118"/>
        <v>1.4624395322163422</v>
      </c>
      <c r="S173">
        <f t="shared" si="119"/>
        <v>0.99975112630299789</v>
      </c>
      <c r="T173">
        <f t="shared" si="120"/>
        <v>-2.2310715842694819E-2</v>
      </c>
      <c r="U173">
        <f t="shared" si="121"/>
        <v>0.94477841452411093</v>
      </c>
      <c r="V173">
        <f t="shared" si="122"/>
        <v>-0.33387854801045302</v>
      </c>
      <c r="X173">
        <f t="shared" si="139"/>
        <v>-2.201950347624773</v>
      </c>
      <c r="Y173">
        <f t="shared" si="123"/>
        <v>-115.50683513662752</v>
      </c>
      <c r="Z173">
        <f t="shared" si="140"/>
        <v>64.493164863372485</v>
      </c>
      <c r="AC173">
        <v>1</v>
      </c>
      <c r="AD173">
        <f t="shared" si="124"/>
        <v>23.933632984606803</v>
      </c>
      <c r="AE173">
        <f t="shared" si="125"/>
        <v>-1.0451371840641123E-3</v>
      </c>
      <c r="AF173">
        <f t="shared" si="126"/>
        <v>3.0131015106150002E-3</v>
      </c>
      <c r="AG173">
        <f t="shared" si="141"/>
        <v>6987.3839893011736</v>
      </c>
      <c r="AH173">
        <f t="shared" si="142"/>
        <v>-2755.5576197159794</v>
      </c>
      <c r="AJ173">
        <f t="shared" si="127"/>
        <v>21000</v>
      </c>
      <c r="AK173">
        <f t="shared" si="128"/>
        <v>468.60278710738504</v>
      </c>
      <c r="AL173">
        <v>1</v>
      </c>
      <c r="AM173">
        <f t="shared" si="129"/>
        <v>9.1926233637836852</v>
      </c>
      <c r="AN173">
        <f t="shared" si="143"/>
        <v>295.98139197992214</v>
      </c>
      <c r="AO173">
        <f t="shared" si="144"/>
        <v>-2252.2426720524645</v>
      </c>
      <c r="AQ173">
        <f t="shared" si="130"/>
        <v>0.51754476762239932</v>
      </c>
      <c r="AR173">
        <f t="shared" si="131"/>
        <v>-71.938722699513505</v>
      </c>
      <c r="AT173">
        <f t="shared" si="156"/>
        <v>-194615.01146424797</v>
      </c>
      <c r="AU173">
        <f t="shared" si="157"/>
        <v>-504089.6036293236</v>
      </c>
      <c r="AV173">
        <f t="shared" si="145"/>
        <v>-1.9392386726309241</v>
      </c>
      <c r="AW173">
        <f t="shared" si="146"/>
        <v>-157345.61124609437</v>
      </c>
      <c r="AX173">
        <f t="shared" si="147"/>
        <v>-38501.212095087845</v>
      </c>
      <c r="AY173">
        <f t="shared" si="155"/>
        <v>-2.9016159619419977</v>
      </c>
      <c r="BA173">
        <f t="shared" si="132"/>
        <v>3.3357673479234631</v>
      </c>
      <c r="BB173">
        <f t="shared" si="148"/>
        <v>10.463915065714225</v>
      </c>
      <c r="BC173">
        <f t="shared" si="149"/>
        <v>0.96237728931107358</v>
      </c>
      <c r="BD173">
        <f t="shared" si="133"/>
        <v>-124.85984296022808</v>
      </c>
      <c r="BF173">
        <f t="shared" si="134"/>
        <v>-2.1254398423563954</v>
      </c>
      <c r="BG173">
        <f t="shared" si="135"/>
        <v>-121.35759725106242</v>
      </c>
      <c r="BH173">
        <f t="shared" si="150"/>
        <v>58.642402748937585</v>
      </c>
      <c r="BI173">
        <f t="shared" si="151"/>
        <v>58.642402748937585</v>
      </c>
      <c r="BJ173">
        <f t="shared" si="136"/>
        <v>0</v>
      </c>
      <c r="BK173">
        <f t="shared" si="152"/>
        <v>0</v>
      </c>
      <c r="BM173">
        <f t="shared" si="153"/>
        <v>-12.58935490807062</v>
      </c>
      <c r="BN173">
        <f t="shared" si="137"/>
        <v>-176.49775429083434</v>
      </c>
      <c r="BQ173" s="66">
        <f t="shared" si="154"/>
        <v>27.365875865999357</v>
      </c>
      <c r="BR173" s="71"/>
      <c r="BS173" s="71"/>
      <c r="BT173" s="71">
        <v>4265.7950000000001</v>
      </c>
      <c r="BU173" s="71">
        <v>3.2244999999999999</v>
      </c>
      <c r="BV173" s="71">
        <v>-243.32400000000001</v>
      </c>
      <c r="BW173" s="75"/>
      <c r="BY173" s="71"/>
      <c r="BZ173" s="71"/>
      <c r="CA173" s="71"/>
      <c r="CC173" s="71"/>
    </row>
    <row r="174" spans="1:81" ht="13" x14ac:dyDescent="0.3">
      <c r="A174">
        <f t="shared" si="158"/>
        <v>70000</v>
      </c>
      <c r="B174">
        <f t="shared" si="138"/>
        <v>70</v>
      </c>
      <c r="C174">
        <f t="shared" si="107"/>
        <v>1.0002417760794378</v>
      </c>
      <c r="D174">
        <f t="shared" si="108"/>
        <v>2.1987604527344402E-2</v>
      </c>
      <c r="F174">
        <f t="shared" si="109"/>
        <v>1.5417654314938233E-2</v>
      </c>
      <c r="G174">
        <f t="shared" si="110"/>
        <v>3.9005962839935147E-2</v>
      </c>
      <c r="H174">
        <f t="shared" si="111"/>
        <v>-3.1025866871600649</v>
      </c>
      <c r="J174">
        <f t="shared" si="112"/>
        <v>15</v>
      </c>
      <c r="M174">
        <f t="shared" si="113"/>
        <v>1.569111143387128E-2</v>
      </c>
      <c r="N174">
        <f t="shared" si="114"/>
        <v>-1.5707963250000001</v>
      </c>
      <c r="O174">
        <f t="shared" si="115"/>
        <v>24.126550359723151</v>
      </c>
      <c r="P174">
        <f t="shared" si="116"/>
        <v>1.5293363364101809</v>
      </c>
      <c r="Q174">
        <f t="shared" si="117"/>
        <v>9.3126036944682191</v>
      </c>
      <c r="R174">
        <f t="shared" si="118"/>
        <v>1.4632075292594207</v>
      </c>
      <c r="S174">
        <f t="shared" si="119"/>
        <v>0.99974753386635418</v>
      </c>
      <c r="T174">
        <f t="shared" si="120"/>
        <v>-2.2471170755102677E-2</v>
      </c>
      <c r="U174">
        <f t="shared" si="121"/>
        <v>0.94404668799669089</v>
      </c>
      <c r="V174">
        <f t="shared" si="122"/>
        <v>-0.33610425776828762</v>
      </c>
      <c r="X174">
        <f t="shared" si="139"/>
        <v>-2.2736314902702688</v>
      </c>
      <c r="Y174">
        <f t="shared" si="123"/>
        <v>-115.59005101682156</v>
      </c>
      <c r="Z174">
        <f t="shared" si="140"/>
        <v>64.409948983178438</v>
      </c>
      <c r="AC174">
        <v>1</v>
      </c>
      <c r="AD174">
        <f t="shared" si="124"/>
        <v>24.105817394568</v>
      </c>
      <c r="AE174">
        <f t="shared" si="125"/>
        <v>-1.0602292224862378E-3</v>
      </c>
      <c r="AF174">
        <f t="shared" si="126"/>
        <v>3.0347784999E-3</v>
      </c>
      <c r="AG174">
        <f t="shared" si="141"/>
        <v>6976.5647872477457</v>
      </c>
      <c r="AH174">
        <f t="shared" si="142"/>
        <v>-2766.8437285572004</v>
      </c>
      <c r="AJ174">
        <f t="shared" si="127"/>
        <v>21000</v>
      </c>
      <c r="AK174">
        <f t="shared" si="128"/>
        <v>471.97403018010004</v>
      </c>
      <c r="AL174">
        <v>1</v>
      </c>
      <c r="AM174">
        <f t="shared" si="129"/>
        <v>9.2587573448181004</v>
      </c>
      <c r="AN174">
        <f t="shared" si="143"/>
        <v>292.534029037045</v>
      </c>
      <c r="AO174">
        <f t="shared" si="144"/>
        <v>-2236.5275597758714</v>
      </c>
      <c r="AQ174">
        <f t="shared" si="130"/>
        <v>0.51017805214019696</v>
      </c>
      <c r="AR174">
        <f t="shared" si="131"/>
        <v>-71.424927299627569</v>
      </c>
      <c r="AT174">
        <f t="shared" si="156"/>
        <v>-194062.32192784059</v>
      </c>
      <c r="AU174">
        <f t="shared" si="157"/>
        <v>-499712.2156743235</v>
      </c>
      <c r="AV174">
        <f t="shared" si="145"/>
        <v>-1.9412178392784865</v>
      </c>
      <c r="AW174">
        <f t="shared" si="146"/>
        <v>-155090.30153417453</v>
      </c>
      <c r="AX174">
        <f t="shared" si="147"/>
        <v>-37980.403894223593</v>
      </c>
      <c r="AY174">
        <f t="shared" si="155"/>
        <v>-2.9014270866435146</v>
      </c>
      <c r="BA174">
        <f t="shared" si="132"/>
        <v>3.3573043676996583</v>
      </c>
      <c r="BB174">
        <f t="shared" si="148"/>
        <v>10.519814309144957</v>
      </c>
      <c r="BC174">
        <f t="shared" si="149"/>
        <v>0.96020924736502811</v>
      </c>
      <c r="BD174">
        <f t="shared" si="133"/>
        <v>-124.98406261368575</v>
      </c>
      <c r="BF174">
        <f t="shared" si="134"/>
        <v>-2.1958946439607931</v>
      </c>
      <c r="BG174">
        <f t="shared" si="135"/>
        <v>-121.48938862210052</v>
      </c>
      <c r="BH174">
        <f t="shared" si="150"/>
        <v>58.51061137789948</v>
      </c>
      <c r="BI174">
        <f t="shared" si="151"/>
        <v>58.51061137789948</v>
      </c>
      <c r="BJ174">
        <f t="shared" si="136"/>
        <v>0</v>
      </c>
      <c r="BK174">
        <f t="shared" si="152"/>
        <v>0</v>
      </c>
      <c r="BM174">
        <f t="shared" si="153"/>
        <v>-12.715708953105748</v>
      </c>
      <c r="BN174">
        <f t="shared" si="137"/>
        <v>-176.50532600841476</v>
      </c>
      <c r="BQ174" s="66">
        <f t="shared" si="154"/>
        <v>27.42177510943009</v>
      </c>
      <c r="BR174" s="71"/>
      <c r="BS174" s="71"/>
      <c r="BT174" s="71">
        <v>4365.1580000000004</v>
      </c>
      <c r="BU174" s="71">
        <v>3.07782</v>
      </c>
      <c r="BV174" s="71">
        <v>-242.172</v>
      </c>
      <c r="BW174" s="75"/>
      <c r="BY174" s="71"/>
      <c r="BZ174" s="71"/>
      <c r="CA174" s="71"/>
      <c r="CC174" s="71"/>
    </row>
    <row r="175" spans="1:81" ht="13" x14ac:dyDescent="0.3">
      <c r="A175">
        <f t="shared" si="158"/>
        <v>70500</v>
      </c>
      <c r="B175">
        <f t="shared" si="138"/>
        <v>70.5</v>
      </c>
      <c r="C175">
        <f t="shared" si="107"/>
        <v>1.0002452419340089</v>
      </c>
      <c r="D175">
        <f t="shared" si="108"/>
        <v>2.214460768781313E-2</v>
      </c>
      <c r="F175">
        <f t="shared" si="109"/>
        <v>1.5196564140944582E-2</v>
      </c>
      <c r="G175">
        <f t="shared" si="110"/>
        <v>3.8721090541471243E-2</v>
      </c>
      <c r="H175">
        <f t="shared" si="111"/>
        <v>-3.1028715594585288</v>
      </c>
      <c r="J175">
        <f t="shared" si="112"/>
        <v>15</v>
      </c>
      <c r="M175">
        <f t="shared" si="113"/>
        <v>1.5579826955616874E-2</v>
      </c>
      <c r="N175">
        <f t="shared" si="114"/>
        <v>-1.5707963250000001</v>
      </c>
      <c r="O175">
        <f t="shared" si="115"/>
        <v>24.298587852398402</v>
      </c>
      <c r="P175">
        <f t="shared" si="116"/>
        <v>1.5296300456219907</v>
      </c>
      <c r="Q175">
        <f t="shared" si="117"/>
        <v>9.3783579713593515</v>
      </c>
      <c r="R175">
        <f t="shared" si="118"/>
        <v>1.4639647574620558</v>
      </c>
      <c r="S175">
        <f t="shared" si="119"/>
        <v>0.99974391571662002</v>
      </c>
      <c r="T175">
        <f t="shared" si="120"/>
        <v>-2.263162451024851E-2</v>
      </c>
      <c r="U175">
        <f t="shared" si="121"/>
        <v>0.9433114319257504</v>
      </c>
      <c r="V175">
        <f t="shared" si="122"/>
        <v>-0.3383265116016298</v>
      </c>
      <c r="X175">
        <f t="shared" si="139"/>
        <v>-2.3448500365894258</v>
      </c>
      <c r="Y175">
        <f t="shared" si="123"/>
        <v>-115.67368218910828</v>
      </c>
      <c r="Z175">
        <f t="shared" si="140"/>
        <v>64.326317810891723</v>
      </c>
      <c r="AC175">
        <v>1</v>
      </c>
      <c r="AD175">
        <f t="shared" si="124"/>
        <v>24.278001804529204</v>
      </c>
      <c r="AE175">
        <f t="shared" si="125"/>
        <v>-1.0754294475637191E-3</v>
      </c>
      <c r="AF175">
        <f t="shared" si="126"/>
        <v>3.0564554891850003E-3</v>
      </c>
      <c r="AG175">
        <f t="shared" si="141"/>
        <v>6965.7018412945172</v>
      </c>
      <c r="AH175">
        <f t="shared" si="142"/>
        <v>-2778.0940743688329</v>
      </c>
      <c r="AJ175">
        <f t="shared" si="127"/>
        <v>21000</v>
      </c>
      <c r="AK175">
        <f t="shared" si="128"/>
        <v>475.34527325281499</v>
      </c>
      <c r="AL175">
        <v>1</v>
      </c>
      <c r="AM175">
        <f t="shared" si="129"/>
        <v>9.3248913258525157</v>
      </c>
      <c r="AN175">
        <f t="shared" si="143"/>
        <v>289.15864188117655</v>
      </c>
      <c r="AO175">
        <f t="shared" si="144"/>
        <v>-2221.0276382202628</v>
      </c>
      <c r="AQ175">
        <f t="shared" si="130"/>
        <v>0.50296750829896386</v>
      </c>
      <c r="AR175">
        <f t="shared" si="131"/>
        <v>-70.918418670153912</v>
      </c>
      <c r="AT175">
        <f t="shared" si="156"/>
        <v>-193514.51697249318</v>
      </c>
      <c r="AU175">
        <f t="shared" si="157"/>
        <v>-495393.85056679195</v>
      </c>
      <c r="AV175">
        <f t="shared" si="145"/>
        <v>-1.9431970398951124</v>
      </c>
      <c r="AW175">
        <f t="shared" si="146"/>
        <v>-152882.15726488276</v>
      </c>
      <c r="AX175">
        <f t="shared" si="147"/>
        <v>-37472.450889123276</v>
      </c>
      <c r="AY175">
        <f t="shared" si="155"/>
        <v>-2.9012246646153703</v>
      </c>
      <c r="BA175">
        <f t="shared" si="132"/>
        <v>3.3787997005999966</v>
      </c>
      <c r="BB175">
        <f t="shared" si="148"/>
        <v>10.575248940543773</v>
      </c>
      <c r="BC175">
        <f t="shared" si="149"/>
        <v>0.95802762472025793</v>
      </c>
      <c r="BD175">
        <f t="shared" si="133"/>
        <v>-125.10906038386409</v>
      </c>
      <c r="BF175">
        <f t="shared" si="134"/>
        <v>-2.265887845839111</v>
      </c>
      <c r="BG175">
        <f t="shared" si="135"/>
        <v>-121.6217127542243</v>
      </c>
      <c r="BH175">
        <f t="shared" si="150"/>
        <v>58.378287245775695</v>
      </c>
      <c r="BI175">
        <f t="shared" si="151"/>
        <v>58.378287245775695</v>
      </c>
      <c r="BJ175">
        <f t="shared" si="136"/>
        <v>0</v>
      </c>
      <c r="BK175">
        <f t="shared" si="152"/>
        <v>0</v>
      </c>
      <c r="BM175">
        <f t="shared" si="153"/>
        <v>-12.841136786382883</v>
      </c>
      <c r="BN175">
        <f t="shared" si="137"/>
        <v>-176.5126523703602</v>
      </c>
      <c r="BQ175" s="66">
        <f t="shared" si="154"/>
        <v>27.477209740828911</v>
      </c>
      <c r="BR175" s="71"/>
      <c r="BS175" s="71"/>
      <c r="BT175" s="71">
        <v>4466.8360000000002</v>
      </c>
      <c r="BU175" s="71">
        <v>2.9233199999999999</v>
      </c>
      <c r="BV175" s="71">
        <v>-240.90300000000002</v>
      </c>
      <c r="BW175" s="75"/>
      <c r="BY175" s="71"/>
      <c r="BZ175" s="71"/>
      <c r="CA175" s="71"/>
      <c r="CC175" s="71"/>
    </row>
    <row r="176" spans="1:81" ht="13" x14ac:dyDescent="0.3">
      <c r="A176">
        <f t="shared" si="158"/>
        <v>71000</v>
      </c>
      <c r="B176">
        <f t="shared" si="138"/>
        <v>71</v>
      </c>
      <c r="C176">
        <f t="shared" si="107"/>
        <v>1.0002487324444465</v>
      </c>
      <c r="D176">
        <f t="shared" si="108"/>
        <v>2.2301609756382155E-2</v>
      </c>
      <c r="F176">
        <f t="shared" si="109"/>
        <v>1.4980217817393088E-2</v>
      </c>
      <c r="G176">
        <f t="shared" si="110"/>
        <v>3.8440405909303144E-2</v>
      </c>
      <c r="H176">
        <f t="shared" si="111"/>
        <v>-3.1031522440906971</v>
      </c>
      <c r="J176">
        <f t="shared" si="112"/>
        <v>15</v>
      </c>
      <c r="M176">
        <f t="shared" si="113"/>
        <v>1.5470109864380133E-2</v>
      </c>
      <c r="N176">
        <f t="shared" si="114"/>
        <v>-1.5707963250000001</v>
      </c>
      <c r="O176">
        <f t="shared" si="115"/>
        <v>24.470627411720699</v>
      </c>
      <c r="P176">
        <f t="shared" si="116"/>
        <v>1.5299196250417484</v>
      </c>
      <c r="Q176">
        <f t="shared" si="117"/>
        <v>9.4441175508668245</v>
      </c>
      <c r="R176">
        <f t="shared" si="118"/>
        <v>1.4647114408976225</v>
      </c>
      <c r="S176">
        <f t="shared" si="119"/>
        <v>0.99974027185463343</v>
      </c>
      <c r="T176">
        <f t="shared" si="120"/>
        <v>-2.279207709988303E-2</v>
      </c>
      <c r="U176">
        <f t="shared" si="121"/>
        <v>0.94257267631193642</v>
      </c>
      <c r="V176">
        <f t="shared" si="122"/>
        <v>-0.34054529565584124</v>
      </c>
      <c r="X176">
        <f t="shared" si="139"/>
        <v>-2.4156136704202709</v>
      </c>
      <c r="Y176">
        <f t="shared" si="123"/>
        <v>-115.75771540817691</v>
      </c>
      <c r="Z176">
        <f t="shared" si="140"/>
        <v>64.242284591823093</v>
      </c>
      <c r="AC176">
        <v>1</v>
      </c>
      <c r="AD176">
        <f t="shared" si="124"/>
        <v>24.450186214490401</v>
      </c>
      <c r="AE176">
        <f t="shared" si="125"/>
        <v>-1.0907378592965563E-3</v>
      </c>
      <c r="AF176">
        <f t="shared" si="126"/>
        <v>3.0781324784700005E-3</v>
      </c>
      <c r="AG176">
        <f t="shared" si="141"/>
        <v>6954.7957160511032</v>
      </c>
      <c r="AH176">
        <f t="shared" si="142"/>
        <v>-2789.3078193431361</v>
      </c>
      <c r="AJ176">
        <f t="shared" si="127"/>
        <v>21000</v>
      </c>
      <c r="AK176">
        <f t="shared" si="128"/>
        <v>478.71651632553005</v>
      </c>
      <c r="AL176">
        <v>1</v>
      </c>
      <c r="AM176">
        <f t="shared" si="129"/>
        <v>9.3910253068869292</v>
      </c>
      <c r="AN176">
        <f t="shared" si="143"/>
        <v>285.85324826445083</v>
      </c>
      <c r="AO176">
        <f t="shared" si="144"/>
        <v>-2205.73857218176</v>
      </c>
      <c r="AQ176">
        <f t="shared" si="130"/>
        <v>0.49590875278948676</v>
      </c>
      <c r="AR176">
        <f t="shared" si="131"/>
        <v>-70.419042896107115</v>
      </c>
      <c r="AT176">
        <f t="shared" si="156"/>
        <v>-192971.44291131874</v>
      </c>
      <c r="AU176">
        <f t="shared" si="157"/>
        <v>-491133.30002410104</v>
      </c>
      <c r="AV176">
        <f t="shared" si="145"/>
        <v>-1.9451761870955737</v>
      </c>
      <c r="AW176">
        <f t="shared" si="146"/>
        <v>-150719.8816401652</v>
      </c>
      <c r="AX176">
        <f t="shared" si="147"/>
        <v>-36976.932856099171</v>
      </c>
      <c r="AY176">
        <f t="shared" si="155"/>
        <v>-2.9010089325914556</v>
      </c>
      <c r="BA176">
        <f t="shared" si="132"/>
        <v>3.4002530430214479</v>
      </c>
      <c r="BB176">
        <f t="shared" si="148"/>
        <v>10.630224759072508</v>
      </c>
      <c r="BC176">
        <f t="shared" si="149"/>
        <v>0.95583274549588193</v>
      </c>
      <c r="BD176">
        <f t="shared" si="133"/>
        <v>-125.23481770010548</v>
      </c>
      <c r="BF176">
        <f t="shared" si="134"/>
        <v>-2.3354273019593195</v>
      </c>
      <c r="BG176">
        <f t="shared" si="135"/>
        <v>-121.7545565593674</v>
      </c>
      <c r="BH176">
        <f t="shared" si="150"/>
        <v>58.245443440632599</v>
      </c>
      <c r="BI176">
        <f t="shared" si="151"/>
        <v>58.245443440632599</v>
      </c>
      <c r="BJ176">
        <f t="shared" si="136"/>
        <v>0</v>
      </c>
      <c r="BK176">
        <f t="shared" si="152"/>
        <v>0</v>
      </c>
      <c r="BM176">
        <f t="shared" si="153"/>
        <v>-12.965652061031829</v>
      </c>
      <c r="BN176">
        <f t="shared" si="137"/>
        <v>-176.51973885926193</v>
      </c>
      <c r="BQ176" s="66">
        <f t="shared" si="154"/>
        <v>27.532185559357643</v>
      </c>
      <c r="BR176" s="71"/>
      <c r="BS176" s="71"/>
      <c r="BT176" s="71">
        <v>4570.8819999999996</v>
      </c>
      <c r="BU176" s="71">
        <v>2.7266900000000001</v>
      </c>
      <c r="BV176" s="71">
        <v>-241.25200000000001</v>
      </c>
      <c r="BW176" s="75"/>
      <c r="BY176" s="71"/>
      <c r="BZ176" s="71"/>
      <c r="CA176" s="71"/>
      <c r="CC176" s="71"/>
    </row>
    <row r="177" spans="1:81" ht="13" x14ac:dyDescent="0.3">
      <c r="A177">
        <f t="shared" si="158"/>
        <v>71500</v>
      </c>
      <c r="B177">
        <f t="shared" si="138"/>
        <v>71.5</v>
      </c>
      <c r="C177">
        <f t="shared" si="107"/>
        <v>1.0002522476104923</v>
      </c>
      <c r="D177">
        <f t="shared" si="108"/>
        <v>2.2458610725322847E-2</v>
      </c>
      <c r="F177">
        <f t="shared" si="109"/>
        <v>1.4768479982241666E-2</v>
      </c>
      <c r="G177">
        <f t="shared" si="110"/>
        <v>3.8163816122820535E-2</v>
      </c>
      <c r="H177">
        <f t="shared" si="111"/>
        <v>-3.1034288338771798</v>
      </c>
      <c r="J177">
        <f t="shared" si="112"/>
        <v>15</v>
      </c>
      <c r="M177">
        <f t="shared" si="113"/>
        <v>1.5361927277915936E-2</v>
      </c>
      <c r="N177">
        <f t="shared" si="114"/>
        <v>-1.5707963250000001</v>
      </c>
      <c r="O177">
        <f t="shared" si="115"/>
        <v>24.642668994405966</v>
      </c>
      <c r="P177">
        <f t="shared" si="116"/>
        <v>1.5302051611161931</v>
      </c>
      <c r="Q177">
        <f t="shared" si="117"/>
        <v>9.5098823229899629</v>
      </c>
      <c r="R177">
        <f t="shared" si="118"/>
        <v>1.4654477974890416</v>
      </c>
      <c r="S177">
        <f t="shared" si="119"/>
        <v>0.99973660228123873</v>
      </c>
      <c r="T177">
        <f t="shared" si="120"/>
        <v>-2.2952528515757312E-2</v>
      </c>
      <c r="U177">
        <f t="shared" si="121"/>
        <v>0.9418304511663137</v>
      </c>
      <c r="V177">
        <f t="shared" si="122"/>
        <v>-0.34276059625616678</v>
      </c>
      <c r="X177">
        <f t="shared" si="139"/>
        <v>-2.4859298868750548</v>
      </c>
      <c r="Y177">
        <f t="shared" si="123"/>
        <v>-115.84213776962403</v>
      </c>
      <c r="Z177">
        <f t="shared" si="140"/>
        <v>64.157862230375969</v>
      </c>
      <c r="AC177">
        <v>1</v>
      </c>
      <c r="AD177">
        <f t="shared" si="124"/>
        <v>24.622370624451602</v>
      </c>
      <c r="AE177">
        <f t="shared" si="125"/>
        <v>-1.1061544576847491E-3</v>
      </c>
      <c r="AF177">
        <f t="shared" si="126"/>
        <v>3.0998094677549999E-3</v>
      </c>
      <c r="AG177">
        <f t="shared" si="141"/>
        <v>6943.8469754713042</v>
      </c>
      <c r="AH177">
        <f t="shared" si="142"/>
        <v>-2800.4841509453913</v>
      </c>
      <c r="AJ177">
        <f t="shared" si="127"/>
        <v>21000</v>
      </c>
      <c r="AK177">
        <f t="shared" si="128"/>
        <v>482.08775939824505</v>
      </c>
      <c r="AL177">
        <v>1</v>
      </c>
      <c r="AM177">
        <f t="shared" si="129"/>
        <v>9.4571592879213462</v>
      </c>
      <c r="AN177">
        <f t="shared" si="143"/>
        <v>282.61593345411325</v>
      </c>
      <c r="AO177">
        <f t="shared" si="144"/>
        <v>-2190.6561405818834</v>
      </c>
      <c r="AQ177">
        <f t="shared" si="130"/>
        <v>0.48899755501222492</v>
      </c>
      <c r="AR177">
        <f t="shared" si="131"/>
        <v>-69.926650366748163</v>
      </c>
      <c r="AT177">
        <f t="shared" si="156"/>
        <v>-192432.95188739346</v>
      </c>
      <c r="AU177">
        <f t="shared" si="157"/>
        <v>-486929.38955664635</v>
      </c>
      <c r="AV177">
        <f t="shared" si="145"/>
        <v>-1.9471551957244335</v>
      </c>
      <c r="AW177">
        <f t="shared" si="146"/>
        <v>-148602.22194493757</v>
      </c>
      <c r="AX177">
        <f t="shared" si="147"/>
        <v>-36493.446327208963</v>
      </c>
      <c r="AY177">
        <f t="shared" si="155"/>
        <v>-2.900780120919332</v>
      </c>
      <c r="BA177">
        <f t="shared" si="132"/>
        <v>3.421664094056478</v>
      </c>
      <c r="BB177">
        <f t="shared" si="148"/>
        <v>10.684747449173964</v>
      </c>
      <c r="BC177">
        <f t="shared" si="149"/>
        <v>0.9536249251948985</v>
      </c>
      <c r="BD177">
        <f t="shared" si="133"/>
        <v>-125.36131648541968</v>
      </c>
      <c r="BF177">
        <f t="shared" si="134"/>
        <v>-2.4045206775523802</v>
      </c>
      <c r="BG177">
        <f t="shared" si="135"/>
        <v>-121.88790727921153</v>
      </c>
      <c r="BH177">
        <f t="shared" si="150"/>
        <v>58.112092720788468</v>
      </c>
      <c r="BI177">
        <f t="shared" si="151"/>
        <v>58.112092720788468</v>
      </c>
      <c r="BJ177">
        <f t="shared" si="136"/>
        <v>0</v>
      </c>
      <c r="BK177">
        <f t="shared" si="152"/>
        <v>0</v>
      </c>
      <c r="BM177">
        <f t="shared" si="153"/>
        <v>-13.089268126726344</v>
      </c>
      <c r="BN177">
        <f t="shared" si="137"/>
        <v>-176.52659079379185</v>
      </c>
      <c r="BQ177" s="66">
        <f t="shared" si="154"/>
        <v>27.586708249459097</v>
      </c>
      <c r="BR177" s="71"/>
      <c r="BS177" s="71"/>
      <c r="BT177" s="71">
        <v>4677.3509999999997</v>
      </c>
      <c r="BU177" s="71">
        <v>2.54392</v>
      </c>
      <c r="BV177" s="71">
        <v>-240.63800000000001</v>
      </c>
      <c r="BW177" s="75"/>
      <c r="BY177" s="71"/>
      <c r="BZ177" s="71"/>
      <c r="CA177" s="71"/>
      <c r="CC177" s="71"/>
    </row>
    <row r="178" spans="1:81" ht="13" x14ac:dyDescent="0.3">
      <c r="A178">
        <f t="shared" si="158"/>
        <v>72000</v>
      </c>
      <c r="B178">
        <f t="shared" si="138"/>
        <v>72</v>
      </c>
      <c r="C178">
        <f t="shared" si="107"/>
        <v>1.0002557874318865</v>
      </c>
      <c r="D178">
        <f t="shared" si="108"/>
        <v>2.261561058690691E-2</v>
      </c>
      <c r="F178">
        <f t="shared" si="109"/>
        <v>1.4561220088228081E-2</v>
      </c>
      <c r="G178">
        <f t="shared" si="110"/>
        <v>3.7891231115151434E-2</v>
      </c>
      <c r="H178">
        <f t="shared" si="111"/>
        <v>-3.1037014188848486</v>
      </c>
      <c r="J178">
        <f t="shared" si="112"/>
        <v>15</v>
      </c>
      <c r="M178">
        <f t="shared" si="113"/>
        <v>1.5255247227374851E-2</v>
      </c>
      <c r="N178">
        <f t="shared" si="114"/>
        <v>-1.5707963250000001</v>
      </c>
      <c r="O178">
        <f t="shared" si="115"/>
        <v>24.814712558369987</v>
      </c>
      <c r="P178">
        <f t="shared" si="116"/>
        <v>1.5304867378973586</v>
      </c>
      <c r="Q178">
        <f t="shared" si="117"/>
        <v>9.5756521807414305</v>
      </c>
      <c r="R178">
        <f t="shared" si="118"/>
        <v>1.4661740392175746</v>
      </c>
      <c r="S178">
        <f t="shared" si="119"/>
        <v>0.99973290699728534</v>
      </c>
      <c r="T178">
        <f t="shared" si="120"/>
        <v>-2.311297874962279E-2</v>
      </c>
      <c r="U178">
        <f t="shared" si="121"/>
        <v>0.94108478650764249</v>
      </c>
      <c r="V178">
        <f t="shared" si="122"/>
        <v>-0.34497239990751555</v>
      </c>
      <c r="X178">
        <f t="shared" si="139"/>
        <v>-2.5558059983937391</v>
      </c>
      <c r="Y178">
        <f t="shared" si="123"/>
        <v>-115.92693669920142</v>
      </c>
      <c r="Z178">
        <f t="shared" si="140"/>
        <v>64.07306330079858</v>
      </c>
      <c r="AC178">
        <v>1</v>
      </c>
      <c r="AD178">
        <f t="shared" si="124"/>
        <v>24.794555034412802</v>
      </c>
      <c r="AE178">
        <f t="shared" si="125"/>
        <v>-1.1216792427282975E-3</v>
      </c>
      <c r="AF178">
        <f t="shared" si="126"/>
        <v>3.1214864570399997E-3</v>
      </c>
      <c r="AG178">
        <f t="shared" si="141"/>
        <v>6932.8561827959975</v>
      </c>
      <c r="AH178">
        <f t="shared" si="142"/>
        <v>-2811.6222811952266</v>
      </c>
      <c r="AJ178">
        <f t="shared" si="127"/>
        <v>21000</v>
      </c>
      <c r="AK178">
        <f t="shared" si="128"/>
        <v>485.45900247096</v>
      </c>
      <c r="AL178">
        <v>1</v>
      </c>
      <c r="AM178">
        <f t="shared" si="129"/>
        <v>9.5232932689557597</v>
      </c>
      <c r="AN178">
        <f t="shared" si="143"/>
        <v>279.44484750224689</v>
      </c>
      <c r="AO178">
        <f t="shared" si="144"/>
        <v>-2175.776232791557</v>
      </c>
      <c r="AQ178">
        <f t="shared" si="130"/>
        <v>0.48222983073732939</v>
      </c>
      <c r="AR178">
        <f t="shared" si="131"/>
        <v>-69.441095626175439</v>
      </c>
      <c r="AT178">
        <f t="shared" si="156"/>
        <v>-191898.90162960731</v>
      </c>
      <c r="AU178">
        <f t="shared" si="157"/>
        <v>-482780.97728881659</v>
      </c>
      <c r="AV178">
        <f t="shared" si="145"/>
        <v>-1.9491339827849348</v>
      </c>
      <c r="AW178">
        <f t="shared" si="146"/>
        <v>-146527.96776813213</v>
      </c>
      <c r="AX178">
        <f t="shared" si="147"/>
        <v>-36021.603807755062</v>
      </c>
      <c r="AY178">
        <f t="shared" si="155"/>
        <v>-2.9005384537834669</v>
      </c>
      <c r="BA178">
        <f t="shared" si="132"/>
        <v>3.4430325554555976</v>
      </c>
      <c r="BB178">
        <f t="shared" si="148"/>
        <v>10.738822583561248</v>
      </c>
      <c r="BC178">
        <f t="shared" si="149"/>
        <v>0.95140447099853209</v>
      </c>
      <c r="BD178">
        <f t="shared" si="133"/>
        <v>-125.48853913961895</v>
      </c>
      <c r="BF178">
        <f t="shared" si="134"/>
        <v>-2.4731754551478859</v>
      </c>
      <c r="BG178">
        <f t="shared" si="135"/>
        <v>-122.02175247446344</v>
      </c>
      <c r="BH178">
        <f t="shared" si="150"/>
        <v>57.97824752553656</v>
      </c>
      <c r="BI178">
        <f t="shared" si="151"/>
        <v>57.97824752553656</v>
      </c>
      <c r="BJ178">
        <f t="shared" si="136"/>
        <v>0</v>
      </c>
      <c r="BK178">
        <f t="shared" si="152"/>
        <v>0</v>
      </c>
      <c r="BM178">
        <f t="shared" si="153"/>
        <v>-13.211998038709133</v>
      </c>
      <c r="BN178">
        <f t="shared" si="137"/>
        <v>-176.5332133348445</v>
      </c>
      <c r="BQ178" s="66">
        <f t="shared" si="154"/>
        <v>27.640783383846387</v>
      </c>
      <c r="BR178" s="71"/>
      <c r="BS178" s="71"/>
      <c r="BT178" s="71">
        <v>4786.3010000000004</v>
      </c>
      <c r="BU178" s="71">
        <v>2.5307499999999998</v>
      </c>
      <c r="BV178" s="71">
        <v>-240.03100000000001</v>
      </c>
      <c r="BW178" s="75"/>
      <c r="BY178" s="71"/>
      <c r="BZ178" s="71"/>
      <c r="CA178" s="71"/>
      <c r="CC178" s="71"/>
    </row>
    <row r="179" spans="1:81" ht="13" x14ac:dyDescent="0.3">
      <c r="A179">
        <f t="shared" si="158"/>
        <v>72500</v>
      </c>
      <c r="B179">
        <f t="shared" si="138"/>
        <v>72.5</v>
      </c>
      <c r="C179">
        <f t="shared" si="107"/>
        <v>1.0002593519083671</v>
      </c>
      <c r="D179">
        <f t="shared" si="108"/>
        <v>2.2772609333406385E-2</v>
      </c>
      <c r="F179">
        <f t="shared" si="109"/>
        <v>1.4358312197955747E-2</v>
      </c>
      <c r="G179">
        <f t="shared" si="110"/>
        <v>3.762256347079642E-2</v>
      </c>
      <c r="H179">
        <f t="shared" si="111"/>
        <v>-3.1039700865292037</v>
      </c>
      <c r="J179">
        <f t="shared" si="112"/>
        <v>15</v>
      </c>
      <c r="M179">
        <f t="shared" si="113"/>
        <v>1.5150038625806751E-2</v>
      </c>
      <c r="N179">
        <f t="shared" si="114"/>
        <v>-1.5707963250000001</v>
      </c>
      <c r="O179">
        <f t="shared" si="115"/>
        <v>24.986758062687137</v>
      </c>
      <c r="P179">
        <f t="shared" si="116"/>
        <v>1.5307644371248794</v>
      </c>
      <c r="Q179">
        <f t="shared" si="117"/>
        <v>9.6414270200450183</v>
      </c>
      <c r="R179">
        <f t="shared" si="118"/>
        <v>1.466890372323201</v>
      </c>
      <c r="S179">
        <f t="shared" si="119"/>
        <v>0.9997291860036297</v>
      </c>
      <c r="T179">
        <f t="shared" si="120"/>
        <v>-2.3273427793231272E-2</v>
      </c>
      <c r="U179">
        <f t="shared" si="121"/>
        <v>0.94033571235967883</v>
      </c>
      <c r="V179">
        <f t="shared" si="122"/>
        <v>-0.34718069329422535</v>
      </c>
      <c r="X179">
        <f t="shared" si="139"/>
        <v>-2.6252491405555842</v>
      </c>
      <c r="Y179">
        <f t="shared" si="123"/>
        <v>-116.01209994247067</v>
      </c>
      <c r="Z179">
        <f t="shared" si="140"/>
        <v>63.98790005752933</v>
      </c>
      <c r="AC179">
        <v>1</v>
      </c>
      <c r="AD179">
        <f t="shared" si="124"/>
        <v>24.966739444374003</v>
      </c>
      <c r="AE179">
        <f t="shared" si="125"/>
        <v>-1.1373122144272016E-3</v>
      </c>
      <c r="AF179">
        <f t="shared" si="126"/>
        <v>3.143163446325E-3</v>
      </c>
      <c r="AG179">
        <f t="shared" si="141"/>
        <v>6921.8239004967163</v>
      </c>
      <c r="AH179">
        <f t="shared" si="142"/>
        <v>-2822.7214459758857</v>
      </c>
      <c r="AJ179">
        <f t="shared" si="127"/>
        <v>21000</v>
      </c>
      <c r="AK179">
        <f t="shared" si="128"/>
        <v>488.83024554367506</v>
      </c>
      <c r="AL179">
        <v>1</v>
      </c>
      <c r="AM179">
        <f t="shared" si="129"/>
        <v>9.5894272499901749</v>
      </c>
      <c r="AN179">
        <f t="shared" si="143"/>
        <v>276.33820264294957</v>
      </c>
      <c r="AO179">
        <f t="shared" si="144"/>
        <v>-2161.0948450939327</v>
      </c>
      <c r="AQ179">
        <f t="shared" si="130"/>
        <v>0.47560163606962808</v>
      </c>
      <c r="AR179">
        <f t="shared" si="131"/>
        <v>-68.962237230096065</v>
      </c>
      <c r="AT179">
        <f t="shared" si="156"/>
        <v>-191369.15522020671</v>
      </c>
      <c r="AU179">
        <f t="shared" si="157"/>
        <v>-478686.95282887836</v>
      </c>
      <c r="AV179">
        <f t="shared" si="145"/>
        <v>-1.9511124673707907</v>
      </c>
      <c r="AW179">
        <f t="shared" si="146"/>
        <v>-144495.94930658716</v>
      </c>
      <c r="AX179">
        <f t="shared" si="147"/>
        <v>-35561.033035468994</v>
      </c>
      <c r="AY179">
        <f t="shared" si="155"/>
        <v>-2.9002841494194178</v>
      </c>
      <c r="BA179">
        <f t="shared" si="132"/>
        <v>3.4643581315918128</v>
      </c>
      <c r="BB179">
        <f t="shared" si="148"/>
        <v>10.7924556261127</v>
      </c>
      <c r="BC179">
        <f t="shared" si="149"/>
        <v>0.94917168204862712</v>
      </c>
      <c r="BD179">
        <f t="shared" si="133"/>
        <v>-125.61646852313814</v>
      </c>
      <c r="BF179">
        <f t="shared" si="134"/>
        <v>-2.541398940367964</v>
      </c>
      <c r="BG179">
        <f t="shared" si="135"/>
        <v>-122.15608001453995</v>
      </c>
      <c r="BH179">
        <f t="shared" si="150"/>
        <v>57.843919985460047</v>
      </c>
      <c r="BI179">
        <f t="shared" si="151"/>
        <v>57.843919985460047</v>
      </c>
      <c r="BJ179">
        <f t="shared" si="136"/>
        <v>0</v>
      </c>
      <c r="BK179">
        <f t="shared" si="152"/>
        <v>0</v>
      </c>
      <c r="BM179">
        <f t="shared" si="153"/>
        <v>-13.333854566480664</v>
      </c>
      <c r="BN179">
        <f t="shared" si="137"/>
        <v>-176.53961149140184</v>
      </c>
      <c r="BQ179" s="66">
        <f t="shared" si="154"/>
        <v>27.694416426397837</v>
      </c>
      <c r="BR179" s="71"/>
      <c r="BS179" s="71"/>
      <c r="BT179" s="71">
        <v>4897.7879999999996</v>
      </c>
      <c r="BU179" s="71">
        <v>2.1795599999999999</v>
      </c>
      <c r="BV179" s="71">
        <v>-239.48099999999999</v>
      </c>
      <c r="BW179" s="75"/>
      <c r="BY179" s="71"/>
      <c r="BZ179" s="71"/>
      <c r="CA179" s="71"/>
      <c r="CC179" s="71"/>
    </row>
    <row r="180" spans="1:81" ht="13" x14ac:dyDescent="0.3">
      <c r="A180">
        <f t="shared" si="158"/>
        <v>73000</v>
      </c>
      <c r="B180">
        <f t="shared" si="138"/>
        <v>73</v>
      </c>
      <c r="C180">
        <f t="shared" si="107"/>
        <v>1.0002629410396708</v>
      </c>
      <c r="D180">
        <f t="shared" si="108"/>
        <v>2.2929606957093628E-2</v>
      </c>
      <c r="F180">
        <f t="shared" si="109"/>
        <v>1.4159634789122744E-2</v>
      </c>
      <c r="G180">
        <f t="shared" si="110"/>
        <v>3.735772832783351E-2</v>
      </c>
      <c r="H180">
        <f t="shared" si="111"/>
        <v>-3.1042349216721665</v>
      </c>
      <c r="J180">
        <f t="shared" si="112"/>
        <v>15</v>
      </c>
      <c r="M180">
        <f t="shared" si="113"/>
        <v>1.5046271237958759E-2</v>
      </c>
      <c r="N180">
        <f t="shared" si="114"/>
        <v>-1.5707963250000001</v>
      </c>
      <c r="O180">
        <f t="shared" si="115"/>
        <v>25.158805467550785</v>
      </c>
      <c r="P180">
        <f t="shared" si="116"/>
        <v>1.5310383383049291</v>
      </c>
      <c r="Q180">
        <f t="shared" si="117"/>
        <v>9.7072067396375736</v>
      </c>
      <c r="R180">
        <f t="shared" si="118"/>
        <v>1.4675969974969729</v>
      </c>
      <c r="S180">
        <f t="shared" si="119"/>
        <v>0.999725439301133</v>
      </c>
      <c r="T180">
        <f t="shared" si="120"/>
        <v>-2.3433875638334926E-2</v>
      </c>
      <c r="U180">
        <f t="shared" si="121"/>
        <v>0.93958325874849613</v>
      </c>
      <c r="V180">
        <f t="shared" si="122"/>
        <v>-0.34938546327980796</v>
      </c>
      <c r="X180">
        <f t="shared" si="139"/>
        <v>-2.6942662776605122</v>
      </c>
      <c r="Y180">
        <f t="shared" si="123"/>
        <v>-116.0976155548481</v>
      </c>
      <c r="Z180">
        <f t="shared" si="140"/>
        <v>63.902384445151895</v>
      </c>
      <c r="AC180">
        <v>1</v>
      </c>
      <c r="AD180">
        <f t="shared" si="124"/>
        <v>25.1389238543352</v>
      </c>
      <c r="AE180">
        <f t="shared" si="125"/>
        <v>-1.1530533727814618E-3</v>
      </c>
      <c r="AF180">
        <f t="shared" si="126"/>
        <v>3.1648404356099998E-3</v>
      </c>
      <c r="AG180">
        <f t="shared" si="141"/>
        <v>6910.7506902198829</v>
      </c>
      <c r="AH180">
        <f t="shared" si="142"/>
        <v>-2833.7809043700631</v>
      </c>
      <c r="AJ180">
        <f t="shared" si="127"/>
        <v>21000</v>
      </c>
      <c r="AK180">
        <f t="shared" si="128"/>
        <v>492.20148861639001</v>
      </c>
      <c r="AL180">
        <v>1</v>
      </c>
      <c r="AM180">
        <f t="shared" si="129"/>
        <v>9.6555612310245902</v>
      </c>
      <c r="AN180">
        <f t="shared" si="143"/>
        <v>273.29427081023789</v>
      </c>
      <c r="AO180">
        <f t="shared" si="144"/>
        <v>-2146.6080772800783</v>
      </c>
      <c r="AQ180">
        <f t="shared" si="130"/>
        <v>0.46910916170192801</v>
      </c>
      <c r="AR180">
        <f t="shared" si="131"/>
        <v>-68.489937608481497</v>
      </c>
      <c r="AT180">
        <f t="shared" si="156"/>
        <v>-190843.58087339182</v>
      </c>
      <c r="AU180">
        <f t="shared" si="157"/>
        <v>-474646.23618542618</v>
      </c>
      <c r="AV180">
        <f t="shared" si="145"/>
        <v>-1.9530905706007369</v>
      </c>
      <c r="AW180">
        <f t="shared" si="146"/>
        <v>-142505.03574741902</v>
      </c>
      <c r="AX180">
        <f t="shared" si="147"/>
        <v>-35111.37627889467</v>
      </c>
      <c r="AY180">
        <f t="shared" si="155"/>
        <v>-2.9000174203193771</v>
      </c>
      <c r="BA180">
        <f t="shared" si="132"/>
        <v>3.4856405294268709</v>
      </c>
      <c r="BB180">
        <f t="shared" si="148"/>
        <v>10.845651934675777</v>
      </c>
      <c r="BC180">
        <f t="shared" si="149"/>
        <v>0.94692684971864027</v>
      </c>
      <c r="BD180">
        <f t="shared" si="133"/>
        <v>-125.74508794150788</v>
      </c>
      <c r="BF180">
        <f t="shared" si="134"/>
        <v>-2.6091982674909491</v>
      </c>
      <c r="BG180">
        <f t="shared" si="135"/>
        <v>-122.2908780676444</v>
      </c>
      <c r="BH180">
        <f t="shared" si="150"/>
        <v>57.7091219323556</v>
      </c>
      <c r="BI180">
        <f t="shared" si="151"/>
        <v>57.7091219323556</v>
      </c>
      <c r="BJ180">
        <f t="shared" si="136"/>
        <v>0</v>
      </c>
      <c r="BK180">
        <f t="shared" si="152"/>
        <v>0</v>
      </c>
      <c r="BM180">
        <f t="shared" si="153"/>
        <v>-13.454850202166726</v>
      </c>
      <c r="BN180">
        <f t="shared" si="137"/>
        <v>-176.54579012613652</v>
      </c>
      <c r="BQ180" s="66">
        <f t="shared" si="154"/>
        <v>27.747612734960914</v>
      </c>
      <c r="BR180" s="71"/>
      <c r="BS180" s="71"/>
      <c r="BT180" s="71">
        <v>5011.8720000000003</v>
      </c>
      <c r="BU180" s="71">
        <v>2.08934</v>
      </c>
      <c r="BV180" s="71">
        <v>-238.50700000000001</v>
      </c>
      <c r="BW180" s="75"/>
      <c r="BY180" s="71"/>
      <c r="BZ180" s="71"/>
      <c r="CA180" s="71"/>
      <c r="CC180" s="71"/>
    </row>
    <row r="181" spans="1:81" ht="13" x14ac:dyDescent="0.3">
      <c r="A181">
        <f t="shared" si="158"/>
        <v>73500</v>
      </c>
      <c r="B181">
        <f t="shared" si="138"/>
        <v>73.5</v>
      </c>
      <c r="C181">
        <f t="shared" si="107"/>
        <v>1.0002665548255321</v>
      </c>
      <c r="D181">
        <f t="shared" si="108"/>
        <v>2.3086603450241331E-2</v>
      </c>
      <c r="F181">
        <f t="shared" si="109"/>
        <v>1.3965070569322098E-2</v>
      </c>
      <c r="G181">
        <f t="shared" si="110"/>
        <v>3.7096643284456166E-2</v>
      </c>
      <c r="H181">
        <f t="shared" si="111"/>
        <v>-3.1044960067155438</v>
      </c>
      <c r="J181">
        <f t="shared" si="112"/>
        <v>15</v>
      </c>
      <c r="M181">
        <f t="shared" si="113"/>
        <v>1.4943915651305978E-2</v>
      </c>
      <c r="N181">
        <f t="shared" si="114"/>
        <v>-1.5707963250000001</v>
      </c>
      <c r="O181">
        <f t="shared" si="115"/>
        <v>25.330854734235352</v>
      </c>
      <c r="P181">
        <f t="shared" si="116"/>
        <v>1.5313085187859468</v>
      </c>
      <c r="Q181">
        <f t="shared" si="117"/>
        <v>9.7729912409748447</v>
      </c>
      <c r="R181">
        <f t="shared" si="118"/>
        <v>1.4682941100657148</v>
      </c>
      <c r="S181">
        <f t="shared" si="119"/>
        <v>0.99972166689066355</v>
      </c>
      <c r="T181">
        <f t="shared" si="120"/>
        <v>-2.3594322276686293E-2</v>
      </c>
      <c r="U181">
        <f t="shared" si="121"/>
        <v>0.93882745569983206</v>
      </c>
      <c r="V181">
        <f t="shared" si="122"/>
        <v>-0.35158669690667771</v>
      </c>
      <c r="X181">
        <f t="shared" si="139"/>
        <v>-2.7628642080910017</v>
      </c>
      <c r="Y181">
        <f t="shared" si="123"/>
        <v>-116.18347189202295</v>
      </c>
      <c r="Z181">
        <f t="shared" si="140"/>
        <v>63.816528107977049</v>
      </c>
      <c r="AC181">
        <v>1</v>
      </c>
      <c r="AD181">
        <f t="shared" si="124"/>
        <v>25.311108264296401</v>
      </c>
      <c r="AE181">
        <f t="shared" si="125"/>
        <v>-1.1689027177910771E-3</v>
      </c>
      <c r="AF181">
        <f t="shared" si="126"/>
        <v>3.1865174248949996E-3</v>
      </c>
      <c r="AG181">
        <f t="shared" si="141"/>
        <v>6899.6371127316806</v>
      </c>
      <c r="AH181">
        <f t="shared" si="142"/>
        <v>-2844.7999380210344</v>
      </c>
      <c r="AJ181">
        <f t="shared" si="127"/>
        <v>21000</v>
      </c>
      <c r="AK181">
        <f t="shared" si="128"/>
        <v>495.57273168910501</v>
      </c>
      <c r="AL181">
        <v>1</v>
      </c>
      <c r="AM181">
        <f t="shared" si="129"/>
        <v>9.7216952120590054</v>
      </c>
      <c r="AN181">
        <f t="shared" si="143"/>
        <v>270.31138127034353</v>
      </c>
      <c r="AO181">
        <f t="shared" si="144"/>
        <v>-2132.31212937185</v>
      </c>
      <c r="AQ181">
        <f t="shared" si="130"/>
        <v>0.46274872744099954</v>
      </c>
      <c r="AR181">
        <f t="shared" si="131"/>
        <v>-68.024062933826926</v>
      </c>
      <c r="AT181">
        <f t="shared" si="156"/>
        <v>-190322.0517243685</v>
      </c>
      <c r="AU181">
        <f t="shared" si="157"/>
        <v>-470657.77672817121</v>
      </c>
      <c r="AV181">
        <f t="shared" si="145"/>
        <v>-1.9550682155557153</v>
      </c>
      <c r="AW181">
        <f t="shared" si="146"/>
        <v>-140554.13372477013</v>
      </c>
      <c r="AX181">
        <f t="shared" si="147"/>
        <v>-34672.289672647705</v>
      </c>
      <c r="AY181">
        <f t="shared" si="155"/>
        <v>-2.8997384734294847</v>
      </c>
      <c r="BA181">
        <f t="shared" si="132"/>
        <v>3.5068794584791991</v>
      </c>
      <c r="BB181">
        <f t="shared" si="148"/>
        <v>10.898416763783272</v>
      </c>
      <c r="BC181">
        <f t="shared" si="149"/>
        <v>0.94467025787376935</v>
      </c>
      <c r="BD181">
        <f t="shared" si="133"/>
        <v>-125.87438113045036</v>
      </c>
      <c r="BF181">
        <f t="shared" si="134"/>
        <v>-2.6765804047958772</v>
      </c>
      <c r="BG181">
        <f t="shared" si="135"/>
        <v>-122.42613509121747</v>
      </c>
      <c r="BH181">
        <f t="shared" si="150"/>
        <v>57.573864908782525</v>
      </c>
      <c r="BI181">
        <f t="shared" si="151"/>
        <v>57.573864908782525</v>
      </c>
      <c r="BJ181">
        <f t="shared" si="136"/>
        <v>0</v>
      </c>
      <c r="BK181">
        <f t="shared" si="152"/>
        <v>0</v>
      </c>
      <c r="BM181">
        <f t="shared" si="153"/>
        <v>-13.57499716857915</v>
      </c>
      <c r="BN181">
        <f t="shared" si="137"/>
        <v>-176.55175396076714</v>
      </c>
      <c r="BQ181" s="66">
        <f t="shared" si="154"/>
        <v>27.800377564068409</v>
      </c>
      <c r="BR181" s="71"/>
      <c r="BS181" s="71"/>
      <c r="BT181" s="71">
        <v>5128.6139999999996</v>
      </c>
      <c r="BU181" s="71">
        <v>1.7954699999999999</v>
      </c>
      <c r="BV181" s="71">
        <v>-237.881</v>
      </c>
      <c r="BW181" s="75"/>
      <c r="BY181" s="71"/>
      <c r="BZ181" s="71"/>
      <c r="CA181" s="71"/>
      <c r="CC181" s="71"/>
    </row>
    <row r="182" spans="1:81" ht="13" x14ac:dyDescent="0.3">
      <c r="A182">
        <f t="shared" si="158"/>
        <v>74000</v>
      </c>
      <c r="B182">
        <f t="shared" si="138"/>
        <v>74</v>
      </c>
      <c r="C182">
        <f t="shared" si="107"/>
        <v>1.0002701932656839</v>
      </c>
      <c r="D182">
        <f t="shared" si="108"/>
        <v>2.3243598805122528E-2</v>
      </c>
      <c r="F182">
        <f t="shared" si="109"/>
        <v>1.377450629987754E-2</v>
      </c>
      <c r="G182">
        <f t="shared" si="110"/>
        <v>3.6839228309620005E-2</v>
      </c>
      <c r="H182">
        <f t="shared" si="111"/>
        <v>-3.10475342169038</v>
      </c>
      <c r="J182">
        <f t="shared" si="112"/>
        <v>15</v>
      </c>
      <c r="M182">
        <f t="shared" si="113"/>
        <v>1.4842943248256616E-2</v>
      </c>
      <c r="N182">
        <f t="shared" si="114"/>
        <v>-1.5707963250000001</v>
      </c>
      <c r="O182">
        <f t="shared" si="115"/>
        <v>25.502905825059841</v>
      </c>
      <c r="P182">
        <f t="shared" si="116"/>
        <v>1.5315750538313042</v>
      </c>
      <c r="Q182">
        <f t="shared" si="117"/>
        <v>9.8387804281410709</v>
      </c>
      <c r="R182">
        <f t="shared" si="118"/>
        <v>1.4689819001694211</v>
      </c>
      <c r="S182">
        <f t="shared" si="119"/>
        <v>0.99971786877309499</v>
      </c>
      <c r="T182">
        <f t="shared" si="120"/>
        <v>-2.3754767700038284E-2</v>
      </c>
      <c r="U182">
        <f t="shared" si="121"/>
        <v>0.93806833323645611</v>
      </c>
      <c r="V182">
        <f t="shared" si="122"/>
        <v>-0.35378438139586194</v>
      </c>
      <c r="X182">
        <f t="shared" si="139"/>
        <v>-2.8310495694650255</v>
      </c>
      <c r="Y182">
        <f t="shared" si="123"/>
        <v>-116.26965760073247</v>
      </c>
      <c r="Z182">
        <f t="shared" si="140"/>
        <v>63.730342399267528</v>
      </c>
      <c r="AC182">
        <v>1</v>
      </c>
      <c r="AD182">
        <f t="shared" si="124"/>
        <v>25.483292674257605</v>
      </c>
      <c r="AE182">
        <f t="shared" si="125"/>
        <v>-1.1848602494560485E-3</v>
      </c>
      <c r="AF182">
        <f t="shared" si="126"/>
        <v>3.2081944141799999E-3</v>
      </c>
      <c r="AG182">
        <f t="shared" si="141"/>
        <v>6888.4837278636342</v>
      </c>
      <c r="AH182">
        <f t="shared" si="142"/>
        <v>-2855.7778505178821</v>
      </c>
      <c r="AJ182">
        <f t="shared" si="127"/>
        <v>21000</v>
      </c>
      <c r="AK182">
        <f t="shared" si="128"/>
        <v>498.94397476182007</v>
      </c>
      <c r="AL182">
        <v>1</v>
      </c>
      <c r="AM182">
        <f t="shared" si="129"/>
        <v>9.7878291930934207</v>
      </c>
      <c r="AN182">
        <f t="shared" si="143"/>
        <v>267.38791836243877</v>
      </c>
      <c r="AO182">
        <f t="shared" si="144"/>
        <v>-2118.2032984665384</v>
      </c>
      <c r="AQ182">
        <f t="shared" si="130"/>
        <v>0.45651677699155446</v>
      </c>
      <c r="AR182">
        <f t="shared" si="131"/>
        <v>-67.564482994750051</v>
      </c>
      <c r="AT182">
        <f t="shared" si="156"/>
        <v>-189804.44562829623</v>
      </c>
      <c r="AU182">
        <f t="shared" si="157"/>
        <v>-466720.55219097721</v>
      </c>
      <c r="AV182">
        <f t="shared" si="145"/>
        <v>-1.9570453272185655</v>
      </c>
      <c r="AW182">
        <f t="shared" si="146"/>
        <v>-138642.18584706765</v>
      </c>
      <c r="AX182">
        <f t="shared" si="147"/>
        <v>-34243.442587380094</v>
      </c>
      <c r="AY182">
        <f t="shared" si="155"/>
        <v>-2.8994475103392818</v>
      </c>
      <c r="BA182">
        <f t="shared" si="132"/>
        <v>3.5280746307934985</v>
      </c>
      <c r="BB182">
        <f t="shared" si="148"/>
        <v>10.950755267285125</v>
      </c>
      <c r="BC182">
        <f t="shared" si="149"/>
        <v>0.94240218312071633</v>
      </c>
      <c r="BD182">
        <f t="shared" si="133"/>
        <v>-126.00433224156896</v>
      </c>
      <c r="BF182">
        <f t="shared" si="134"/>
        <v>-2.7435521596979324</v>
      </c>
      <c r="BG182">
        <f t="shared" si="135"/>
        <v>-122.56183982274638</v>
      </c>
      <c r="BH182">
        <f t="shared" si="150"/>
        <v>57.438160177253621</v>
      </c>
      <c r="BI182">
        <f t="shared" si="151"/>
        <v>57.438160177253621</v>
      </c>
      <c r="BJ182">
        <f t="shared" si="136"/>
        <v>0</v>
      </c>
      <c r="BK182">
        <f t="shared" si="152"/>
        <v>0</v>
      </c>
      <c r="BM182">
        <f t="shared" si="153"/>
        <v>-13.694307426983057</v>
      </c>
      <c r="BN182">
        <f t="shared" si="137"/>
        <v>-176.55750758117742</v>
      </c>
      <c r="BQ182" s="66">
        <f t="shared" si="154"/>
        <v>27.852716067570263</v>
      </c>
      <c r="BR182" s="71"/>
      <c r="BS182" s="71"/>
      <c r="BT182" s="71">
        <v>5248.0749999999998</v>
      </c>
      <c r="BU182" s="71">
        <v>1.6024099999999999</v>
      </c>
      <c r="BV182" s="71">
        <v>-238.28</v>
      </c>
      <c r="BW182" s="75"/>
      <c r="BY182" s="71"/>
      <c r="BZ182" s="71"/>
      <c r="CA182" s="71"/>
      <c r="CC182" s="71"/>
    </row>
    <row r="183" spans="1:81" ht="13" x14ac:dyDescent="0.3">
      <c r="A183">
        <f t="shared" si="158"/>
        <v>74500</v>
      </c>
      <c r="B183">
        <f t="shared" si="138"/>
        <v>74.5</v>
      </c>
      <c r="C183">
        <f t="shared" si="107"/>
        <v>1.000273856359857</v>
      </c>
      <c r="D183">
        <f t="shared" si="108"/>
        <v>2.3400593014010582E-2</v>
      </c>
      <c r="F183">
        <f t="shared" si="109"/>
        <v>1.3587832628212587E-2</v>
      </c>
      <c r="G183">
        <f t="shared" si="110"/>
        <v>3.6585405657587868E-2</v>
      </c>
      <c r="H183">
        <f t="shared" si="111"/>
        <v>-3.1050072443424122</v>
      </c>
      <c r="J183">
        <f t="shared" si="112"/>
        <v>15</v>
      </c>
      <c r="M183">
        <f t="shared" si="113"/>
        <v>1.4743326179476369E-2</v>
      </c>
      <c r="N183">
        <f t="shared" si="114"/>
        <v>-1.5707963250000001</v>
      </c>
      <c r="O183">
        <f t="shared" si="115"/>
        <v>25.674958703352885</v>
      </c>
      <c r="P183">
        <f t="shared" si="116"/>
        <v>1.5318380166890604</v>
      </c>
      <c r="Q183">
        <f t="shared" si="117"/>
        <v>9.904574207762165</v>
      </c>
      <c r="R183">
        <f t="shared" si="118"/>
        <v>1.4696605529316868</v>
      </c>
      <c r="S183">
        <f t="shared" si="119"/>
        <v>0.99971404494930682</v>
      </c>
      <c r="T183">
        <f t="shared" si="120"/>
        <v>-2.3915211900144184E-2</v>
      </c>
      <c r="U183">
        <f t="shared" si="121"/>
        <v>0.93730592137556346</v>
      </c>
      <c r="V183">
        <f t="shared" si="122"/>
        <v>-0.35597850414669446</v>
      </c>
      <c r="X183">
        <f t="shared" si="139"/>
        <v>-2.898828843589591</v>
      </c>
      <c r="Y183">
        <f t="shared" si="123"/>
        <v>-116.35616160987922</v>
      </c>
      <c r="Z183">
        <f t="shared" si="140"/>
        <v>63.643838390120777</v>
      </c>
      <c r="AC183">
        <v>1</v>
      </c>
      <c r="AD183">
        <f t="shared" si="124"/>
        <v>25.655477084218802</v>
      </c>
      <c r="AE183">
        <f t="shared" si="125"/>
        <v>-1.2009259677763758E-3</v>
      </c>
      <c r="AF183">
        <f t="shared" si="126"/>
        <v>3.2298714034649997E-3</v>
      </c>
      <c r="AG183">
        <f t="shared" si="141"/>
        <v>6877.2910944588266</v>
      </c>
      <c r="AH183">
        <f t="shared" si="142"/>
        <v>-2866.7139668036484</v>
      </c>
      <c r="AJ183">
        <f t="shared" si="127"/>
        <v>21000</v>
      </c>
      <c r="AK183">
        <f t="shared" si="128"/>
        <v>502.31521783453502</v>
      </c>
      <c r="AL183">
        <v>1</v>
      </c>
      <c r="AM183">
        <f t="shared" si="129"/>
        <v>9.853963174127836</v>
      </c>
      <c r="AN183">
        <f t="shared" si="143"/>
        <v>264.52231934217576</v>
      </c>
      <c r="AO183">
        <f t="shared" si="144"/>
        <v>-2104.2779756981486</v>
      </c>
      <c r="AQ183">
        <f t="shared" si="130"/>
        <v>0.45040987298441582</v>
      </c>
      <c r="AR183">
        <f t="shared" si="131"/>
        <v>-67.111071074677952</v>
      </c>
      <c r="AT183">
        <f t="shared" si="156"/>
        <v>-189290.64496859958</v>
      </c>
      <c r="AU183">
        <f t="shared" si="157"/>
        <v>-462833.56771514675</v>
      </c>
      <c r="AV183">
        <f t="shared" si="145"/>
        <v>-1.9590218324161046</v>
      </c>
      <c r="AW183">
        <f t="shared" si="146"/>
        <v>-136768.16929114953</v>
      </c>
      <c r="AX183">
        <f t="shared" si="147"/>
        <v>-33824.517032420808</v>
      </c>
      <c r="AY183">
        <f t="shared" si="155"/>
        <v>-2.899144727463669</v>
      </c>
      <c r="BA183">
        <f t="shared" si="132"/>
        <v>3.5492257609118658</v>
      </c>
      <c r="BB183">
        <f t="shared" si="148"/>
        <v>11.002672500898797</v>
      </c>
      <c r="BC183">
        <f t="shared" si="149"/>
        <v>0.94012289504756441</v>
      </c>
      <c r="BD183">
        <f t="shared" si="133"/>
        <v>-126.1349258286043</v>
      </c>
      <c r="BF183">
        <f t="shared" si="134"/>
        <v>-2.8101201836847478</v>
      </c>
      <c r="BG183">
        <f t="shared" si="135"/>
        <v>-122.69798127091704</v>
      </c>
      <c r="BH183">
        <f t="shared" si="150"/>
        <v>57.30201872908296</v>
      </c>
      <c r="BI183">
        <f t="shared" si="151"/>
        <v>57.30201872908296</v>
      </c>
      <c r="BJ183">
        <f t="shared" si="136"/>
        <v>0</v>
      </c>
      <c r="BK183">
        <f t="shared" si="152"/>
        <v>0</v>
      </c>
      <c r="BM183">
        <f t="shared" si="153"/>
        <v>-13.812792684583544</v>
      </c>
      <c r="BN183">
        <f t="shared" si="137"/>
        <v>-176.56305544231276</v>
      </c>
      <c r="BQ183" s="66">
        <f t="shared" si="154"/>
        <v>27.904633301183935</v>
      </c>
      <c r="BR183" s="71"/>
      <c r="BS183" s="71"/>
      <c r="BT183" s="71">
        <v>5370.3180000000002</v>
      </c>
      <c r="BU183" s="71">
        <v>1.48515</v>
      </c>
      <c r="BV183" s="71">
        <v>-237.34699999999998</v>
      </c>
      <c r="BW183" s="75"/>
      <c r="BY183" s="71"/>
      <c r="BZ183" s="71"/>
      <c r="CA183" s="71"/>
      <c r="CC183" s="71"/>
    </row>
    <row r="184" spans="1:81" ht="13" x14ac:dyDescent="0.3">
      <c r="A184">
        <f t="shared" si="158"/>
        <v>75000</v>
      </c>
      <c r="B184">
        <f t="shared" si="138"/>
        <v>75</v>
      </c>
      <c r="C184">
        <f t="shared" si="107"/>
        <v>1.0002775441077805</v>
      </c>
      <c r="D184">
        <f t="shared" si="108"/>
        <v>2.3557586069179192E-2</v>
      </c>
      <c r="F184">
        <f t="shared" si="109"/>
        <v>1.3404943928282039E-2</v>
      </c>
      <c r="G184">
        <f t="shared" si="110"/>
        <v>3.633509978617476E-2</v>
      </c>
      <c r="H184">
        <f t="shared" si="111"/>
        <v>-3.1052575502138255</v>
      </c>
      <c r="J184">
        <f t="shared" si="112"/>
        <v>15</v>
      </c>
      <c r="M184">
        <f t="shared" si="113"/>
        <v>1.4645037338279859E-2</v>
      </c>
      <c r="N184">
        <f t="shared" si="114"/>
        <v>-1.5707963250000001</v>
      </c>
      <c r="O184">
        <f t="shared" si="115"/>
        <v>25.847013333419174</v>
      </c>
      <c r="P184">
        <f t="shared" si="116"/>
        <v>1.5320974786589328</v>
      </c>
      <c r="Q184">
        <f t="shared" si="117"/>
        <v>9.9703724889222762</v>
      </c>
      <c r="R184">
        <f t="shared" si="118"/>
        <v>1.4703302486234839</v>
      </c>
      <c r="S184">
        <f t="shared" si="119"/>
        <v>0.99971019542018458</v>
      </c>
      <c r="T184">
        <f t="shared" si="120"/>
        <v>-2.4075654868757661E-2</v>
      </c>
      <c r="U184">
        <f t="shared" si="121"/>
        <v>0.93654025012618924</v>
      </c>
      <c r="V184">
        <f t="shared" si="122"/>
        <v>-0.3581690527364923</v>
      </c>
      <c r="X184">
        <f t="shared" si="139"/>
        <v>-2.9662083612242856</v>
      </c>
      <c r="Y184">
        <f t="shared" si="123"/>
        <v>-116.44297312197567</v>
      </c>
      <c r="Z184">
        <f t="shared" si="140"/>
        <v>63.557026878024331</v>
      </c>
      <c r="AC184">
        <v>1</v>
      </c>
      <c r="AD184">
        <f t="shared" si="124"/>
        <v>25.827661494179999</v>
      </c>
      <c r="AE184">
        <f t="shared" si="125"/>
        <v>-1.2170998727520587E-3</v>
      </c>
      <c r="AF184">
        <f t="shared" si="126"/>
        <v>3.25154839275E-3</v>
      </c>
      <c r="AG184">
        <f t="shared" si="141"/>
        <v>6866.0597703188405</v>
      </c>
      <c r="AH184">
        <f t="shared" si="142"/>
        <v>-2877.6076326053599</v>
      </c>
      <c r="AJ184">
        <f t="shared" si="127"/>
        <v>21000</v>
      </c>
      <c r="AK184">
        <f t="shared" si="128"/>
        <v>505.68646090725002</v>
      </c>
      <c r="AL184">
        <v>1</v>
      </c>
      <c r="AM184">
        <f t="shared" si="129"/>
        <v>9.9200971551622494</v>
      </c>
      <c r="AN184">
        <f t="shared" si="143"/>
        <v>261.71307232274592</v>
      </c>
      <c r="AO184">
        <f t="shared" si="144"/>
        <v>-2090.5326433103937</v>
      </c>
      <c r="AQ184">
        <f t="shared" si="130"/>
        <v>0.44442469223590064</v>
      </c>
      <c r="AR184">
        <f t="shared" si="131"/>
        <v>-66.663703835385093</v>
      </c>
      <c r="AT184">
        <f t="shared" si="156"/>
        <v>-188780.53647415008</v>
      </c>
      <c r="AU184">
        <f t="shared" si="157"/>
        <v>-458995.85493108368</v>
      </c>
      <c r="AV184">
        <f t="shared" si="145"/>
        <v>-1.9609976597634846</v>
      </c>
      <c r="AW184">
        <f t="shared" si="146"/>
        <v>-134931.09445982537</v>
      </c>
      <c r="AX184">
        <f t="shared" si="147"/>
        <v>-33415.207089193886</v>
      </c>
      <c r="AY184">
        <f t="shared" si="155"/>
        <v>-2.8988303162177034</v>
      </c>
      <c r="BA184">
        <f t="shared" si="132"/>
        <v>3.5703325658464022</v>
      </c>
      <c r="BB184">
        <f t="shared" si="148"/>
        <v>11.054173424681233</v>
      </c>
      <c r="BC184">
        <f t="shared" si="149"/>
        <v>0.93783265645421876</v>
      </c>
      <c r="BD184">
        <f t="shared" si="133"/>
        <v>-126.26614683423092</v>
      </c>
      <c r="BF184">
        <f t="shared" si="134"/>
        <v>-2.8762909770627463</v>
      </c>
      <c r="BG184">
        <f t="shared" si="135"/>
        <v>-122.83454870709508</v>
      </c>
      <c r="BH184">
        <f t="shared" si="150"/>
        <v>57.165451292904919</v>
      </c>
      <c r="BI184">
        <f t="shared" si="151"/>
        <v>57.165451292904919</v>
      </c>
      <c r="BJ184">
        <f t="shared" si="136"/>
        <v>0</v>
      </c>
      <c r="BK184">
        <f t="shared" si="152"/>
        <v>0</v>
      </c>
      <c r="BM184">
        <f t="shared" si="153"/>
        <v>-13.930464401743981</v>
      </c>
      <c r="BN184">
        <f t="shared" si="137"/>
        <v>-176.56840187286417</v>
      </c>
      <c r="BQ184" s="66">
        <f t="shared" si="154"/>
        <v>27.95613422496637</v>
      </c>
      <c r="BR184" s="71"/>
      <c r="BS184" s="71"/>
      <c r="BT184" s="71">
        <v>5495.4089999999997</v>
      </c>
      <c r="BU184" s="71">
        <v>1.35836</v>
      </c>
      <c r="BV184" s="71">
        <v>-235.61199999999999</v>
      </c>
      <c r="BW184" s="75"/>
      <c r="BY184" s="71"/>
      <c r="BZ184" s="71"/>
      <c r="CA184" s="71"/>
      <c r="CC184" s="71"/>
    </row>
    <row r="185" spans="1:81" ht="13" x14ac:dyDescent="0.3">
      <c r="A185">
        <f t="shared" si="158"/>
        <v>75500</v>
      </c>
      <c r="B185">
        <f t="shared" si="138"/>
        <v>75.5</v>
      </c>
      <c r="C185">
        <f t="shared" si="107"/>
        <v>1.0002812565091816</v>
      </c>
      <c r="D185">
        <f t="shared" si="108"/>
        <v>2.3714577962902408E-2</v>
      </c>
      <c r="F185">
        <f t="shared" si="109"/>
        <v>1.3225738148624194E-2</v>
      </c>
      <c r="G185">
        <f t="shared" si="110"/>
        <v>3.6088237278505908E-2</v>
      </c>
      <c r="H185">
        <f t="shared" si="111"/>
        <v>-3.1055044127214941</v>
      </c>
      <c r="J185">
        <f t="shared" si="112"/>
        <v>15</v>
      </c>
      <c r="M185">
        <f t="shared" si="113"/>
        <v>1.4548050336039597E-2</v>
      </c>
      <c r="N185">
        <f t="shared" si="114"/>
        <v>-1.5707963250000001</v>
      </c>
      <c r="O185">
        <f t="shared" si="115"/>
        <v>26.019069680507183</v>
      </c>
      <c r="P185">
        <f t="shared" si="116"/>
        <v>1.5323535091566174</v>
      </c>
      <c r="Q185">
        <f t="shared" si="117"/>
        <v>10.036175183083632</v>
      </c>
      <c r="R185">
        <f t="shared" si="118"/>
        <v>1.4709911628205861</v>
      </c>
      <c r="S185">
        <f t="shared" si="119"/>
        <v>0.99970632018661965</v>
      </c>
      <c r="T185">
        <f t="shared" si="120"/>
        <v>-2.4236096597632765E-2</v>
      </c>
      <c r="U185">
        <f t="shared" si="121"/>
        <v>0.93577134948665042</v>
      </c>
      <c r="V185">
        <f t="shared" si="122"/>
        <v>-0.3603560149202148</v>
      </c>
      <c r="X185">
        <f t="shared" si="139"/>
        <v>-3.0331943066634404</v>
      </c>
      <c r="Y185">
        <f t="shared" si="123"/>
        <v>-116.53008160490265</v>
      </c>
      <c r="Z185">
        <f t="shared" si="140"/>
        <v>63.469918395097352</v>
      </c>
      <c r="AC185">
        <v>1</v>
      </c>
      <c r="AD185">
        <f t="shared" si="124"/>
        <v>25.999845904141203</v>
      </c>
      <c r="AE185">
        <f t="shared" si="125"/>
        <v>-1.2333819643830974E-3</v>
      </c>
      <c r="AF185">
        <f t="shared" si="126"/>
        <v>3.2732253820349998E-3</v>
      </c>
      <c r="AG185">
        <f t="shared" si="141"/>
        <v>6854.7903121513409</v>
      </c>
      <c r="AH185">
        <f t="shared" si="142"/>
        <v>-2888.4582138848732</v>
      </c>
      <c r="AJ185">
        <f t="shared" si="127"/>
        <v>21000</v>
      </c>
      <c r="AK185">
        <f t="shared" si="128"/>
        <v>509.05770397996508</v>
      </c>
      <c r="AL185">
        <v>1</v>
      </c>
      <c r="AM185">
        <f t="shared" si="129"/>
        <v>9.9862311361966647</v>
      </c>
      <c r="AN185">
        <f t="shared" si="143"/>
        <v>258.9587143084695</v>
      </c>
      <c r="AO185">
        <f t="shared" si="144"/>
        <v>-2076.9638718367296</v>
      </c>
      <c r="AQ185">
        <f t="shared" si="130"/>
        <v>0.43855802122620824</v>
      </c>
      <c r="AR185">
        <f t="shared" si="131"/>
        <v>-66.222261205157437</v>
      </c>
      <c r="AT185">
        <f t="shared" si="156"/>
        <v>-188274.01104484891</v>
      </c>
      <c r="AU185">
        <f t="shared" si="157"/>
        <v>-455206.47107654472</v>
      </c>
      <c r="AV185">
        <f t="shared" si="145"/>
        <v>-1.9629727396107228</v>
      </c>
      <c r="AW185">
        <f t="shared" si="146"/>
        <v>-133130.0036996342</v>
      </c>
      <c r="AX185">
        <f t="shared" si="147"/>
        <v>-33015.218373637261</v>
      </c>
      <c r="AY185">
        <f t="shared" si="155"/>
        <v>-2.8985044631845622</v>
      </c>
      <c r="BA185">
        <f t="shared" si="132"/>
        <v>3.5913947650532267</v>
      </c>
      <c r="BB185">
        <f t="shared" si="148"/>
        <v>11.105262905425203</v>
      </c>
      <c r="BC185">
        <f t="shared" si="149"/>
        <v>0.9355317235738394</v>
      </c>
      <c r="BD185">
        <f t="shared" si="133"/>
        <v>-126.39798057737019</v>
      </c>
      <c r="BF185">
        <f t="shared" si="134"/>
        <v>-2.9420708935222213</v>
      </c>
      <c r="BG185">
        <f t="shared" si="135"/>
        <v>-122.97153165712156</v>
      </c>
      <c r="BH185">
        <f t="shared" si="150"/>
        <v>57.02846834287844</v>
      </c>
      <c r="BI185">
        <f t="shared" si="151"/>
        <v>57.02846834287844</v>
      </c>
      <c r="BJ185">
        <f t="shared" si="136"/>
        <v>0</v>
      </c>
      <c r="BK185">
        <f t="shared" si="152"/>
        <v>0</v>
      </c>
      <c r="BM185">
        <f t="shared" si="153"/>
        <v>-14.047333798947424</v>
      </c>
      <c r="BN185">
        <f t="shared" si="137"/>
        <v>-176.57355107975138</v>
      </c>
      <c r="BQ185" s="66">
        <f t="shared" si="154"/>
        <v>28.007223705710338</v>
      </c>
      <c r="BR185" s="71"/>
      <c r="BS185" s="71"/>
      <c r="BT185" s="71">
        <v>5623.4129999999996</v>
      </c>
      <c r="BU185" s="71">
        <v>1.07298</v>
      </c>
      <c r="BV185" s="71">
        <v>-235.13800000000001</v>
      </c>
      <c r="BW185" s="75"/>
      <c r="BY185" s="71"/>
      <c r="BZ185" s="71"/>
      <c r="CA185" s="71"/>
      <c r="CC185" s="71"/>
    </row>
    <row r="186" spans="1:81" ht="13" x14ac:dyDescent="0.3">
      <c r="A186">
        <f t="shared" si="158"/>
        <v>76000</v>
      </c>
      <c r="B186">
        <f t="shared" si="138"/>
        <v>76</v>
      </c>
      <c r="C186">
        <f t="shared" si="107"/>
        <v>1.0002849935637863</v>
      </c>
      <c r="D186">
        <f t="shared" si="108"/>
        <v>2.3871568687454613E-2</v>
      </c>
      <c r="F186">
        <f t="shared" si="109"/>
        <v>1.3050116667619186E-2</v>
      </c>
      <c r="G186">
        <f t="shared" si="110"/>
        <v>3.5844746768111675E-2</v>
      </c>
      <c r="H186">
        <f t="shared" si="111"/>
        <v>-3.1057479032318884</v>
      </c>
      <c r="J186">
        <f t="shared" si="112"/>
        <v>15</v>
      </c>
      <c r="M186">
        <f t="shared" si="113"/>
        <v>1.445233947856565E-2</v>
      </c>
      <c r="N186">
        <f t="shared" si="114"/>
        <v>-1.5707963250000001</v>
      </c>
      <c r="O186">
        <f t="shared" si="115"/>
        <v>26.191127710778225</v>
      </c>
      <c r="P186">
        <f t="shared" si="116"/>
        <v>1.5326061757755813</v>
      </c>
      <c r="Q186">
        <f t="shared" si="117"/>
        <v>10.101982204009481</v>
      </c>
      <c r="R186">
        <f t="shared" si="118"/>
        <v>1.4716434665549258</v>
      </c>
      <c r="S186">
        <f t="shared" si="119"/>
        <v>0.99970241924950998</v>
      </c>
      <c r="T186">
        <f t="shared" si="120"/>
        <v>-2.4396537078523919E-2</v>
      </c>
      <c r="U186">
        <f t="shared" si="121"/>
        <v>0.93499924944200963</v>
      </c>
      <c r="V186">
        <f t="shared" si="122"/>
        <v>-0.36253937863010716</v>
      </c>
      <c r="X186">
        <f t="shared" si="139"/>
        <v>-3.0997927221451742</v>
      </c>
      <c r="Y186">
        <f t="shared" si="123"/>
        <v>-116.6174767839683</v>
      </c>
      <c r="Z186">
        <f t="shared" si="140"/>
        <v>63.3825232160317</v>
      </c>
      <c r="AC186">
        <v>1</v>
      </c>
      <c r="AD186">
        <f t="shared" si="124"/>
        <v>26.172030314102404</v>
      </c>
      <c r="AE186">
        <f t="shared" si="125"/>
        <v>-1.2497722426694918E-3</v>
      </c>
      <c r="AF186">
        <f t="shared" si="126"/>
        <v>3.2949023713200001E-3</v>
      </c>
      <c r="AG186">
        <f t="shared" si="141"/>
        <v>6843.4832755183579</v>
      </c>
      <c r="AH186">
        <f t="shared" si="142"/>
        <v>-2899.265096309578</v>
      </c>
      <c r="AJ186">
        <f t="shared" si="127"/>
        <v>21000</v>
      </c>
      <c r="AK186">
        <f t="shared" si="128"/>
        <v>512.42894705267997</v>
      </c>
      <c r="AL186">
        <v>1</v>
      </c>
      <c r="AM186">
        <f t="shared" si="129"/>
        <v>10.05236511723108</v>
      </c>
      <c r="AN186">
        <f t="shared" si="143"/>
        <v>256.25782931621234</v>
      </c>
      <c r="AO186">
        <f t="shared" si="144"/>
        <v>-2063.5683173829684</v>
      </c>
      <c r="AQ186">
        <f t="shared" si="130"/>
        <v>0.43280675178532785</v>
      </c>
      <c r="AR186">
        <f t="shared" si="131"/>
        <v>-65.78662627136984</v>
      </c>
      <c r="AT186">
        <f t="shared" si="156"/>
        <v>-187770.96358517098</v>
      </c>
      <c r="AU186">
        <f t="shared" si="157"/>
        <v>-451464.49814979447</v>
      </c>
      <c r="AV186">
        <f t="shared" si="145"/>
        <v>-1.9649470039913024</v>
      </c>
      <c r="AW186">
        <f t="shared" si="146"/>
        <v>-131363.97007574743</v>
      </c>
      <c r="AX186">
        <f t="shared" si="147"/>
        <v>-32624.267525959294</v>
      </c>
      <c r="AY186">
        <f t="shared" si="155"/>
        <v>-2.8981673502769758</v>
      </c>
      <c r="BA186">
        <f t="shared" si="132"/>
        <v>3.6124120804077973</v>
      </c>
      <c r="BB186">
        <f t="shared" si="148"/>
        <v>11.15594571898264</v>
      </c>
      <c r="BC186">
        <f t="shared" si="149"/>
        <v>0.93322034628567341</v>
      </c>
      <c r="BD186">
        <f t="shared" si="133"/>
        <v>-126.53041274099581</v>
      </c>
      <c r="BF186">
        <f t="shared" si="134"/>
        <v>-3.0074661445295092</v>
      </c>
      <c r="BG186">
        <f t="shared" si="135"/>
        <v>-123.10891989341037</v>
      </c>
      <c r="BH186">
        <f t="shared" si="150"/>
        <v>56.891080106589627</v>
      </c>
      <c r="BI186">
        <f t="shared" si="151"/>
        <v>56.891080106589627</v>
      </c>
      <c r="BJ186">
        <f t="shared" si="136"/>
        <v>0</v>
      </c>
      <c r="BK186">
        <f t="shared" si="152"/>
        <v>0</v>
      </c>
      <c r="BM186">
        <f t="shared" si="153"/>
        <v>-14.163411863512149</v>
      </c>
      <c r="BN186">
        <f t="shared" si="137"/>
        <v>-176.57850715241457</v>
      </c>
      <c r="BQ186" s="66">
        <f t="shared" si="154"/>
        <v>28.057906519267775</v>
      </c>
      <c r="BR186" s="71"/>
      <c r="BS186" s="71"/>
      <c r="BT186" s="71">
        <v>5754.3990000000003</v>
      </c>
      <c r="BU186" s="71">
        <v>0.86915299999999995</v>
      </c>
      <c r="BV186" s="71">
        <v>-234.68899999999999</v>
      </c>
      <c r="BW186" s="75"/>
      <c r="BY186" s="71"/>
      <c r="BZ186" s="71"/>
      <c r="CA186" s="71"/>
      <c r="CC186" s="71"/>
    </row>
    <row r="187" spans="1:81" ht="13" x14ac:dyDescent="0.3">
      <c r="A187">
        <f t="shared" si="158"/>
        <v>76500</v>
      </c>
      <c r="B187">
        <f t="shared" si="138"/>
        <v>76.5</v>
      </c>
      <c r="C187">
        <f t="shared" si="107"/>
        <v>1.000288755271318</v>
      </c>
      <c r="D187">
        <f t="shared" si="108"/>
        <v>2.4028558235110541E-2</v>
      </c>
      <c r="F187">
        <f t="shared" si="109"/>
        <v>1.287798415556405E-2</v>
      </c>
      <c r="G187">
        <f t="shared" si="110"/>
        <v>3.5604558867193561E-2</v>
      </c>
      <c r="H187">
        <f t="shared" si="111"/>
        <v>-3.1059880911328066</v>
      </c>
      <c r="J187">
        <f t="shared" si="112"/>
        <v>15</v>
      </c>
      <c r="M187">
        <f t="shared" si="113"/>
        <v>1.4357879743411626E-2</v>
      </c>
      <c r="N187">
        <f t="shared" si="114"/>
        <v>-1.5707963250000001</v>
      </c>
      <c r="O187">
        <f t="shared" si="115"/>
        <v>26.363187391276675</v>
      </c>
      <c r="P187">
        <f t="shared" si="116"/>
        <v>1.5328555443464362</v>
      </c>
      <c r="Q187">
        <f t="shared" si="117"/>
        <v>10.167793467690011</v>
      </c>
      <c r="R187">
        <f t="shared" si="118"/>
        <v>1.4722873264601524</v>
      </c>
      <c r="S187">
        <f t="shared" si="119"/>
        <v>0.9996984926097584</v>
      </c>
      <c r="T187">
        <f t="shared" si="120"/>
        <v>-2.4556976303185936E-2</v>
      </c>
      <c r="U187">
        <f t="shared" si="121"/>
        <v>0.93422397996156425</v>
      </c>
      <c r="V187">
        <f t="shared" si="122"/>
        <v>-0.36471913197532663</v>
      </c>
      <c r="X187">
        <f t="shared" si="139"/>
        <v>-3.166009512095294</v>
      </c>
      <c r="Y187">
        <f t="shared" si="123"/>
        <v>-116.70514863425453</v>
      </c>
      <c r="Z187">
        <f t="shared" si="140"/>
        <v>63.294851365745473</v>
      </c>
      <c r="AC187">
        <v>1</v>
      </c>
      <c r="AD187">
        <f t="shared" si="124"/>
        <v>26.344214724063601</v>
      </c>
      <c r="AE187">
        <f t="shared" si="125"/>
        <v>-1.2662707076112421E-3</v>
      </c>
      <c r="AF187">
        <f t="shared" si="126"/>
        <v>3.3165793606049999E-3</v>
      </c>
      <c r="AG187">
        <f t="shared" si="141"/>
        <v>6832.1392147852957</v>
      </c>
      <c r="AH187">
        <f t="shared" si="142"/>
        <v>-2910.0276847420664</v>
      </c>
      <c r="AJ187">
        <f t="shared" si="127"/>
        <v>21000</v>
      </c>
      <c r="AK187">
        <f t="shared" si="128"/>
        <v>515.80019012539503</v>
      </c>
      <c r="AL187">
        <v>1</v>
      </c>
      <c r="AM187">
        <f t="shared" si="129"/>
        <v>10.118499098265495</v>
      </c>
      <c r="AN187">
        <f t="shared" si="143"/>
        <v>253.60904658018822</v>
      </c>
      <c r="AO187">
        <f t="shared" si="144"/>
        <v>-2050.3427190082116</v>
      </c>
      <c r="AQ187">
        <f t="shared" si="130"/>
        <v>0.42716787697565145</v>
      </c>
      <c r="AR187">
        <f t="shared" si="131"/>
        <v>-65.35668517727467</v>
      </c>
      <c r="AT187">
        <f t="shared" si="156"/>
        <v>-187271.29284525881</v>
      </c>
      <c r="AU187">
        <f t="shared" si="157"/>
        <v>-447769.04209606681</v>
      </c>
      <c r="AV187">
        <f t="shared" si="145"/>
        <v>-1.9669203865727523</v>
      </c>
      <c r="AW187">
        <f t="shared" si="146"/>
        <v>-129632.09620113432</v>
      </c>
      <c r="AX187">
        <f t="shared" si="147"/>
        <v>-32242.081726174911</v>
      </c>
      <c r="AY187">
        <f t="shared" si="155"/>
        <v>-2.8978191548924204</v>
      </c>
      <c r="BA187">
        <f t="shared" si="132"/>
        <v>3.6333842361815587</v>
      </c>
      <c r="BB187">
        <f t="shared" si="148"/>
        <v>11.2062265525178</v>
      </c>
      <c r="BC187">
        <f t="shared" si="149"/>
        <v>0.93089876831966811</v>
      </c>
      <c r="BD187">
        <f t="shared" si="133"/>
        <v>-126.66342936041048</v>
      </c>
      <c r="BF187">
        <f t="shared" si="134"/>
        <v>-3.0724828035539629</v>
      </c>
      <c r="BG187">
        <f t="shared" si="135"/>
        <v>-123.24670342733484</v>
      </c>
      <c r="BH187">
        <f t="shared" si="150"/>
        <v>56.753296572665164</v>
      </c>
      <c r="BI187">
        <f t="shared" si="151"/>
        <v>56.753296572665164</v>
      </c>
      <c r="BJ187">
        <f t="shared" si="136"/>
        <v>0</v>
      </c>
      <c r="BK187">
        <f t="shared" si="152"/>
        <v>0</v>
      </c>
      <c r="BM187">
        <f t="shared" si="153"/>
        <v>-14.278709356071762</v>
      </c>
      <c r="BN187">
        <f t="shared" si="137"/>
        <v>-176.58327406692439</v>
      </c>
      <c r="BQ187" s="66">
        <f t="shared" si="154"/>
        <v>28.108187352802933</v>
      </c>
      <c r="BR187" s="71"/>
      <c r="BS187" s="71"/>
      <c r="BT187" s="71">
        <v>5888.4369999999999</v>
      </c>
      <c r="BU187" s="71">
        <v>0.80323599999999995</v>
      </c>
      <c r="BV187" s="71">
        <v>-233.95400000000001</v>
      </c>
      <c r="BW187" s="75"/>
      <c r="BY187" s="71"/>
      <c r="BZ187" s="71"/>
      <c r="CA187" s="71"/>
      <c r="CC187" s="71"/>
    </row>
    <row r="188" spans="1:81" ht="13" x14ac:dyDescent="0.3">
      <c r="A188">
        <f t="shared" si="158"/>
        <v>77000</v>
      </c>
      <c r="B188">
        <f t="shared" si="138"/>
        <v>77</v>
      </c>
      <c r="C188">
        <f t="shared" si="107"/>
        <v>1.0002925416314985</v>
      </c>
      <c r="D188">
        <f t="shared" si="108"/>
        <v>2.4185546598145275E-2</v>
      </c>
      <c r="F188">
        <f t="shared" si="109"/>
        <v>1.270924844319888E-2</v>
      </c>
      <c r="G188">
        <f t="shared" si="110"/>
        <v>3.5367606097904541E-2</v>
      </c>
      <c r="H188">
        <f t="shared" si="111"/>
        <v>-3.1062250439020955</v>
      </c>
      <c r="J188">
        <f t="shared" si="112"/>
        <v>15</v>
      </c>
      <c r="M188">
        <f t="shared" si="113"/>
        <v>1.4264646758064797E-2</v>
      </c>
      <c r="N188">
        <f t="shared" si="114"/>
        <v>-1.5707963250000001</v>
      </c>
      <c r="O188">
        <f t="shared" si="115"/>
        <v>26.535248689901348</v>
      </c>
      <c r="P188">
        <f t="shared" si="116"/>
        <v>1.5331016789940102</v>
      </c>
      <c r="Q188">
        <f t="shared" si="117"/>
        <v>10.233608892271095</v>
      </c>
      <c r="R188">
        <f t="shared" si="118"/>
        <v>1.4729229049116506</v>
      </c>
      <c r="S188">
        <f t="shared" si="119"/>
        <v>0.99969454026827442</v>
      </c>
      <c r="T188">
        <f t="shared" si="120"/>
        <v>-2.4717414263374017E-2</v>
      </c>
      <c r="U188">
        <f t="shared" si="121"/>
        <v>0.93344557099636005</v>
      </c>
      <c r="V188">
        <f t="shared" si="122"/>
        <v>-0.36689526324155336</v>
      </c>
      <c r="X188">
        <f t="shared" si="139"/>
        <v>-3.231850447213283</v>
      </c>
      <c r="Y188">
        <f t="shared" si="123"/>
        <v>-116.79308737324014</v>
      </c>
      <c r="Z188">
        <f t="shared" si="140"/>
        <v>63.206912626759859</v>
      </c>
      <c r="AC188">
        <v>1</v>
      </c>
      <c r="AD188">
        <f t="shared" si="124"/>
        <v>26.516399134024802</v>
      </c>
      <c r="AE188">
        <f t="shared" si="125"/>
        <v>-1.2828773592083479E-3</v>
      </c>
      <c r="AF188">
        <f t="shared" si="126"/>
        <v>3.3382563498900002E-3</v>
      </c>
      <c r="AG188">
        <f t="shared" si="141"/>
        <v>6820.7586830705832</v>
      </c>
      <c r="AH188">
        <f t="shared" si="142"/>
        <v>-2920.7454027478389</v>
      </c>
      <c r="AJ188">
        <f t="shared" si="127"/>
        <v>21000</v>
      </c>
      <c r="AK188">
        <f t="shared" si="128"/>
        <v>519.17143319810998</v>
      </c>
      <c r="AL188">
        <v>1</v>
      </c>
      <c r="AM188">
        <f t="shared" si="129"/>
        <v>10.18463307929991</v>
      </c>
      <c r="AN188">
        <f t="shared" si="143"/>
        <v>251.01103883596076</v>
      </c>
      <c r="AO188">
        <f t="shared" si="144"/>
        <v>-2037.2838962000508</v>
      </c>
      <c r="AQ188">
        <f t="shared" si="130"/>
        <v>0.42163848716110808</v>
      </c>
      <c r="AR188">
        <f t="shared" si="131"/>
        <v>-64.93232702281064</v>
      </c>
      <c r="AT188">
        <f t="shared" si="156"/>
        <v>-186774.90126917255</v>
      </c>
      <c r="AU188">
        <f t="shared" si="157"/>
        <v>-444119.23202581168</v>
      </c>
      <c r="AV188">
        <f t="shared" si="145"/>
        <v>-1.9688928226091111</v>
      </c>
      <c r="AW188">
        <f t="shared" si="146"/>
        <v>-127933.51311727313</v>
      </c>
      <c r="AX188">
        <f t="shared" si="147"/>
        <v>-31868.3982339617</v>
      </c>
      <c r="AY188">
        <f t="shared" si="155"/>
        <v>-2.8974600500623513</v>
      </c>
      <c r="BA188">
        <f t="shared" si="132"/>
        <v>3.6543109590197469</v>
      </c>
      <c r="BB188">
        <f t="shared" si="148"/>
        <v>11.256110006692449</v>
      </c>
      <c r="BC188">
        <f t="shared" si="149"/>
        <v>0.92856722745324016</v>
      </c>
      <c r="BD188">
        <f t="shared" si="133"/>
        <v>-126.79701681197172</v>
      </c>
      <c r="BF188">
        <f t="shared" si="134"/>
        <v>-3.1371268101372989</v>
      </c>
      <c r="BG188">
        <f t="shared" si="135"/>
        <v>-123.38487250189098</v>
      </c>
      <c r="BH188">
        <f t="shared" si="150"/>
        <v>56.615127498109018</v>
      </c>
      <c r="BI188">
        <f t="shared" si="151"/>
        <v>56.615127498109018</v>
      </c>
      <c r="BJ188">
        <f t="shared" si="136"/>
        <v>0</v>
      </c>
      <c r="BK188">
        <f t="shared" si="152"/>
        <v>0</v>
      </c>
      <c r="BM188">
        <f t="shared" si="153"/>
        <v>-14.393236816829749</v>
      </c>
      <c r="BN188">
        <f t="shared" si="137"/>
        <v>-176.58785568991925</v>
      </c>
      <c r="BQ188" s="66">
        <f t="shared" si="154"/>
        <v>28.158070806977587</v>
      </c>
      <c r="BR188" s="71"/>
      <c r="BS188" s="71"/>
      <c r="BT188" s="71">
        <v>6025.5959999999995</v>
      </c>
      <c r="BU188" s="71">
        <v>0.76992799999999995</v>
      </c>
      <c r="BV188" s="71">
        <v>-234.14699999999999</v>
      </c>
      <c r="BW188" s="75"/>
      <c r="BY188" s="71"/>
      <c r="BZ188" s="71"/>
      <c r="CA188" s="71"/>
      <c r="CC188" s="71"/>
    </row>
    <row r="189" spans="1:81" ht="13" x14ac:dyDescent="0.3">
      <c r="A189">
        <f t="shared" si="158"/>
        <v>77500</v>
      </c>
      <c r="B189">
        <f t="shared" si="138"/>
        <v>77.5</v>
      </c>
      <c r="C189">
        <f t="shared" si="107"/>
        <v>1.000296352644048</v>
      </c>
      <c r="D189">
        <f t="shared" si="108"/>
        <v>2.4342533768834249E-2</v>
      </c>
      <c r="F189">
        <f t="shared" si="109"/>
        <v>1.2543820396340284E-2</v>
      </c>
      <c r="G189">
        <f t="shared" si="110"/>
        <v>3.5133822826496096E-2</v>
      </c>
      <c r="H189">
        <f t="shared" si="111"/>
        <v>-3.1064588271735043</v>
      </c>
      <c r="J189">
        <f t="shared" si="112"/>
        <v>15</v>
      </c>
      <c r="M189">
        <f t="shared" si="113"/>
        <v>1.4172616778980509E-2</v>
      </c>
      <c r="N189">
        <f t="shared" si="114"/>
        <v>-1.5707963250000001</v>
      </c>
      <c r="O189">
        <f t="shared" si="115"/>
        <v>26.707311575378014</v>
      </c>
      <c r="P189">
        <f t="shared" si="116"/>
        <v>1.5333446421922146</v>
      </c>
      <c r="Q189">
        <f t="shared" si="117"/>
        <v>10.299428397985746</v>
      </c>
      <c r="R189">
        <f t="shared" si="118"/>
        <v>1.4735503601612605</v>
      </c>
      <c r="S189">
        <f t="shared" si="119"/>
        <v>0.99969056222597352</v>
      </c>
      <c r="T189">
        <f t="shared" si="120"/>
        <v>-2.4877850950843758E-2</v>
      </c>
      <c r="U189">
        <f t="shared" si="121"/>
        <v>0.93266405247673057</v>
      </c>
      <c r="V189">
        <f t="shared" si="122"/>
        <v>-0.36906776089058491</v>
      </c>
      <c r="X189">
        <f t="shared" si="139"/>
        <v>-3.2973211684075214</v>
      </c>
      <c r="Y189">
        <f t="shared" si="123"/>
        <v>-116.88128345368783</v>
      </c>
      <c r="Z189">
        <f t="shared" si="140"/>
        <v>63.118716546312172</v>
      </c>
      <c r="AC189">
        <v>1</v>
      </c>
      <c r="AD189">
        <f t="shared" si="124"/>
        <v>26.688583543986006</v>
      </c>
      <c r="AE189">
        <f t="shared" si="125"/>
        <v>-1.2995921974608094E-3</v>
      </c>
      <c r="AF189">
        <f t="shared" si="126"/>
        <v>3.359933339175E-3</v>
      </c>
      <c r="AG189">
        <f t="shared" si="141"/>
        <v>6809.3422321960752</v>
      </c>
      <c r="AH189">
        <f t="shared" si="142"/>
        <v>-2931.4176921202884</v>
      </c>
      <c r="AJ189">
        <f t="shared" si="127"/>
        <v>21000</v>
      </c>
      <c r="AK189">
        <f t="shared" si="128"/>
        <v>522.54267627082504</v>
      </c>
      <c r="AL189">
        <v>1</v>
      </c>
      <c r="AM189">
        <f t="shared" si="129"/>
        <v>10.250767060334326</v>
      </c>
      <c r="AN189">
        <f t="shared" si="143"/>
        <v>248.46252067968848</v>
      </c>
      <c r="AO189">
        <f t="shared" si="144"/>
        <v>-2024.3887464401621</v>
      </c>
      <c r="AQ189">
        <f t="shared" si="130"/>
        <v>0.41621576625322565</v>
      </c>
      <c r="AR189">
        <f t="shared" si="131"/>
        <v>-64.513443769249974</v>
      </c>
      <c r="AT189">
        <f t="shared" si="156"/>
        <v>-186281.6948499328</v>
      </c>
      <c r="AU189">
        <f t="shared" si="157"/>
        <v>-440514.21946329472</v>
      </c>
      <c r="AV189">
        <f t="shared" si="145"/>
        <v>-1.9708642488951948</v>
      </c>
      <c r="AW189">
        <f t="shared" si="146"/>
        <v>-126267.37922383871</v>
      </c>
      <c r="AX189">
        <f t="shared" si="147"/>
        <v>-31502.963951467445</v>
      </c>
      <c r="AY189">
        <f t="shared" si="155"/>
        <v>-2.8970902045957332</v>
      </c>
      <c r="BA189">
        <f t="shared" si="132"/>
        <v>3.6751919779203934</v>
      </c>
      <c r="BB189">
        <f t="shared" si="148"/>
        <v>11.30560059778573</v>
      </c>
      <c r="BC189">
        <f t="shared" si="149"/>
        <v>0.92622595570053834</v>
      </c>
      <c r="BD189">
        <f t="shared" si="133"/>
        <v>-126.93116180224801</v>
      </c>
      <c r="BF189">
        <f t="shared" si="134"/>
        <v>-3.2014039738121802</v>
      </c>
      <c r="BG189">
        <f t="shared" si="135"/>
        <v>-123.52341758462659</v>
      </c>
      <c r="BH189">
        <f t="shared" si="150"/>
        <v>56.476582415373414</v>
      </c>
      <c r="BI189">
        <f t="shared" si="151"/>
        <v>56.476582415373414</v>
      </c>
      <c r="BJ189">
        <f t="shared" si="136"/>
        <v>0</v>
      </c>
      <c r="BK189">
        <f t="shared" si="152"/>
        <v>0</v>
      </c>
      <c r="BM189">
        <f t="shared" si="153"/>
        <v>-14.507004571597911</v>
      </c>
      <c r="BN189">
        <f t="shared" si="137"/>
        <v>-176.59225578237857</v>
      </c>
      <c r="BQ189" s="66">
        <f t="shared" si="154"/>
        <v>28.207561398070865</v>
      </c>
      <c r="BR189" s="71"/>
      <c r="BS189" s="71"/>
      <c r="BT189" s="71">
        <v>6165.95</v>
      </c>
      <c r="BU189" s="71">
        <v>0.46947800000000001</v>
      </c>
      <c r="BV189" s="71">
        <v>-232.05599999999998</v>
      </c>
      <c r="BW189" s="75"/>
      <c r="BY189" s="71"/>
      <c r="BZ189" s="71"/>
      <c r="CA189" s="71"/>
      <c r="CC189" s="71"/>
    </row>
    <row r="190" spans="1:81" ht="13" x14ac:dyDescent="0.3">
      <c r="A190">
        <f t="shared" si="158"/>
        <v>78000</v>
      </c>
      <c r="B190">
        <f t="shared" si="138"/>
        <v>78</v>
      </c>
      <c r="C190">
        <f t="shared" si="107"/>
        <v>1.0003001883086846</v>
      </c>
      <c r="D190">
        <f t="shared" si="108"/>
        <v>2.4499519739453239E-2</v>
      </c>
      <c r="F190">
        <f t="shared" si="109"/>
        <v>1.238161379629898E-2</v>
      </c>
      <c r="G190">
        <f t="shared" si="110"/>
        <v>3.4903145200192338E-2</v>
      </c>
      <c r="H190">
        <f t="shared" si="111"/>
        <v>-3.106689504799808</v>
      </c>
      <c r="J190">
        <f t="shared" si="112"/>
        <v>15</v>
      </c>
      <c r="M190">
        <f t="shared" si="113"/>
        <v>1.4081766671422942E-2</v>
      </c>
      <c r="N190">
        <f t="shared" si="114"/>
        <v>-1.5707963250000001</v>
      </c>
      <c r="O190">
        <f t="shared" si="115"/>
        <v>26.879376017232936</v>
      </c>
      <c r="P190">
        <f t="shared" si="116"/>
        <v>1.5335844948168105</v>
      </c>
      <c r="Q190">
        <f t="shared" si="117"/>
        <v>10.365251907088192</v>
      </c>
      <c r="R190">
        <f t="shared" si="118"/>
        <v>1.4741698464669319</v>
      </c>
      <c r="S190">
        <f t="shared" si="119"/>
        <v>0.99968655848377652</v>
      </c>
      <c r="T190">
        <f t="shared" si="120"/>
        <v>-2.5038286357351138E-2</v>
      </c>
      <c r="U190">
        <f t="shared" si="121"/>
        <v>0.93187945430986119</v>
      </c>
      <c r="V190">
        <f t="shared" si="122"/>
        <v>-0.37123661355991466</v>
      </c>
      <c r="X190">
        <f t="shared" si="139"/>
        <v>-3.3624271905863932</v>
      </c>
      <c r="Y190">
        <f t="shared" si="123"/>
        <v>-116.96972755678492</v>
      </c>
      <c r="Z190">
        <f t="shared" si="140"/>
        <v>63.030272443215082</v>
      </c>
      <c r="AC190">
        <v>1</v>
      </c>
      <c r="AD190">
        <f t="shared" si="124"/>
        <v>26.860767953947203</v>
      </c>
      <c r="AE190">
        <f t="shared" si="125"/>
        <v>-1.316415222368627E-3</v>
      </c>
      <c r="AF190">
        <f t="shared" si="126"/>
        <v>3.3816103284599998E-3</v>
      </c>
      <c r="AG190">
        <f t="shared" si="141"/>
        <v>6797.8904126381103</v>
      </c>
      <c r="AH190">
        <f t="shared" si="142"/>
        <v>-2942.0440124221245</v>
      </c>
      <c r="AJ190">
        <f t="shared" si="127"/>
        <v>21000</v>
      </c>
      <c r="AK190">
        <f t="shared" si="128"/>
        <v>525.9139193435401</v>
      </c>
      <c r="AL190">
        <v>1</v>
      </c>
      <c r="AM190">
        <f t="shared" si="129"/>
        <v>10.316901041368739</v>
      </c>
      <c r="AN190">
        <f t="shared" si="143"/>
        <v>245.96224699888018</v>
      </c>
      <c r="AO190">
        <f t="shared" si="144"/>
        <v>-2011.6542428566017</v>
      </c>
      <c r="AQ190">
        <f t="shared" si="130"/>
        <v>0.41089698812507702</v>
      </c>
      <c r="AR190">
        <f t="shared" si="131"/>
        <v>-64.099930147512012</v>
      </c>
      <c r="AT190">
        <f t="shared" si="156"/>
        <v>-185791.58299100681</v>
      </c>
      <c r="AU190">
        <f t="shared" si="157"/>
        <v>-436953.17762418016</v>
      </c>
      <c r="AV190">
        <f t="shared" si="145"/>
        <v>-1.9728346037225859</v>
      </c>
      <c r="AW190">
        <f t="shared" si="146"/>
        <v>-124632.87925494318</v>
      </c>
      <c r="AX190">
        <f t="shared" si="147"/>
        <v>-31145.535007785929</v>
      </c>
      <c r="AY190">
        <f t="shared" si="155"/>
        <v>-2.8967097832171178</v>
      </c>
      <c r="BA190">
        <f t="shared" si="132"/>
        <v>3.6960270242143847</v>
      </c>
      <c r="BB190">
        <f t="shared" si="148"/>
        <v>11.354702759750765</v>
      </c>
      <c r="BC190">
        <f t="shared" si="149"/>
        <v>0.92387517949453191</v>
      </c>
      <c r="BD190">
        <f t="shared" si="133"/>
        <v>-127.06585135758587</v>
      </c>
      <c r="BF190">
        <f t="shared" si="134"/>
        <v>-3.2653199778769082</v>
      </c>
      <c r="BG190">
        <f t="shared" si="135"/>
        <v>-123.66232936082532</v>
      </c>
      <c r="BH190">
        <f t="shared" si="150"/>
        <v>56.337670639174675</v>
      </c>
      <c r="BI190">
        <f t="shared" si="151"/>
        <v>56.337670639174675</v>
      </c>
      <c r="BJ190">
        <f t="shared" si="136"/>
        <v>0</v>
      </c>
      <c r="BK190">
        <f t="shared" si="152"/>
        <v>0</v>
      </c>
      <c r="BM190">
        <f t="shared" si="153"/>
        <v>-14.620022737627673</v>
      </c>
      <c r="BN190">
        <f t="shared" si="137"/>
        <v>-176.59647800323947</v>
      </c>
      <c r="BQ190" s="66">
        <f t="shared" si="154"/>
        <v>28.256663560035904</v>
      </c>
      <c r="BR190" s="71"/>
      <c r="BS190" s="71"/>
      <c r="BT190" s="71">
        <v>6309.5730000000003</v>
      </c>
      <c r="BU190" s="71">
        <v>0.36985299999999999</v>
      </c>
      <c r="BV190" s="71">
        <v>-231.369</v>
      </c>
      <c r="BW190" s="75"/>
      <c r="BY190" s="71"/>
      <c r="BZ190" s="71"/>
      <c r="CA190" s="71"/>
      <c r="CC190" s="71"/>
    </row>
    <row r="191" spans="1:81" ht="13" x14ac:dyDescent="0.3">
      <c r="A191">
        <f t="shared" si="158"/>
        <v>78500</v>
      </c>
      <c r="B191">
        <f t="shared" si="138"/>
        <v>78.5</v>
      </c>
      <c r="C191">
        <f t="shared" si="107"/>
        <v>1.0003040486251249</v>
      </c>
      <c r="D191">
        <f t="shared" si="108"/>
        <v>2.4656504502278392E-2</v>
      </c>
      <c r="F191">
        <f t="shared" si="109"/>
        <v>1.2222545225777467E-2</v>
      </c>
      <c r="G191">
        <f t="shared" si="110"/>
        <v>3.4675511086659658E-2</v>
      </c>
      <c r="H191">
        <f t="shared" si="111"/>
        <v>-3.1069171389133405</v>
      </c>
      <c r="J191">
        <f t="shared" si="112"/>
        <v>15</v>
      </c>
      <c r="M191">
        <f t="shared" si="113"/>
        <v>1.3992073890076298E-2</v>
      </c>
      <c r="N191">
        <f t="shared" si="114"/>
        <v>-1.5707963250000001</v>
      </c>
      <c r="O191">
        <f t="shared" si="115"/>
        <v>27.051441985767426</v>
      </c>
      <c r="P191">
        <f t="shared" si="116"/>
        <v>1.533821296196163</v>
      </c>
      <c r="Q191">
        <f t="shared" si="117"/>
        <v>10.431079343790389</v>
      </c>
      <c r="R191">
        <f t="shared" si="118"/>
        <v>1.4747815142175333</v>
      </c>
      <c r="S191">
        <f t="shared" si="119"/>
        <v>0.99968252904261046</v>
      </c>
      <c r="T191">
        <f t="shared" si="120"/>
        <v>-2.519872047465254E-2</v>
      </c>
      <c r="U191">
        <f t="shared" si="121"/>
        <v>0.93109180637737798</v>
      </c>
      <c r="V191">
        <f t="shared" si="122"/>
        <v>-0.37340181006229611</v>
      </c>
      <c r="X191">
        <f t="shared" si="139"/>
        <v>-3.4271739063115687</v>
      </c>
      <c r="Y191">
        <f t="shared" si="123"/>
        <v>-117.05841058552784</v>
      </c>
      <c r="Z191">
        <f t="shared" si="140"/>
        <v>62.941589414472162</v>
      </c>
      <c r="AC191">
        <v>1</v>
      </c>
      <c r="AD191">
        <f t="shared" si="124"/>
        <v>27.0329523639084</v>
      </c>
      <c r="AE191">
        <f t="shared" si="125"/>
        <v>-1.3333464339317998E-3</v>
      </c>
      <c r="AF191">
        <f t="shared" si="126"/>
        <v>3.4032873177450001E-3</v>
      </c>
      <c r="AG191">
        <f t="shared" si="141"/>
        <v>6786.4037734793219</v>
      </c>
      <c r="AH191">
        <f t="shared" si="142"/>
        <v>-2952.6238405425402</v>
      </c>
      <c r="AJ191">
        <f t="shared" si="127"/>
        <v>21000</v>
      </c>
      <c r="AK191">
        <f t="shared" si="128"/>
        <v>529.28516241625505</v>
      </c>
      <c r="AL191">
        <v>1</v>
      </c>
      <c r="AM191">
        <f t="shared" si="129"/>
        <v>10.383035022403154</v>
      </c>
      <c r="AN191">
        <f t="shared" si="143"/>
        <v>243.50901147113115</v>
      </c>
      <c r="AO191">
        <f t="shared" si="144"/>
        <v>-1999.0774319592711</v>
      </c>
      <c r="AQ191">
        <f t="shared" si="130"/>
        <v>0.40567951318458417</v>
      </c>
      <c r="AR191">
        <f t="shared" si="131"/>
        <v>-63.691683569979716</v>
      </c>
      <c r="AT191">
        <f t="shared" si="156"/>
        <v>-185304.47837391458</v>
      </c>
      <c r="AU191">
        <f t="shared" si="157"/>
        <v>-433435.30072080978</v>
      </c>
      <c r="AV191">
        <f t="shared" si="145"/>
        <v>-1.974803826837263</v>
      </c>
      <c r="AW191">
        <f t="shared" si="146"/>
        <v>-123029.22329963717</v>
      </c>
      <c r="AX191">
        <f t="shared" si="147"/>
        <v>-30795.876363896754</v>
      </c>
      <c r="AY191">
        <f t="shared" si="155"/>
        <v>-2.8963189466995072</v>
      </c>
      <c r="BA191">
        <f t="shared" si="132"/>
        <v>3.7168158315466164</v>
      </c>
      <c r="BB191">
        <f t="shared" si="148"/>
        <v>11.403420846210444</v>
      </c>
      <c r="BC191">
        <f t="shared" si="149"/>
        <v>0.92151511986224421</v>
      </c>
      <c r="BD191">
        <f t="shared" si="133"/>
        <v>-127.20107281406965</v>
      </c>
      <c r="BF191">
        <f t="shared" si="134"/>
        <v>-3.3288803830323204</v>
      </c>
      <c r="BG191">
        <f t="shared" si="135"/>
        <v>-123.80159872693464</v>
      </c>
      <c r="BH191">
        <f t="shared" si="150"/>
        <v>56.198401273065357</v>
      </c>
      <c r="BI191">
        <f t="shared" si="151"/>
        <v>56.198401273065357</v>
      </c>
      <c r="BJ191">
        <f t="shared" si="136"/>
        <v>0</v>
      </c>
      <c r="BK191">
        <f t="shared" si="152"/>
        <v>0</v>
      </c>
      <c r="BM191">
        <f t="shared" si="153"/>
        <v>-14.732301229242765</v>
      </c>
      <c r="BN191">
        <f t="shared" si="137"/>
        <v>-176.60052591286495</v>
      </c>
      <c r="BQ191" s="66">
        <f t="shared" si="154"/>
        <v>28.305381646495583</v>
      </c>
      <c r="BR191" s="71"/>
      <c r="BS191" s="71"/>
      <c r="BT191" s="71">
        <v>6456.5420000000004</v>
      </c>
      <c r="BU191" s="71">
        <v>0.12767600000000001</v>
      </c>
      <c r="BV191" s="71">
        <v>-230.779</v>
      </c>
      <c r="BW191" s="75"/>
      <c r="BY191" s="71"/>
      <c r="BZ191" s="71"/>
      <c r="CA191" s="71"/>
      <c r="CC191" s="71"/>
    </row>
    <row r="192" spans="1:81" ht="13" x14ac:dyDescent="0.3">
      <c r="A192">
        <f t="shared" si="158"/>
        <v>79000</v>
      </c>
      <c r="B192">
        <f t="shared" si="138"/>
        <v>79</v>
      </c>
      <c r="C192">
        <f t="shared" si="107"/>
        <v>1.0003079335930833</v>
      </c>
      <c r="D192">
        <f t="shared" si="108"/>
        <v>2.4813488049586194E-2</v>
      </c>
      <c r="F192">
        <f t="shared" si="109"/>
        <v>1.2066533959961741E-2</v>
      </c>
      <c r="G192">
        <f t="shared" si="110"/>
        <v>3.4450860015947236E-2</v>
      </c>
      <c r="H192">
        <f t="shared" si="111"/>
        <v>-3.1071417899840528</v>
      </c>
      <c r="J192">
        <f t="shared" si="112"/>
        <v>15</v>
      </c>
      <c r="M192">
        <f t="shared" si="113"/>
        <v>1.3903516460392272E-2</v>
      </c>
      <c r="N192">
        <f t="shared" si="114"/>
        <v>-1.5707963250000001</v>
      </c>
      <c r="O192">
        <f t="shared" si="115"/>
        <v>27.223509452033404</v>
      </c>
      <c r="P192">
        <f t="shared" si="116"/>
        <v>1.5340551041600752</v>
      </c>
      <c r="Q192">
        <f t="shared" si="117"/>
        <v>10.496910634200928</v>
      </c>
      <c r="R192">
        <f t="shared" si="118"/>
        <v>1.4753855100530233</v>
      </c>
      <c r="S192">
        <f t="shared" si="119"/>
        <v>0.9996784739034088</v>
      </c>
      <c r="T192">
        <f t="shared" si="120"/>
        <v>-2.5359153294504742E-2</v>
      </c>
      <c r="U192">
        <f t="shared" si="121"/>
        <v>0.93030113853296315</v>
      </c>
      <c r="V192">
        <f t="shared" si="122"/>
        <v>-0.37556333938528996</v>
      </c>
      <c r="X192">
        <f t="shared" si="139"/>
        <v>-3.4915665893195063</v>
      </c>
      <c r="Y192">
        <f t="shared" si="123"/>
        <v>-117.14732365833915</v>
      </c>
      <c r="Z192">
        <f t="shared" si="140"/>
        <v>62.852676341660853</v>
      </c>
      <c r="AC192">
        <v>1</v>
      </c>
      <c r="AD192">
        <f t="shared" si="124"/>
        <v>27.205136773869601</v>
      </c>
      <c r="AE192">
        <f t="shared" si="125"/>
        <v>-1.3503858321503286E-3</v>
      </c>
      <c r="AF192">
        <f t="shared" si="126"/>
        <v>3.4249643070299999E-3</v>
      </c>
      <c r="AG192">
        <f t="shared" si="141"/>
        <v>6774.8828623611189</v>
      </c>
      <c r="AH192">
        <f t="shared" si="142"/>
        <v>-2963.156670269389</v>
      </c>
      <c r="AJ192">
        <f t="shared" si="127"/>
        <v>21000</v>
      </c>
      <c r="AK192">
        <f t="shared" si="128"/>
        <v>532.65640548896999</v>
      </c>
      <c r="AL192">
        <v>1</v>
      </c>
      <c r="AM192">
        <f t="shared" si="129"/>
        <v>10.44916900343757</v>
      </c>
      <c r="AN192">
        <f t="shared" si="143"/>
        <v>241.10164512750816</v>
      </c>
      <c r="AO192">
        <f t="shared" si="144"/>
        <v>-1986.6554314551929</v>
      </c>
      <c r="AQ192">
        <f t="shared" si="130"/>
        <v>0.40056078509913878</v>
      </c>
      <c r="AR192">
        <f t="shared" si="131"/>
        <v>-63.288604045663931</v>
      </c>
      <c r="AT192">
        <f t="shared" si="156"/>
        <v>-184820.29683164525</v>
      </c>
      <c r="AU192">
        <f t="shared" si="157"/>
        <v>-429959.80329394201</v>
      </c>
      <c r="AV192">
        <f t="shared" si="145"/>
        <v>-1.9767718593988062</v>
      </c>
      <c r="AW192">
        <f t="shared" si="146"/>
        <v>-121455.64586450704</v>
      </c>
      <c r="AX192">
        <f t="shared" si="147"/>
        <v>-30453.7614369394</v>
      </c>
      <c r="AY192">
        <f t="shared" si="155"/>
        <v>-2.8959178519922277</v>
      </c>
      <c r="BA192">
        <f t="shared" si="132"/>
        <v>3.7375581358581123</v>
      </c>
      <c r="BB192">
        <f t="shared" si="148"/>
        <v>11.451759132394294</v>
      </c>
      <c r="BC192">
        <f t="shared" si="149"/>
        <v>0.91914599259342156</v>
      </c>
      <c r="BD192">
        <f t="shared" si="133"/>
        <v>-127.33681380785765</v>
      </c>
      <c r="BF192">
        <f t="shared" si="134"/>
        <v>-3.392090630887111</v>
      </c>
      <c r="BG192">
        <f t="shared" si="135"/>
        <v>-123.94121678422825</v>
      </c>
      <c r="BH192">
        <f t="shared" si="150"/>
        <v>56.058783215771754</v>
      </c>
      <c r="BI192">
        <f t="shared" si="151"/>
        <v>56.058783215771754</v>
      </c>
      <c r="BJ192">
        <f t="shared" si="136"/>
        <v>0</v>
      </c>
      <c r="BK192">
        <f t="shared" si="152"/>
        <v>0</v>
      </c>
      <c r="BM192">
        <f t="shared" si="153"/>
        <v>-14.843849763281407</v>
      </c>
      <c r="BN192">
        <f t="shared" si="137"/>
        <v>-176.60440297637058</v>
      </c>
      <c r="BQ192" s="66">
        <f t="shared" si="154"/>
        <v>28.353719932679432</v>
      </c>
      <c r="BR192" s="71"/>
      <c r="BS192" s="71"/>
      <c r="BT192" s="71">
        <v>6606.9340000000002</v>
      </c>
      <c r="BU192" s="71">
        <v>3.6938100000000001E-2</v>
      </c>
      <c r="BV192" s="71">
        <v>-229.60900000000001</v>
      </c>
      <c r="BW192" s="75"/>
      <c r="BY192" s="71"/>
      <c r="BZ192" s="71"/>
      <c r="CA192" s="71"/>
      <c r="CC192" s="71"/>
    </row>
    <row r="193" spans="1:81" ht="13" x14ac:dyDescent="0.3">
      <c r="A193">
        <f t="shared" si="158"/>
        <v>79500</v>
      </c>
      <c r="B193">
        <f t="shared" si="138"/>
        <v>79.5</v>
      </c>
      <c r="C193">
        <f t="shared" si="107"/>
        <v>1.0003118432122726</v>
      </c>
      <c r="D193">
        <f t="shared" si="108"/>
        <v>2.4970470373653512E-2</v>
      </c>
      <c r="F193">
        <f t="shared" si="109"/>
        <v>1.1913501862537612E-2</v>
      </c>
      <c r="G193">
        <f t="shared" si="110"/>
        <v>3.4229133124780854E-2</v>
      </c>
      <c r="H193">
        <f t="shared" si="111"/>
        <v>-3.1073635168752194</v>
      </c>
      <c r="J193">
        <f t="shared" si="112"/>
        <v>15</v>
      </c>
      <c r="M193">
        <f t="shared" si="113"/>
        <v>1.3816072960641378E-2</v>
      </c>
      <c r="N193">
        <f t="shared" si="114"/>
        <v>-1.5707963250000001</v>
      </c>
      <c r="O193">
        <f t="shared" si="115"/>
        <v>27.395578387809788</v>
      </c>
      <c r="P193">
        <f t="shared" si="116"/>
        <v>1.5342859750867848</v>
      </c>
      <c r="Q193">
        <f t="shared" si="117"/>
        <v>10.56274570626622</v>
      </c>
      <c r="R193">
        <f t="shared" si="118"/>
        <v>1.475981976980187</v>
      </c>
      <c r="S193">
        <f t="shared" si="119"/>
        <v>0.99967439306711037</v>
      </c>
      <c r="T193">
        <f t="shared" si="120"/>
        <v>-2.5519584808664921E-2</v>
      </c>
      <c r="U193">
        <f t="shared" si="121"/>
        <v>0.92950748059999633</v>
      </c>
      <c r="V193">
        <f t="shared" si="122"/>
        <v>-0.3777211906907979</v>
      </c>
      <c r="X193">
        <f t="shared" si="139"/>
        <v>-3.5556103979168747</v>
      </c>
      <c r="Y193">
        <f t="shared" si="123"/>
        <v>-117.23645810290846</v>
      </c>
      <c r="Z193">
        <f t="shared" si="140"/>
        <v>62.763541897091542</v>
      </c>
      <c r="AC193">
        <v>1</v>
      </c>
      <c r="AD193">
        <f t="shared" si="124"/>
        <v>27.377321183830805</v>
      </c>
      <c r="AE193">
        <f t="shared" si="125"/>
        <v>-1.3675334170242131E-3</v>
      </c>
      <c r="AF193">
        <f t="shared" si="126"/>
        <v>3.4466412963150002E-3</v>
      </c>
      <c r="AG193">
        <f t="shared" si="141"/>
        <v>6763.3282254368996</v>
      </c>
      <c r="AH193">
        <f t="shared" si="142"/>
        <v>-2973.6420118757069</v>
      </c>
      <c r="AJ193">
        <f t="shared" si="127"/>
        <v>21000</v>
      </c>
      <c r="AK193">
        <f t="shared" si="128"/>
        <v>536.02764856168506</v>
      </c>
      <c r="AL193">
        <v>1</v>
      </c>
      <c r="AM193">
        <f t="shared" si="129"/>
        <v>10.515302984471985</v>
      </c>
      <c r="AN193">
        <f t="shared" si="143"/>
        <v>238.73901497742969</v>
      </c>
      <c r="AO193">
        <f t="shared" si="144"/>
        <v>-1974.3854281403833</v>
      </c>
      <c r="AQ193">
        <f t="shared" si="130"/>
        <v>0.39553832766395064</v>
      </c>
      <c r="AR193">
        <f t="shared" si="131"/>
        <v>-62.890594098568151</v>
      </c>
      <c r="AT193">
        <f t="shared" si="156"/>
        <v>-184338.95722759297</v>
      </c>
      <c r="AU193">
        <f t="shared" si="157"/>
        <v>-426525.9195697899</v>
      </c>
      <c r="AV193">
        <f t="shared" si="145"/>
        <v>-1.978738643941099</v>
      </c>
      <c r="AW193">
        <f t="shared" si="146"/>
        <v>-119911.40497632029</v>
      </c>
      <c r="AX193">
        <f t="shared" si="147"/>
        <v>-30118.971742760245</v>
      </c>
      <c r="AY193">
        <f t="shared" si="155"/>
        <v>-2.8955066523440269</v>
      </c>
      <c r="BA193">
        <f t="shared" si="132"/>
        <v>3.7582536753691054</v>
      </c>
      <c r="BB193">
        <f t="shared" si="148"/>
        <v>11.499721817018616</v>
      </c>
      <c r="BC193">
        <f t="shared" si="149"/>
        <v>0.91676800840292794</v>
      </c>
      <c r="BD193">
        <f t="shared" si="133"/>
        <v>-127.47306226587747</v>
      </c>
      <c r="BF193">
        <f t="shared" si="134"/>
        <v>-3.4549560473371548</v>
      </c>
      <c r="BG193">
        <f t="shared" si="135"/>
        <v>-124.08117483269346</v>
      </c>
      <c r="BH193">
        <f t="shared" si="150"/>
        <v>55.918825167306537</v>
      </c>
      <c r="BI193">
        <f t="shared" si="151"/>
        <v>55.918825167306537</v>
      </c>
      <c r="BJ193">
        <f t="shared" si="136"/>
        <v>0</v>
      </c>
      <c r="BK193">
        <f t="shared" si="152"/>
        <v>0</v>
      </c>
      <c r="BM193">
        <f t="shared" si="153"/>
        <v>-14.954677864355769</v>
      </c>
      <c r="BN193">
        <f t="shared" si="137"/>
        <v>-176.608112566816</v>
      </c>
      <c r="BQ193" s="66">
        <f t="shared" si="154"/>
        <v>28.401682617303756</v>
      </c>
      <c r="BR193" s="71"/>
      <c r="BS193" s="71"/>
      <c r="BT193" s="71">
        <v>6760.83</v>
      </c>
      <c r="BU193" s="71">
        <v>-4.9019100000000003E-2</v>
      </c>
      <c r="BV193" s="71">
        <v>-229.1</v>
      </c>
      <c r="BW193" s="75"/>
      <c r="BY193" s="71"/>
      <c r="BZ193" s="71"/>
      <c r="CA193" s="71"/>
      <c r="CC193" s="71"/>
    </row>
    <row r="194" spans="1:81" ht="13" x14ac:dyDescent="0.3">
      <c r="A194">
        <f t="shared" si="158"/>
        <v>80000</v>
      </c>
      <c r="B194">
        <f t="shared" si="138"/>
        <v>80</v>
      </c>
      <c r="C194">
        <f t="shared" si="107"/>
        <v>1.0003157774824039</v>
      </c>
      <c r="D194">
        <f t="shared" si="108"/>
        <v>2.5127451466757551E-2</v>
      </c>
      <c r="F194">
        <f t="shared" si="109"/>
        <v>1.1763373286378017E-2</v>
      </c>
      <c r="G194">
        <f t="shared" si="110"/>
        <v>3.4010273103098836E-2</v>
      </c>
      <c r="H194">
        <f t="shared" si="111"/>
        <v>-3.1075823768969015</v>
      </c>
      <c r="J194">
        <f t="shared" si="112"/>
        <v>15</v>
      </c>
      <c r="M194">
        <f t="shared" si="113"/>
        <v>1.3729722504637368E-2</v>
      </c>
      <c r="N194">
        <f t="shared" si="114"/>
        <v>-1.5707963250000001</v>
      </c>
      <c r="O194">
        <f t="shared" si="115"/>
        <v>27.567648765579861</v>
      </c>
      <c r="P194">
        <f t="shared" si="116"/>
        <v>1.5345139639482048</v>
      </c>
      <c r="Q194">
        <f t="shared" si="117"/>
        <v>10.628584489713827</v>
      </c>
      <c r="R194">
        <f t="shared" si="118"/>
        <v>1.4765710544841206</v>
      </c>
      <c r="S194">
        <f t="shared" si="119"/>
        <v>0.99967028653465972</v>
      </c>
      <c r="T194">
        <f t="shared" si="120"/>
        <v>-2.568001500889066E-2</v>
      </c>
      <c r="U194">
        <f t="shared" si="121"/>
        <v>0.9287108623692204</v>
      </c>
      <c r="V194">
        <f t="shared" si="122"/>
        <v>-0.37987535331458072</v>
      </c>
      <c r="X194">
        <f t="shared" si="139"/>
        <v>-3.6193103782552605</v>
      </c>
      <c r="Y194">
        <f t="shared" si="123"/>
        <v>-117.32580545024899</v>
      </c>
      <c r="Z194">
        <f t="shared" si="140"/>
        <v>62.674194549751007</v>
      </c>
      <c r="AC194">
        <v>1</v>
      </c>
      <c r="AD194">
        <f t="shared" si="124"/>
        <v>27.549505593792002</v>
      </c>
      <c r="AE194">
        <f t="shared" si="125"/>
        <v>-1.3847891885534537E-3</v>
      </c>
      <c r="AF194">
        <f t="shared" si="126"/>
        <v>3.4683182856E-3</v>
      </c>
      <c r="AG194">
        <f t="shared" si="141"/>
        <v>6751.7404073259622</v>
      </c>
      <c r="AH194">
        <f t="shared" si="142"/>
        <v>-2984.0793917199662</v>
      </c>
      <c r="AJ194">
        <f t="shared" si="127"/>
        <v>21000</v>
      </c>
      <c r="AK194">
        <f t="shared" si="128"/>
        <v>539.3988916344</v>
      </c>
      <c r="AL194">
        <v>1</v>
      </c>
      <c r="AM194">
        <f t="shared" si="129"/>
        <v>10.5814369655064</v>
      </c>
      <c r="AN194">
        <f t="shared" si="143"/>
        <v>236.42002269206182</v>
      </c>
      <c r="AO194">
        <f t="shared" si="144"/>
        <v>-1962.264675865245</v>
      </c>
      <c r="AQ194">
        <f t="shared" si="130"/>
        <v>0.39060974180696068</v>
      </c>
      <c r="AR194">
        <f t="shared" si="131"/>
        <v>-62.49755868911371</v>
      </c>
      <c r="AT194">
        <f t="shared" si="156"/>
        <v>-183860.38133974012</v>
      </c>
      <c r="AU194">
        <f t="shared" si="157"/>
        <v>-423132.90284124605</v>
      </c>
      <c r="AV194">
        <f t="shared" si="145"/>
        <v>-1.9807041243344701</v>
      </c>
      <c r="AW194">
        <f t="shared" si="146"/>
        <v>-118395.78132278216</v>
      </c>
      <c r="AX194">
        <f t="shared" si="147"/>
        <v>-29791.296555735982</v>
      </c>
      <c r="AY194">
        <f t="shared" si="155"/>
        <v>-2.8950854974215976</v>
      </c>
      <c r="BA194">
        <f t="shared" si="132"/>
        <v>3.77890219056302</v>
      </c>
      <c r="BB194">
        <f t="shared" si="148"/>
        <v>11.547313024111737</v>
      </c>
      <c r="BC194">
        <f t="shared" si="149"/>
        <v>0.91438137308712752</v>
      </c>
      <c r="BD194">
        <f t="shared" si="133"/>
        <v>-127.60980639686595</v>
      </c>
      <c r="BF194">
        <f t="shared" si="134"/>
        <v>-3.5174818458242774</v>
      </c>
      <c r="BG194">
        <f t="shared" si="135"/>
        <v>-124.22146436513432</v>
      </c>
      <c r="BH194">
        <f t="shared" si="150"/>
        <v>55.778535634865676</v>
      </c>
      <c r="BI194">
        <f t="shared" si="151"/>
        <v>55.778535634865676</v>
      </c>
      <c r="BJ194">
        <f t="shared" si="136"/>
        <v>0</v>
      </c>
      <c r="BK194">
        <f t="shared" si="152"/>
        <v>0</v>
      </c>
      <c r="BM194">
        <f t="shared" si="153"/>
        <v>-15.064794869936016</v>
      </c>
      <c r="BN194">
        <f t="shared" si="137"/>
        <v>-176.61165796826839</v>
      </c>
      <c r="BQ194" s="66">
        <f t="shared" si="154"/>
        <v>28.449273824396876</v>
      </c>
      <c r="BR194" s="71"/>
      <c r="BS194" s="71"/>
      <c r="BT194" s="71">
        <v>6918.31</v>
      </c>
      <c r="BU194" s="71">
        <v>-0.21798300000000001</v>
      </c>
      <c r="BV194" s="71">
        <v>-228.376</v>
      </c>
      <c r="BW194" s="75"/>
      <c r="BY194" s="71"/>
      <c r="BZ194" s="71"/>
      <c r="CA194" s="71"/>
      <c r="CC194" s="71"/>
    </row>
    <row r="195" spans="1:81" ht="13" x14ac:dyDescent="0.3">
      <c r="A195">
        <f t="shared" si="158"/>
        <v>80500</v>
      </c>
      <c r="B195">
        <f t="shared" si="138"/>
        <v>80.5</v>
      </c>
      <c r="C195">
        <f t="shared" si="107"/>
        <v>1.0003197364031862</v>
      </c>
      <c r="D195">
        <f t="shared" si="108"/>
        <v>2.5284431321175894E-2</v>
      </c>
      <c r="F195">
        <f t="shared" si="109"/>
        <v>1.1616074978662226E-2</v>
      </c>
      <c r="G195">
        <f t="shared" si="110"/>
        <v>3.3794224142724545E-2</v>
      </c>
      <c r="H195">
        <f t="shared" si="111"/>
        <v>-3.1077984258572755</v>
      </c>
      <c r="J195">
        <f t="shared" si="112"/>
        <v>15</v>
      </c>
      <c r="M195">
        <f t="shared" si="113"/>
        <v>1.364444472510546E-2</v>
      </c>
      <c r="N195">
        <f t="shared" si="114"/>
        <v>-1.5707963250000001</v>
      </c>
      <c r="O195">
        <f t="shared" si="115"/>
        <v>27.739720558509422</v>
      </c>
      <c r="P195">
        <f t="shared" si="116"/>
        <v>1.5347391243534827</v>
      </c>
      <c r="Q195">
        <f t="shared" si="117"/>
        <v>10.694426915997889</v>
      </c>
      <c r="R195">
        <f t="shared" si="118"/>
        <v>1.4771528786356531</v>
      </c>
      <c r="S195">
        <f t="shared" si="119"/>
        <v>0.99966615430700789</v>
      </c>
      <c r="T195">
        <f t="shared" si="120"/>
        <v>-2.5840443886939946E-2</v>
      </c>
      <c r="U195">
        <f t="shared" si="121"/>
        <v>0.92791131359643575</v>
      </c>
      <c r="V195">
        <f t="shared" si="122"/>
        <v>-0.38202581676576186</v>
      </c>
      <c r="X195">
        <f t="shared" si="139"/>
        <v>-3.6826714674903691</v>
      </c>
      <c r="Y195">
        <f t="shared" si="123"/>
        <v>-117.41535742895879</v>
      </c>
      <c r="Z195">
        <f t="shared" si="140"/>
        <v>62.584642571041215</v>
      </c>
      <c r="AC195">
        <v>1</v>
      </c>
      <c r="AD195">
        <f t="shared" si="124"/>
        <v>27.721690003753199</v>
      </c>
      <c r="AE195">
        <f t="shared" si="125"/>
        <v>-1.4021531467380496E-3</v>
      </c>
      <c r="AF195">
        <f t="shared" si="126"/>
        <v>3.4899952748850003E-3</v>
      </c>
      <c r="AG195">
        <f t="shared" si="141"/>
        <v>6740.1199510681563</v>
      </c>
      <c r="AH195">
        <f t="shared" si="142"/>
        <v>-2994.4683518594411</v>
      </c>
      <c r="AJ195">
        <f t="shared" si="127"/>
        <v>21000</v>
      </c>
      <c r="AK195">
        <f t="shared" si="128"/>
        <v>542.77013470711506</v>
      </c>
      <c r="AL195">
        <v>1</v>
      </c>
      <c r="AM195">
        <f t="shared" si="129"/>
        <v>10.647570946540815</v>
      </c>
      <c r="AN195">
        <f t="shared" si="143"/>
        <v>234.14360334341012</v>
      </c>
      <c r="AO195">
        <f t="shared" si="144"/>
        <v>-1950.2904935705551</v>
      </c>
      <c r="AQ195">
        <f t="shared" si="130"/>
        <v>0.38577270272355529</v>
      </c>
      <c r="AR195">
        <f t="shared" si="131"/>
        <v>-62.109405138492399</v>
      </c>
      <c r="AT195">
        <f t="shared" si="156"/>
        <v>-183384.49374982712</v>
      </c>
      <c r="AU195">
        <f t="shared" si="157"/>
        <v>-419780.02487224468</v>
      </c>
      <c r="AV195">
        <f t="shared" si="145"/>
        <v>-1.982668245749206</v>
      </c>
      <c r="AW195">
        <f t="shared" si="146"/>
        <v>-116908.07742957142</v>
      </c>
      <c r="AX195">
        <f t="shared" si="147"/>
        <v>-29470.532584936842</v>
      </c>
      <c r="AY195">
        <f t="shared" si="155"/>
        <v>-2.8946545334237248</v>
      </c>
      <c r="BA195">
        <f t="shared" si="132"/>
        <v>3.7995034241713355</v>
      </c>
      <c r="BB195">
        <f t="shared" si="148"/>
        <v>11.594536804786387</v>
      </c>
      <c r="BC195">
        <f t="shared" si="149"/>
        <v>0.91198628767451884</v>
      </c>
      <c r="BD195">
        <f t="shared" si="133"/>
        <v>-127.74703468273859</v>
      </c>
      <c r="BF195">
        <f t="shared" si="134"/>
        <v>-3.5796731304796197</v>
      </c>
      <c r="BG195">
        <f t="shared" si="135"/>
        <v>-124.36207706148168</v>
      </c>
      <c r="BH195">
        <f t="shared" si="150"/>
        <v>55.637922938518315</v>
      </c>
      <c r="BI195">
        <f t="shared" si="151"/>
        <v>55.637922938518315</v>
      </c>
      <c r="BJ195">
        <f t="shared" si="136"/>
        <v>0</v>
      </c>
      <c r="BK195">
        <f t="shared" si="152"/>
        <v>0</v>
      </c>
      <c r="BM195">
        <f t="shared" si="153"/>
        <v>-15.174209935266008</v>
      </c>
      <c r="BN195">
        <f t="shared" si="137"/>
        <v>-176.61504237874311</v>
      </c>
      <c r="BQ195" s="66">
        <f t="shared" si="154"/>
        <v>28.496497605071522</v>
      </c>
      <c r="BR195" s="71"/>
      <c r="BS195" s="71"/>
      <c r="BT195" s="71">
        <v>7079.4579999999996</v>
      </c>
      <c r="BU195" s="71">
        <v>-0.38401400000000002</v>
      </c>
      <c r="BV195" s="71">
        <v>-227.04400000000001</v>
      </c>
      <c r="BW195" s="75"/>
      <c r="BY195" s="71"/>
      <c r="BZ195" s="71"/>
      <c r="CA195" s="71"/>
      <c r="CC195" s="71"/>
    </row>
    <row r="196" spans="1:81" ht="13" x14ac:dyDescent="0.3">
      <c r="A196">
        <f t="shared" si="158"/>
        <v>81000</v>
      </c>
      <c r="B196">
        <f t="shared" si="138"/>
        <v>81</v>
      </c>
      <c r="C196">
        <f t="shared" si="107"/>
        <v>1.0003237199743269</v>
      </c>
      <c r="D196">
        <f t="shared" si="108"/>
        <v>2.544140992918649E-2</v>
      </c>
      <c r="F196">
        <f t="shared" si="109"/>
        <v>1.1471535990201672E-2</v>
      </c>
      <c r="G196">
        <f t="shared" si="110"/>
        <v>3.3580931888076267E-2</v>
      </c>
      <c r="H196">
        <f t="shared" si="111"/>
        <v>-3.108011718111924</v>
      </c>
      <c r="J196">
        <f t="shared" si="112"/>
        <v>15</v>
      </c>
      <c r="M196">
        <f t="shared" si="113"/>
        <v>1.3560219757666537E-2</v>
      </c>
      <c r="N196">
        <f t="shared" si="114"/>
        <v>-1.5707963250000001</v>
      </c>
      <c r="O196">
        <f t="shared" si="115"/>
        <v>27.911793740425768</v>
      </c>
      <c r="P196">
        <f t="shared" si="116"/>
        <v>1.5349615085909507</v>
      </c>
      <c r="Q196">
        <f t="shared" si="117"/>
        <v>10.760272918246534</v>
      </c>
      <c r="R196">
        <f t="shared" si="118"/>
        <v>1.4777275821948672</v>
      </c>
      <c r="S196">
        <f t="shared" si="119"/>
        <v>0.99966199638511177</v>
      </c>
      <c r="T196">
        <f t="shared" si="120"/>
        <v>-2.6000871434571176E-2</v>
      </c>
      <c r="U196">
        <f t="shared" si="121"/>
        <v>0.92710886400021819</v>
      </c>
      <c r="V196">
        <f t="shared" si="122"/>
        <v>-0.38417257072631711</v>
      </c>
      <c r="X196">
        <f t="shared" si="139"/>
        <v>-3.745698496830554</v>
      </c>
      <c r="Y196">
        <f t="shared" si="123"/>
        <v>-117.5051059596811</v>
      </c>
      <c r="Z196">
        <f t="shared" si="140"/>
        <v>62.494894040318897</v>
      </c>
      <c r="AC196">
        <v>1</v>
      </c>
      <c r="AD196">
        <f t="shared" si="124"/>
        <v>27.893874413714403</v>
      </c>
      <c r="AE196">
        <f t="shared" si="125"/>
        <v>-1.4196252915780014E-3</v>
      </c>
      <c r="AF196">
        <f t="shared" si="126"/>
        <v>3.5116722641700001E-3</v>
      </c>
      <c r="AG196">
        <f t="shared" si="141"/>
        <v>6728.467398079224</v>
      </c>
      <c r="AH196">
        <f t="shared" si="142"/>
        <v>-3004.8084496761217</v>
      </c>
      <c r="AJ196">
        <f t="shared" si="127"/>
        <v>21000</v>
      </c>
      <c r="AK196">
        <f t="shared" si="128"/>
        <v>546.14137777983001</v>
      </c>
      <c r="AL196">
        <v>1</v>
      </c>
      <c r="AM196">
        <f t="shared" si="129"/>
        <v>10.713704927575231</v>
      </c>
      <c r="AN196">
        <f t="shared" si="143"/>
        <v>231.90872419643915</v>
      </c>
      <c r="AO196">
        <f t="shared" si="144"/>
        <v>-1938.4602633912452</v>
      </c>
      <c r="AQ196">
        <f t="shared" si="130"/>
        <v>0.38102495713469231</v>
      </c>
      <c r="AR196">
        <f t="shared" si="131"/>
        <v>-61.726043055820156</v>
      </c>
      <c r="AT196">
        <f t="shared" si="156"/>
        <v>-182911.22173726518</v>
      </c>
      <c r="AU196">
        <f t="shared" si="157"/>
        <v>-416466.57532425621</v>
      </c>
      <c r="AV196">
        <f t="shared" si="145"/>
        <v>-1.9846309546203786</v>
      </c>
      <c r="AW196">
        <f t="shared" si="146"/>
        <v>-115447.61687192172</v>
      </c>
      <c r="AX196">
        <f t="shared" si="147"/>
        <v>-29156.483665749129</v>
      </c>
      <c r="AY196">
        <f t="shared" si="155"/>
        <v>-2.8942139031912371</v>
      </c>
      <c r="BA196">
        <f t="shared" si="132"/>
        <v>3.8200571211592464</v>
      </c>
      <c r="BB196">
        <f t="shared" si="148"/>
        <v>11.641397138960812</v>
      </c>
      <c r="BC196">
        <f t="shared" si="149"/>
        <v>0.90958294857085842</v>
      </c>
      <c r="BD196">
        <f t="shared" si="133"/>
        <v>-127.88473587027443</v>
      </c>
      <c r="BF196">
        <f t="shared" si="134"/>
        <v>-3.6415348991565049</v>
      </c>
      <c r="BG196">
        <f t="shared" si="135"/>
        <v>-124.50300478330256</v>
      </c>
      <c r="BH196">
        <f t="shared" si="150"/>
        <v>55.496995216697442</v>
      </c>
      <c r="BI196">
        <f t="shared" si="151"/>
        <v>55.496995216697442</v>
      </c>
      <c r="BJ196">
        <f t="shared" si="136"/>
        <v>0</v>
      </c>
      <c r="BK196">
        <f t="shared" si="152"/>
        <v>0</v>
      </c>
      <c r="BM196">
        <f t="shared" si="153"/>
        <v>-15.282932038117318</v>
      </c>
      <c r="BN196">
        <f t="shared" si="137"/>
        <v>-176.61826891302817</v>
      </c>
      <c r="BQ196" s="66">
        <f t="shared" si="154"/>
        <v>28.543357939245947</v>
      </c>
      <c r="BR196" s="71"/>
      <c r="BS196" s="71"/>
      <c r="BT196" s="71">
        <v>7244.36</v>
      </c>
      <c r="BU196" s="71">
        <v>-0.57486000000000004</v>
      </c>
      <c r="BV196" s="71">
        <v>-226.239</v>
      </c>
      <c r="BW196" s="75"/>
      <c r="BY196" s="71"/>
      <c r="BZ196" s="71"/>
      <c r="CA196" s="71"/>
      <c r="CC196" s="71"/>
    </row>
    <row r="197" spans="1:81" ht="13" x14ac:dyDescent="0.3">
      <c r="A197">
        <f t="shared" si="158"/>
        <v>81500</v>
      </c>
      <c r="B197">
        <f t="shared" si="138"/>
        <v>81.5</v>
      </c>
      <c r="C197">
        <f t="shared" si="107"/>
        <v>1.0003277281955314</v>
      </c>
      <c r="D197">
        <f t="shared" si="108"/>
        <v>2.5598387283067653E-2</v>
      </c>
      <c r="F197">
        <f t="shared" si="109"/>
        <v>1.1329687588759883E-2</v>
      </c>
      <c r="G197">
        <f t="shared" si="110"/>
        <v>3.3370343388819758E-2</v>
      </c>
      <c r="H197">
        <f t="shared" si="111"/>
        <v>-3.1082223066111805</v>
      </c>
      <c r="J197">
        <f t="shared" si="112"/>
        <v>15</v>
      </c>
      <c r="M197">
        <f t="shared" si="113"/>
        <v>1.3477028225410912E-2</v>
      </c>
      <c r="N197">
        <f t="shared" si="114"/>
        <v>-1.5707963250000001</v>
      </c>
      <c r="O197">
        <f t="shared" si="115"/>
        <v>28.083868285797436</v>
      </c>
      <c r="P197">
        <f t="shared" si="116"/>
        <v>1.5351811676685378</v>
      </c>
      <c r="Q197">
        <f t="shared" si="117"/>
        <v>10.826122431211205</v>
      </c>
      <c r="R197">
        <f t="shared" si="118"/>
        <v>1.4782952947108905</v>
      </c>
      <c r="S197">
        <f t="shared" si="119"/>
        <v>0.99965781276993404</v>
      </c>
      <c r="T197">
        <f t="shared" si="120"/>
        <v>-2.6161297643543146E-2</v>
      </c>
      <c r="U197">
        <f t="shared" si="121"/>
        <v>0.9263035432596658</v>
      </c>
      <c r="V197">
        <f t="shared" si="122"/>
        <v>-0.3863156050505494</v>
      </c>
      <c r="X197">
        <f t="shared" si="139"/>
        <v>-3.8083961944793741</v>
      </c>
      <c r="Y197">
        <f t="shared" si="123"/>
        <v>-117.59504314975395</v>
      </c>
      <c r="Z197">
        <f t="shared" si="140"/>
        <v>62.404956850246052</v>
      </c>
      <c r="AC197">
        <v>1</v>
      </c>
      <c r="AD197">
        <f t="shared" si="124"/>
        <v>28.066058823675604</v>
      </c>
      <c r="AE197">
        <f t="shared" si="125"/>
        <v>-1.4372056230733089E-3</v>
      </c>
      <c r="AF197">
        <f t="shared" si="126"/>
        <v>3.5333492534549999E-3</v>
      </c>
      <c r="AG197">
        <f t="shared" si="141"/>
        <v>6716.7832881068698</v>
      </c>
      <c r="AH197">
        <f t="shared" si="142"/>
        <v>-3015.0992575146238</v>
      </c>
      <c r="AJ197">
        <f t="shared" si="127"/>
        <v>21000</v>
      </c>
      <c r="AK197">
        <f t="shared" si="128"/>
        <v>549.51262085254507</v>
      </c>
      <c r="AL197">
        <v>1</v>
      </c>
      <c r="AM197">
        <f t="shared" si="129"/>
        <v>10.779838908609644</v>
      </c>
      <c r="AN197">
        <f t="shared" si="143"/>
        <v>229.71438355169485</v>
      </c>
      <c r="AO197">
        <f t="shared" si="144"/>
        <v>-1926.7714288252944</v>
      </c>
      <c r="AQ197">
        <f t="shared" si="130"/>
        <v>0.37636432066240122</v>
      </c>
      <c r="AR197">
        <f t="shared" si="131"/>
        <v>-61.3473842679714</v>
      </c>
      <c r="AT197">
        <f t="shared" si="156"/>
        <v>-182440.49517755996</v>
      </c>
      <c r="AU197">
        <f t="shared" si="157"/>
        <v>-413191.8612039648</v>
      </c>
      <c r="AV197">
        <f t="shared" si="145"/>
        <v>-1.9865921986139286</v>
      </c>
      <c r="AW197">
        <f t="shared" si="146"/>
        <v>-114013.74351910574</v>
      </c>
      <c r="AX197">
        <f t="shared" si="147"/>
        <v>-28848.960466129247</v>
      </c>
      <c r="AY197">
        <f t="shared" si="155"/>
        <v>-2.8937637463129393</v>
      </c>
      <c r="BA197">
        <f t="shared" si="132"/>
        <v>3.8405630287121268</v>
      </c>
      <c r="BB197">
        <f t="shared" si="148"/>
        <v>11.687897937030559</v>
      </c>
      <c r="BC197">
        <f t="shared" si="149"/>
        <v>0.90717154769901076</v>
      </c>
      <c r="BD197">
        <f t="shared" si="133"/>
        <v>-128.02289896310333</v>
      </c>
      <c r="BF197">
        <f t="shared" si="134"/>
        <v>-3.7030720463574331</v>
      </c>
      <c r="BG197">
        <f t="shared" si="135"/>
        <v>-124.64423956849983</v>
      </c>
      <c r="BH197">
        <f t="shared" si="150"/>
        <v>55.355760431500173</v>
      </c>
      <c r="BI197">
        <f t="shared" si="151"/>
        <v>55.355760431500173</v>
      </c>
      <c r="BJ197">
        <f t="shared" si="136"/>
        <v>0</v>
      </c>
      <c r="BK197">
        <f t="shared" si="152"/>
        <v>0</v>
      </c>
      <c r="BM197">
        <f t="shared" si="153"/>
        <v>-15.390969983387993</v>
      </c>
      <c r="BN197">
        <f t="shared" si="137"/>
        <v>-176.62134060539651</v>
      </c>
      <c r="BQ197" s="66">
        <f t="shared" si="154"/>
        <v>28.589858737315698</v>
      </c>
      <c r="BR197" s="71"/>
      <c r="BS197" s="71"/>
      <c r="BT197" s="71">
        <v>7413.1019999999999</v>
      </c>
      <c r="BU197" s="71">
        <v>-0.73329999999999995</v>
      </c>
      <c r="BV197" s="71">
        <v>-225.834</v>
      </c>
      <c r="BW197" s="75"/>
      <c r="BY197" s="71"/>
      <c r="BZ197" s="71"/>
      <c r="CA197" s="71"/>
      <c r="CC197" s="71"/>
    </row>
    <row r="198" spans="1:81" ht="13" x14ac:dyDescent="0.3">
      <c r="A198">
        <f t="shared" si="158"/>
        <v>82000</v>
      </c>
      <c r="B198">
        <f t="shared" si="138"/>
        <v>82</v>
      </c>
      <c r="C198">
        <f t="shared" si="107"/>
        <v>1.0003317610665037</v>
      </c>
      <c r="D198">
        <f t="shared" si="108"/>
        <v>2.5755363375098064E-2</v>
      </c>
      <c r="F198">
        <f t="shared" si="109"/>
        <v>1.11904631761661E-2</v>
      </c>
      <c r="G198">
        <f t="shared" si="110"/>
        <v>3.3162407054374357E-2</v>
      </c>
      <c r="H198">
        <f t="shared" si="111"/>
        <v>-3.1084302429456256</v>
      </c>
      <c r="J198">
        <f t="shared" si="112"/>
        <v>15</v>
      </c>
      <c r="M198">
        <f t="shared" si="113"/>
        <v>1.3394851224036455E-2</v>
      </c>
      <c r="N198">
        <f t="shared" si="114"/>
        <v>-1.5707963250000001</v>
      </c>
      <c r="O198">
        <f t="shared" si="115"/>
        <v>28.255944169714706</v>
      </c>
      <c r="P198">
        <f t="shared" si="116"/>
        <v>1.5353981513527075</v>
      </c>
      <c r="Q198">
        <f t="shared" si="117"/>
        <v>10.891975391217791</v>
      </c>
      <c r="R198">
        <f t="shared" si="118"/>
        <v>1.4788561426181077</v>
      </c>
      <c r="S198">
        <f t="shared" si="119"/>
        <v>0.99965360346244292</v>
      </c>
      <c r="T198">
        <f t="shared" si="120"/>
        <v>-2.6321722505615083E-2</v>
      </c>
      <c r="U198">
        <f t="shared" si="121"/>
        <v>0.9254953810121701</v>
      </c>
      <c r="V198">
        <f t="shared" si="122"/>
        <v>-0.38845490976455066</v>
      </c>
      <c r="X198">
        <f t="shared" si="139"/>
        <v>-3.8707691884765563</v>
      </c>
      <c r="Y198">
        <f t="shared" si="123"/>
        <v>-117.68516128804224</v>
      </c>
      <c r="Z198">
        <f t="shared" si="140"/>
        <v>62.314838711957762</v>
      </c>
      <c r="AC198">
        <v>1</v>
      </c>
      <c r="AD198">
        <f t="shared" si="124"/>
        <v>28.238243233636801</v>
      </c>
      <c r="AE198">
        <f t="shared" si="125"/>
        <v>-1.4548941412239722E-3</v>
      </c>
      <c r="AF198">
        <f t="shared" si="126"/>
        <v>3.5550262427400002E-3</v>
      </c>
      <c r="AG198">
        <f t="shared" si="141"/>
        <v>6705.0681591875564</v>
      </c>
      <c r="AH198">
        <f t="shared" si="142"/>
        <v>-3025.3403623316003</v>
      </c>
      <c r="AJ198">
        <f t="shared" si="127"/>
        <v>21000</v>
      </c>
      <c r="AK198">
        <f t="shared" si="128"/>
        <v>552.88386392526013</v>
      </c>
      <c r="AL198">
        <v>1</v>
      </c>
      <c r="AM198">
        <f t="shared" si="129"/>
        <v>10.845972889644061</v>
      </c>
      <c r="AN198">
        <f t="shared" si="143"/>
        <v>227.55960963603673</v>
      </c>
      <c r="AO198">
        <f t="shared" si="144"/>
        <v>-1915.22149296518</v>
      </c>
      <c r="AQ198">
        <f t="shared" si="130"/>
        <v>0.37178867531694987</v>
      </c>
      <c r="AR198">
        <f t="shared" si="131"/>
        <v>-60.973342751979771</v>
      </c>
      <c r="AT198">
        <f t="shared" si="156"/>
        <v>-181972.24644502916</v>
      </c>
      <c r="AU198">
        <f t="shared" si="157"/>
        <v>-409955.20633122307</v>
      </c>
      <c r="AV198">
        <f t="shared" si="145"/>
        <v>-1.9885519265939542</v>
      </c>
      <c r="AW198">
        <f t="shared" si="146"/>
        <v>-112605.82081026839</v>
      </c>
      <c r="AX198">
        <f t="shared" si="147"/>
        <v>-28547.78020671018</v>
      </c>
      <c r="AY198">
        <f t="shared" si="155"/>
        <v>-2.8933041992276958</v>
      </c>
      <c r="BA198">
        <f t="shared" si="132"/>
        <v>3.8610208962227306</v>
      </c>
      <c r="BB198">
        <f t="shared" si="148"/>
        <v>11.734043041492466</v>
      </c>
      <c r="BC198">
        <f t="shared" si="149"/>
        <v>0.90475227263374158</v>
      </c>
      <c r="BD198">
        <f t="shared" si="133"/>
        <v>-128.16151321398289</v>
      </c>
      <c r="BF198">
        <f t="shared" si="134"/>
        <v>-3.7642893660596339</v>
      </c>
      <c r="BG198">
        <f t="shared" si="135"/>
        <v>-124.78577362619606</v>
      </c>
      <c r="BH198">
        <f t="shared" si="150"/>
        <v>55.214226373803939</v>
      </c>
      <c r="BI198">
        <f t="shared" si="151"/>
        <v>55.214226373803939</v>
      </c>
      <c r="BJ198">
        <f t="shared" si="136"/>
        <v>0</v>
      </c>
      <c r="BK198">
        <f t="shared" si="152"/>
        <v>0</v>
      </c>
      <c r="BM198">
        <f t="shared" si="153"/>
        <v>-15.4983324075521</v>
      </c>
      <c r="BN198">
        <f t="shared" si="137"/>
        <v>-176.6242604122132</v>
      </c>
      <c r="BQ198" s="66">
        <f t="shared" si="154"/>
        <v>28.636003841777601</v>
      </c>
      <c r="BR198" s="71"/>
      <c r="BS198" s="71"/>
      <c r="BT198" s="71">
        <v>7585.7759999999998</v>
      </c>
      <c r="BU198" s="71">
        <v>-0.87090199999999995</v>
      </c>
      <c r="BV198" s="71">
        <v>-224.429</v>
      </c>
      <c r="BW198" s="75"/>
      <c r="BY198" s="71"/>
      <c r="BZ198" s="71"/>
      <c r="CA198" s="71"/>
      <c r="CC198" s="71"/>
    </row>
    <row r="199" spans="1:81" ht="13" x14ac:dyDescent="0.3">
      <c r="A199">
        <f t="shared" si="158"/>
        <v>82500</v>
      </c>
      <c r="B199">
        <f t="shared" si="138"/>
        <v>82.5</v>
      </c>
      <c r="C199">
        <f t="shared" si="107"/>
        <v>1.0003358185869453</v>
      </c>
      <c r="D199">
        <f t="shared" si="108"/>
        <v>2.5912338197556783E-2</v>
      </c>
      <c r="F199">
        <f t="shared" si="109"/>
        <v>1.1053798209033443E-2</v>
      </c>
      <c r="G199">
        <f t="shared" si="110"/>
        <v>3.2957072610187974E-2</v>
      </c>
      <c r="H199">
        <f t="shared" si="111"/>
        <v>-3.1086355773898124</v>
      </c>
      <c r="J199">
        <f t="shared" si="112"/>
        <v>15</v>
      </c>
      <c r="M199">
        <f t="shared" si="113"/>
        <v>1.3313670307527146E-2</v>
      </c>
      <c r="N199">
        <f t="shared" si="114"/>
        <v>-1.5707963250000001</v>
      </c>
      <c r="O199">
        <f t="shared" si="115"/>
        <v>28.428021367870777</v>
      </c>
      <c r="P199">
        <f t="shared" si="116"/>
        <v>1.5356125082059819</v>
      </c>
      <c r="Q199">
        <f t="shared" si="117"/>
        <v>10.957831736119532</v>
      </c>
      <c r="R199">
        <f t="shared" si="118"/>
        <v>1.4794102493289456</v>
      </c>
      <c r="S199">
        <f t="shared" si="119"/>
        <v>0.99964936846361352</v>
      </c>
      <c r="T199">
        <f t="shared" si="120"/>
        <v>-2.6482146012546622E-2</v>
      </c>
      <c r="U199">
        <f t="shared" si="121"/>
        <v>0.92468440685121622</v>
      </c>
      <c r="V199">
        <f t="shared" si="122"/>
        <v>-0.39059047506564909</v>
      </c>
      <c r="X199">
        <f t="shared" si="139"/>
        <v>-3.9328220094415869</v>
      </c>
      <c r="Y199">
        <f t="shared" si="123"/>
        <v>-117.77545283994546</v>
      </c>
      <c r="Z199">
        <f t="shared" si="140"/>
        <v>62.224547160054541</v>
      </c>
      <c r="AC199">
        <v>1</v>
      </c>
      <c r="AD199">
        <f t="shared" si="124"/>
        <v>28.410427643598002</v>
      </c>
      <c r="AE199">
        <f t="shared" si="125"/>
        <v>-1.4726908460299911E-3</v>
      </c>
      <c r="AF199">
        <f t="shared" si="126"/>
        <v>3.576703232025E-3</v>
      </c>
      <c r="AG199">
        <f t="shared" si="141"/>
        <v>6693.3225476040161</v>
      </c>
      <c r="AH199">
        <f t="shared" si="142"/>
        <v>-3035.531365356142</v>
      </c>
      <c r="AJ199">
        <f t="shared" si="127"/>
        <v>21000</v>
      </c>
      <c r="AK199">
        <f t="shared" si="128"/>
        <v>556.25510699797508</v>
      </c>
      <c r="AL199">
        <v>1</v>
      </c>
      <c r="AM199">
        <f t="shared" si="129"/>
        <v>10.912106870678475</v>
      </c>
      <c r="AN199">
        <f t="shared" si="143"/>
        <v>225.44345953921683</v>
      </c>
      <c r="AO199">
        <f t="shared" si="144"/>
        <v>-1903.8080167894377</v>
      </c>
      <c r="AQ199">
        <f t="shared" si="130"/>
        <v>0.36729596709028134</v>
      </c>
      <c r="AR199">
        <f t="shared" si="131"/>
        <v>-60.603834569896421</v>
      </c>
      <c r="AT199">
        <f t="shared" si="156"/>
        <v>-181506.41031960605</v>
      </c>
      <c r="AU199">
        <f t="shared" si="157"/>
        <v>-406755.95082642284</v>
      </c>
      <c r="AV199">
        <f t="shared" si="145"/>
        <v>-1.99051008859115</v>
      </c>
      <c r="AW199">
        <f t="shared" si="146"/>
        <v>-111223.23106013554</v>
      </c>
      <c r="AX199">
        <f t="shared" si="147"/>
        <v>-28252.766394027465</v>
      </c>
      <c r="AY199">
        <f t="shared" si="155"/>
        <v>-2.8928353953228179</v>
      </c>
      <c r="BA199">
        <f t="shared" si="132"/>
        <v>3.8814304752791116</v>
      </c>
      <c r="BB199">
        <f t="shared" si="148"/>
        <v>11.779836228522489</v>
      </c>
      <c r="BC199">
        <f t="shared" si="149"/>
        <v>0.90232530673166789</v>
      </c>
      <c r="BD199">
        <f t="shared" si="133"/>
        <v>-128.30056811735278</v>
      </c>
      <c r="BF199">
        <f t="shared" si="134"/>
        <v>-3.8251915544433897</v>
      </c>
      <c r="BG199">
        <f t="shared" si="135"/>
        <v>-124.92759933179299</v>
      </c>
      <c r="BH199">
        <f t="shared" si="150"/>
        <v>55.07240066820701</v>
      </c>
      <c r="BI199">
        <f t="shared" si="151"/>
        <v>55.07240066820701</v>
      </c>
      <c r="BJ199">
        <f t="shared" si="136"/>
        <v>0</v>
      </c>
      <c r="BK199">
        <f t="shared" si="152"/>
        <v>0</v>
      </c>
      <c r="BM199">
        <f t="shared" si="153"/>
        <v>-15.605027782965879</v>
      </c>
      <c r="BN199">
        <f t="shared" si="137"/>
        <v>-176.62703121444022</v>
      </c>
      <c r="BQ199" s="66">
        <f t="shared" si="154"/>
        <v>28.681797028807626</v>
      </c>
      <c r="BR199" s="71"/>
      <c r="BS199" s="71"/>
      <c r="BT199" s="71">
        <v>7762.4709999999995</v>
      </c>
      <c r="BU199" s="71">
        <v>-1.0348599999999999</v>
      </c>
      <c r="BV199" s="71">
        <v>-223.255</v>
      </c>
      <c r="BW199" s="75"/>
      <c r="BY199" s="71"/>
      <c r="BZ199" s="71"/>
      <c r="CA199" s="71"/>
      <c r="CC199" s="71"/>
    </row>
    <row r="200" spans="1:81" ht="13" x14ac:dyDescent="0.3">
      <c r="A200">
        <f t="shared" si="158"/>
        <v>83000</v>
      </c>
      <c r="B200">
        <f t="shared" si="138"/>
        <v>83</v>
      </c>
      <c r="C200">
        <f t="shared" si="107"/>
        <v>1.0003399007565565</v>
      </c>
      <c r="D200">
        <f t="shared" si="108"/>
        <v>2.6069311742723245E-2</v>
      </c>
      <c r="F200">
        <f t="shared" si="109"/>
        <v>1.0919630122902962E-2</v>
      </c>
      <c r="G200">
        <f t="shared" si="110"/>
        <v>3.275429105570065E-2</v>
      </c>
      <c r="H200">
        <f t="shared" si="111"/>
        <v>-3.1088383589442996</v>
      </c>
      <c r="J200">
        <f t="shared" si="112"/>
        <v>15</v>
      </c>
      <c r="M200">
        <f t="shared" si="113"/>
        <v>1.323346747434927E-2</v>
      </c>
      <c r="N200">
        <f t="shared" si="114"/>
        <v>-1.5707963250000001</v>
      </c>
      <c r="O200">
        <f t="shared" si="115"/>
        <v>28.600099856543643</v>
      </c>
      <c r="P200">
        <f t="shared" si="116"/>
        <v>1.5358242856231166</v>
      </c>
      <c r="Q200">
        <f t="shared" si="117"/>
        <v>11.023691405251592</v>
      </c>
      <c r="R200">
        <f t="shared" si="118"/>
        <v>1.4799577353233688</v>
      </c>
      <c r="S200">
        <f t="shared" si="119"/>
        <v>0.99964510777442606</v>
      </c>
      <c r="T200">
        <f t="shared" si="120"/>
        <v>-2.6642568156097814E-2</v>
      </c>
      <c r="U200">
        <f t="shared" si="121"/>
        <v>0.92387065032420745</v>
      </c>
      <c r="V200">
        <f t="shared" si="122"/>
        <v>-0.39272229132184366</v>
      </c>
      <c r="X200">
        <f t="shared" si="139"/>
        <v>-3.9945590932239612</v>
      </c>
      <c r="Y200">
        <f t="shared" si="123"/>
        <v>-117.86591044257307</v>
      </c>
      <c r="Z200">
        <f t="shared" si="140"/>
        <v>62.134089557426933</v>
      </c>
      <c r="AC200">
        <v>1</v>
      </c>
      <c r="AD200">
        <f t="shared" si="124"/>
        <v>28.582612053559206</v>
      </c>
      <c r="AE200">
        <f t="shared" si="125"/>
        <v>-1.4905957374913659E-3</v>
      </c>
      <c r="AF200">
        <f t="shared" si="126"/>
        <v>3.5983802213100003E-3</v>
      </c>
      <c r="AG200">
        <f t="shared" si="141"/>
        <v>6681.5469878434778</v>
      </c>
      <c r="AH200">
        <f t="shared" si="142"/>
        <v>-3045.6718817607143</v>
      </c>
      <c r="AJ200">
        <f t="shared" si="127"/>
        <v>21000</v>
      </c>
      <c r="AK200">
        <f t="shared" si="128"/>
        <v>559.62635007069002</v>
      </c>
      <c r="AL200">
        <v>1</v>
      </c>
      <c r="AM200">
        <f t="shared" si="129"/>
        <v>10.97824085171289</v>
      </c>
      <c r="AN200">
        <f t="shared" si="143"/>
        <v>223.36501819415631</v>
      </c>
      <c r="AO200">
        <f t="shared" si="144"/>
        <v>-1892.5286175119895</v>
      </c>
      <c r="AQ200">
        <f t="shared" si="130"/>
        <v>0.36288420365061508</v>
      </c>
      <c r="AR200">
        <f t="shared" si="131"/>
        <v>-60.238777806002105</v>
      </c>
      <c r="AT200">
        <f t="shared" si="156"/>
        <v>-181042.92389753426</v>
      </c>
      <c r="AU200">
        <f t="shared" si="157"/>
        <v>-403593.45061645971</v>
      </c>
      <c r="AV200">
        <f t="shared" si="145"/>
        <v>-1.9924666357723499</v>
      </c>
      <c r="AW200">
        <f t="shared" si="146"/>
        <v>-109865.37479320265</v>
      </c>
      <c r="AX200">
        <f t="shared" si="147"/>
        <v>-27963.748566174425</v>
      </c>
      <c r="AY200">
        <f t="shared" si="155"/>
        <v>-2.8923574650289186</v>
      </c>
      <c r="BA200">
        <f t="shared" si="132"/>
        <v>3.9017915196532114</v>
      </c>
      <c r="BB200">
        <f t="shared" si="148"/>
        <v>11.825281209508955</v>
      </c>
      <c r="BC200">
        <f t="shared" si="149"/>
        <v>0.8998908292565686</v>
      </c>
      <c r="BD200">
        <f t="shared" si="133"/>
        <v>-128.440053402155</v>
      </c>
      <c r="BF200">
        <f t="shared" si="134"/>
        <v>-3.8857832125271545</v>
      </c>
      <c r="BG200">
        <f t="shared" si="135"/>
        <v>-125.06970922220017</v>
      </c>
      <c r="BH200">
        <f t="shared" si="150"/>
        <v>54.930290777799826</v>
      </c>
      <c r="BI200">
        <f t="shared" si="151"/>
        <v>54.930290777799826</v>
      </c>
      <c r="BJ200">
        <f t="shared" si="136"/>
        <v>0</v>
      </c>
      <c r="BK200">
        <f t="shared" si="152"/>
        <v>0</v>
      </c>
      <c r="BM200">
        <f t="shared" si="153"/>
        <v>-15.711064422036111</v>
      </c>
      <c r="BN200">
        <f t="shared" si="137"/>
        <v>-176.62965582004517</v>
      </c>
      <c r="BQ200" s="66">
        <f t="shared" si="154"/>
        <v>28.727242009794093</v>
      </c>
      <c r="BR200" s="71"/>
      <c r="BS200" s="71"/>
      <c r="BT200" s="71">
        <v>7943.2820000000002</v>
      </c>
      <c r="BU200" s="71">
        <v>-1.2307999999999999</v>
      </c>
      <c r="BV200" s="71">
        <v>-223.13499999999999</v>
      </c>
      <c r="BW200" s="75"/>
      <c r="BY200" s="71"/>
      <c r="BZ200" s="71"/>
      <c r="CA200" s="71"/>
      <c r="CC200" s="71"/>
    </row>
    <row r="201" spans="1:81" ht="13" x14ac:dyDescent="0.3">
      <c r="A201">
        <f>A200+500</f>
        <v>83500</v>
      </c>
      <c r="B201">
        <f t="shared" si="138"/>
        <v>83.5</v>
      </c>
      <c r="C201">
        <f t="shared" ref="C201:C264" si="159">SQRT((A201/Fesr)^2+1)</f>
        <v>1.0003440075750354</v>
      </c>
      <c r="D201">
        <f t="shared" ref="D201:D264" si="160">ATAN(A201/Fesr)</f>
        <v>2.6226284002877256E-2</v>
      </c>
      <c r="F201">
        <f t="shared" ref="F201:F264" si="161">(Ro/(Ro+Rdcr))/SQRT((A201/(Q*Fo))^2+(1-(A201^2/Fo^2))^2)</f>
        <v>1.0787898259645008E-2</v>
      </c>
      <c r="G201">
        <f t="shared" ref="G201:G264" si="162">-ATAN(A201*Fo/(Q*(Fo^2-A201^2)))</f>
        <v>3.2554014623920761E-2</v>
      </c>
      <c r="H201">
        <f t="shared" ref="H201:H264" si="163">IF(G201&gt;0,G201-Pi,G201)</f>
        <v>-3.1090386353760793</v>
      </c>
      <c r="J201">
        <f t="shared" ref="J201:J264" si="164">Vin/Vramp</f>
        <v>15</v>
      </c>
      <c r="M201">
        <f t="shared" ref="M201:M264" si="165">1/(2*Pi*_Rfb1*(Cc1ea_u+Cc2ea_u)*A201)</f>
        <v>1.3154225154143585E-2</v>
      </c>
      <c r="N201">
        <f t="shared" ref="N201:N264" si="166">-Pi/2</f>
        <v>-1.5707963250000001</v>
      </c>
      <c r="O201">
        <f t="shared" ref="O201:O264" si="167">SQRT(1+(A201/Fz1_u)^2)</f>
        <v>28.772179612578633</v>
      </c>
      <c r="P201">
        <f t="shared" ref="P201:P264" si="168">ATAN2(Fz1_u,A201)</f>
        <v>1.5360335298659764</v>
      </c>
      <c r="Q201">
        <f t="shared" ref="Q201:Q264" si="169">SQRT(1+(A201/Fz2_u)^2)</f>
        <v>11.089554339387229</v>
      </c>
      <c r="R201">
        <f t="shared" ref="R201:R264" si="170">ATAN2(Fz2_u,A201)</f>
        <v>1.4804987182352236</v>
      </c>
      <c r="S201">
        <f t="shared" ref="S201:S264" si="171">1/SQRT(1+(A201/Fp1_u)^2)</f>
        <v>0.99964082139586663</v>
      </c>
      <c r="T201">
        <f t="shared" ref="T201:T264" si="172">-ATAN2(Fp1_u,A201)</f>
        <v>-2.6802988928029129E-2</v>
      </c>
      <c r="U201">
        <f t="shared" ref="U201:U264" si="173">1/SQRT(1+(A201/Fp2_u)^2)</f>
        <v>0.92305414093031879</v>
      </c>
      <c r="V201">
        <f t="shared" ref="V201:V264" si="174">-ATAN2(Fp2_u,A201)</f>
        <v>-0.39485034907122529</v>
      </c>
      <c r="X201">
        <f t="shared" si="139"/>
        <v>-4.0559847834638623</v>
      </c>
      <c r="Y201">
        <f t="shared" ref="Y201:Y264" si="175">(180/Pi)*(D201+H201+N201+P201+R201+T201+V201)</f>
        <v>-117.95652690008238</v>
      </c>
      <c r="Z201">
        <f t="shared" si="140"/>
        <v>62.04347309991762</v>
      </c>
      <c r="AC201">
        <v>1</v>
      </c>
      <c r="AD201">
        <f t="shared" ref="AD201:AD264" si="176">Rcea1_u*Cc1ea_u*A201*2*Pi</f>
        <v>28.754796463520403</v>
      </c>
      <c r="AE201">
        <f t="shared" ref="AE201:AE264" si="177">-Rcea1_u*Cc1ea_u*Cc2ea_u*(A201*2*Pi)^2</f>
        <v>-1.5086088156080965E-3</v>
      </c>
      <c r="AF201">
        <f t="shared" ref="AF201:AF264" si="178">(Cc2ea_u+Cc1ea_u)*A201*2*Pi</f>
        <v>3.6200572105950001E-3</v>
      </c>
      <c r="AG201">
        <f t="shared" si="141"/>
        <v>6669.7420125566223</v>
      </c>
      <c r="AH201">
        <f t="shared" si="142"/>
        <v>-3055.7615403421842</v>
      </c>
      <c r="AJ201">
        <f t="shared" ref="AJ201:AJ264" si="179">_Rfb1</f>
        <v>21000</v>
      </c>
      <c r="AK201">
        <f t="shared" ref="AK201:AK264" si="180">_Rfb1*Rcea2_u*Cc3ea_u*A201*2*Pi</f>
        <v>562.99759314340497</v>
      </c>
      <c r="AL201">
        <v>1</v>
      </c>
      <c r="AM201">
        <f t="shared" ref="AM201:AM264" si="181">(_Rfb1+Rcea2_u)*Cc3ea_u*A201*2*Pi</f>
        <v>11.044374832747305</v>
      </c>
      <c r="AN201">
        <f t="shared" si="143"/>
        <v>221.32339739888846</v>
      </c>
      <c r="AO201">
        <f t="shared" si="144"/>
        <v>-1881.3809669870093</v>
      </c>
      <c r="AQ201">
        <f t="shared" ref="AQ201:AQ264" si="182">Eadcg/(1+(Eadcg*A201/GBP)^2)</f>
        <v>0.35855145213338113</v>
      </c>
      <c r="AR201">
        <f t="shared" ref="AR201:AR264" si="183">-(A201*Eadcg*Eadcg/GBP)/(1+(Eadcg*A201/GBP)^2)</f>
        <v>-59.878092506274648</v>
      </c>
      <c r="AT201">
        <f t="shared" si="156"/>
        <v>-180581.72650576843</v>
      </c>
      <c r="AU201">
        <f t="shared" si="157"/>
        <v>-400467.07695851487</v>
      </c>
      <c r="AV201">
        <f t="shared" si="145"/>
        <v>-1.9944215204111289</v>
      </c>
      <c r="AW201">
        <f t="shared" si="146"/>
        <v>-108531.67010508032</v>
      </c>
      <c r="AX201">
        <f t="shared" si="147"/>
        <v>-27680.562050236818</v>
      </c>
      <c r="AY201">
        <f t="shared" si="155"/>
        <v>-2.8918705359113632</v>
      </c>
      <c r="BA201">
        <f t="shared" ref="BA201:BA264" si="184">SQRT(AT201^2+AU201^2)/SQRT(AW201^2+AX201^2)</f>
        <v>3.9221037852901026</v>
      </c>
      <c r="BB201">
        <f t="shared" si="148"/>
        <v>11.870381632542655</v>
      </c>
      <c r="BC201">
        <f t="shared" si="149"/>
        <v>0.89744901550023437</v>
      </c>
      <c r="BD201">
        <f t="shared" ref="BD201:BD264" si="185">BC201*180/Pi-180</f>
        <v>-128.57995902490981</v>
      </c>
      <c r="BF201">
        <f t="shared" ref="BF201:BF264" si="186">20*LOG(BA201*J201*F201*C201)</f>
        <v>-3.94606884871324</v>
      </c>
      <c r="BG201">
        <f t="shared" ref="BG201:BG264" si="187">(180/Pi)*(D201+H201+BC201)</f>
        <v>-125.2120959912273</v>
      </c>
      <c r="BH201">
        <f t="shared" si="150"/>
        <v>54.787904008772699</v>
      </c>
      <c r="BI201">
        <f t="shared" si="151"/>
        <v>54.787904008772699</v>
      </c>
      <c r="BJ201">
        <f t="shared" ref="BJ201:BJ264" si="188">SUM((BF202&lt;0)*(BF201&gt;0))*A201</f>
        <v>0</v>
      </c>
      <c r="BK201">
        <f t="shared" si="152"/>
        <v>0</v>
      </c>
      <c r="BM201">
        <f t="shared" si="153"/>
        <v>-15.816450481255895</v>
      </c>
      <c r="BN201">
        <f t="shared" ref="BN201:BN264" si="189">(H201+D201)*180/Pi</f>
        <v>-176.63213696631749</v>
      </c>
      <c r="BQ201" s="66">
        <f t="shared" si="154"/>
        <v>28.772342432827791</v>
      </c>
      <c r="BR201" s="71"/>
      <c r="BS201" s="71"/>
      <c r="BT201" s="71">
        <v>8128.3050000000003</v>
      </c>
      <c r="BU201" s="71">
        <v>-1.3526100000000001</v>
      </c>
      <c r="BV201" s="71">
        <v>-221.982</v>
      </c>
      <c r="BW201" s="75"/>
      <c r="BY201" s="71"/>
      <c r="BZ201" s="71"/>
      <c r="CA201" s="71"/>
      <c r="CC201" s="71"/>
    </row>
    <row r="202" spans="1:81" ht="13" x14ac:dyDescent="0.3">
      <c r="A202">
        <f t="shared" ref="A202:A234" si="190">A201+500</f>
        <v>84000</v>
      </c>
      <c r="B202">
        <f t="shared" ref="B202:B265" si="191">A202/1000</f>
        <v>84</v>
      </c>
      <c r="C202">
        <f t="shared" si="159"/>
        <v>1.0003481390420783</v>
      </c>
      <c r="D202">
        <f t="shared" si="160"/>
        <v>2.638325497029901E-2</v>
      </c>
      <c r="F202">
        <f t="shared" si="161"/>
        <v>1.065854379795849E-2</v>
      </c>
      <c r="G202">
        <f t="shared" si="162"/>
        <v>3.2356196742541532E-2</v>
      </c>
      <c r="H202">
        <f t="shared" si="163"/>
        <v>-3.1092364532574588</v>
      </c>
      <c r="J202">
        <f t="shared" si="164"/>
        <v>15</v>
      </c>
      <c r="M202">
        <f t="shared" si="165"/>
        <v>1.3075926194892732E-2</v>
      </c>
      <c r="N202">
        <f t="shared" si="166"/>
        <v>-1.5707963250000001</v>
      </c>
      <c r="O202">
        <f t="shared" si="167"/>
        <v>28.944260613371526</v>
      </c>
      <c r="P202">
        <f t="shared" si="168"/>
        <v>1.536240286097172</v>
      </c>
      <c r="Q202">
        <f t="shared" si="169"/>
        <v>11.155420480695533</v>
      </c>
      <c r="R202">
        <f t="shared" si="170"/>
        <v>1.4810333129355573</v>
      </c>
      <c r="S202">
        <f t="shared" si="171"/>
        <v>0.99963650932892778</v>
      </c>
      <c r="T202">
        <f t="shared" si="172"/>
        <v>-2.6963408320101467E-2</v>
      </c>
      <c r="U202">
        <f t="shared" si="173"/>
        <v>0.92223490811837605</v>
      </c>
      <c r="V202">
        <f t="shared" si="174"/>
        <v>-0.39697463902138452</v>
      </c>
      <c r="X202">
        <f t="shared" ref="X202:X265" si="192">20*LOG(C202*J202*O202*Q202*F202*M202*S202*U202)</f>
        <v>-4.117103334066921</v>
      </c>
      <c r="Y202">
        <f t="shared" si="175"/>
        <v>-118.04729517917127</v>
      </c>
      <c r="Z202">
        <f t="shared" ref="Z202:Z265" si="193">Y202+180</f>
        <v>61.952704820828728</v>
      </c>
      <c r="AC202">
        <v>1</v>
      </c>
      <c r="AD202">
        <f t="shared" si="176"/>
        <v>28.9269808734816</v>
      </c>
      <c r="AE202">
        <f t="shared" si="177"/>
        <v>-1.5267300803801828E-3</v>
      </c>
      <c r="AF202">
        <f t="shared" si="178"/>
        <v>3.6417341998800003E-3</v>
      </c>
      <c r="AG202">
        <f t="shared" ref="AG202:AG265" si="194">AC202*AE202/(AE202^2+AF202^2)+AD202*AF202/(AE202^2+AF202^2)</f>
        <v>6657.9081525172642</v>
      </c>
      <c r="AH202">
        <f t="shared" ref="AH202:AH265" si="195">AD202*AE202/(AE202^2+AF202^2)-AC202*AF202/(AE202^2+AF202^2)</f>
        <v>-3065.7999832125179</v>
      </c>
      <c r="AJ202">
        <f t="shared" si="179"/>
        <v>21000</v>
      </c>
      <c r="AK202">
        <f t="shared" si="180"/>
        <v>566.36883621612003</v>
      </c>
      <c r="AL202">
        <v>1</v>
      </c>
      <c r="AM202">
        <f t="shared" si="181"/>
        <v>11.110508813781721</v>
      </c>
      <c r="AN202">
        <f t="shared" ref="AN202:AN265" si="196">AJ202*AL202/(AL202^2+AM202^2)+AK202*AM202/(AL202^2+AM202^2)</f>
        <v>219.31773487823696</v>
      </c>
      <c r="AO202">
        <f t="shared" ref="AO202:AO265" si="197">AK202*AL202/(AL202^2+AM202^2)-AJ202*AM202/(AL202^2+AM202^2)</f>
        <v>-1870.3627901671746</v>
      </c>
      <c r="AQ202">
        <f t="shared" si="182"/>
        <v>0.35429583702391498</v>
      </c>
      <c r="AR202">
        <f t="shared" si="183"/>
        <v>-59.521700620017718</v>
      </c>
      <c r="AT202">
        <f t="shared" si="156"/>
        <v>-180122.75961990637</v>
      </c>
      <c r="AU202">
        <f t="shared" si="157"/>
        <v>-397376.21598090808</v>
      </c>
      <c r="AV202">
        <f t="shared" ref="AV202:AV265" si="198">ATAN2(AT202,AU202)</f>
        <v>-1.996374695859414</v>
      </c>
      <c r="AW202">
        <f t="shared" ref="AW202:AW265" si="199">AG202-AH202*AO202/_Rfb2+AG202*AN202/_Rfb2+AN202-AO202*AR202+AQ202*AN202</f>
        <v>-107221.55204974215</v>
      </c>
      <c r="AX202">
        <f t="shared" ref="AX202:AX265" si="200">AH202+AH202*AN202/_Rfb2+AG202*AO202/_Rfb2+AO202+AO202*AQ202+AN202*AR202</f>
        <v>-27403.047730894446</v>
      </c>
      <c r="AY202">
        <f t="shared" si="155"/>
        <v>-2.8913747327584702</v>
      </c>
      <c r="BA202">
        <f t="shared" si="184"/>
        <v>3.9423670302978469</v>
      </c>
      <c r="BB202">
        <f t="shared" ref="BB202:BB265" si="201">20*LOG(BA202)</f>
        <v>11.915141083865262</v>
      </c>
      <c r="BC202">
        <f t="shared" ref="BC202:BC265" si="202">AV202-AY202</f>
        <v>0.89500003689905627</v>
      </c>
      <c r="BD202">
        <f t="shared" si="185"/>
        <v>-128.7202751630355</v>
      </c>
      <c r="BF202">
        <f t="shared" si="186"/>
        <v>-4.0060528812477223</v>
      </c>
      <c r="BG202">
        <f t="shared" si="187"/>
        <v>-125.35475248513157</v>
      </c>
      <c r="BH202">
        <f t="shared" ref="BH202:BH265" si="203">IF(BG202&gt;180,BG202-180,BG202+180)</f>
        <v>54.64524751486843</v>
      </c>
      <c r="BI202">
        <f t="shared" ref="BI202:BI265" si="204">IF(BH202&gt;180,BH202-360,BH202)</f>
        <v>54.64524751486843</v>
      </c>
      <c r="BJ202">
        <f t="shared" si="188"/>
        <v>0</v>
      </c>
      <c r="BK202">
        <f t="shared" ref="BK202:BK265" si="205">IF(BJ202&gt;0,BI202,0)</f>
        <v>0</v>
      </c>
      <c r="BM202">
        <f t="shared" ref="BM202:BM265" si="206">20*LOG(J202*F202*C202)</f>
        <v>-15.921193965112986</v>
      </c>
      <c r="BN202">
        <f t="shared" si="189"/>
        <v>-176.63447732209607</v>
      </c>
      <c r="BQ202" s="66">
        <f t="shared" ref="BQ202:BQ265" si="207">20*LOG(BA202*7)</f>
        <v>28.8171018841504</v>
      </c>
      <c r="BR202" s="71"/>
      <c r="BS202" s="71"/>
      <c r="BT202" s="71">
        <v>8317.6380000000008</v>
      </c>
      <c r="BU202" s="71">
        <v>-1.29555</v>
      </c>
      <c r="BV202" s="71">
        <v>-220.93199999999999</v>
      </c>
      <c r="BW202" s="75"/>
      <c r="BY202" s="71"/>
      <c r="BZ202" s="71"/>
      <c r="CA202" s="71"/>
      <c r="CC202" s="71"/>
    </row>
    <row r="203" spans="1:81" ht="13" x14ac:dyDescent="0.3">
      <c r="A203">
        <f t="shared" si="190"/>
        <v>84500</v>
      </c>
      <c r="B203">
        <f t="shared" si="191"/>
        <v>84.5</v>
      </c>
      <c r="C203">
        <f t="shared" si="159"/>
        <v>1.0003522951573802</v>
      </c>
      <c r="D203">
        <f t="shared" si="160"/>
        <v>2.6540224637269079E-2</v>
      </c>
      <c r="F203">
        <f t="shared" si="161"/>
        <v>1.0531509686817462E-2</v>
      </c>
      <c r="G203">
        <f t="shared" si="162"/>
        <v>3.2160791996529547E-2</v>
      </c>
      <c r="H203">
        <f t="shared" si="163"/>
        <v>-3.1094318580034708</v>
      </c>
      <c r="J203">
        <f t="shared" si="164"/>
        <v>15</v>
      </c>
      <c r="M203">
        <f t="shared" si="165"/>
        <v>1.2998553850544254E-2</v>
      </c>
      <c r="N203">
        <f t="shared" si="166"/>
        <v>-1.5707963250000001</v>
      </c>
      <c r="O203">
        <f t="shared" si="167"/>
        <v>29.116342836852343</v>
      </c>
      <c r="P203">
        <f t="shared" si="168"/>
        <v>1.5364445984125037</v>
      </c>
      <c r="Q203">
        <f t="shared" si="169"/>
        <v>11.221289772700615</v>
      </c>
      <c r="R203">
        <f t="shared" si="170"/>
        <v>1.4815616316130349</v>
      </c>
      <c r="S203">
        <f t="shared" si="171"/>
        <v>0.99963217157460771</v>
      </c>
      <c r="T203">
        <f t="shared" si="172"/>
        <v>-2.7123826324076152E-2</v>
      </c>
      <c r="U203">
        <f t="shared" si="173"/>
        <v>0.92141298128476334</v>
      </c>
      <c r="V203">
        <f t="shared" si="174"/>
        <v>-0.39909515204880747</v>
      </c>
      <c r="X203">
        <f t="shared" si="192"/>
        <v>-4.1779189115965325</v>
      </c>
      <c r="Y203">
        <f t="shared" si="175"/>
        <v>-118.13820840472057</v>
      </c>
      <c r="Z203">
        <f t="shared" si="193"/>
        <v>61.861791595279428</v>
      </c>
      <c r="AC203">
        <v>1</v>
      </c>
      <c r="AD203">
        <f t="shared" si="176"/>
        <v>29.099165283442801</v>
      </c>
      <c r="AE203">
        <f t="shared" si="177"/>
        <v>-1.5449595318076247E-3</v>
      </c>
      <c r="AF203">
        <f t="shared" si="178"/>
        <v>3.6634111891650002E-3</v>
      </c>
      <c r="AG203">
        <f t="shared" si="194"/>
        <v>6646.0459365827473</v>
      </c>
      <c r="AH203">
        <f t="shared" si="195"/>
        <v>-3075.7868654987456</v>
      </c>
      <c r="AJ203">
        <f t="shared" si="179"/>
        <v>21000</v>
      </c>
      <c r="AK203">
        <f t="shared" si="180"/>
        <v>569.74007928883509</v>
      </c>
      <c r="AL203">
        <v>1</v>
      </c>
      <c r="AM203">
        <f t="shared" si="181"/>
        <v>11.176642794816136</v>
      </c>
      <c r="AN203">
        <f t="shared" si="196"/>
        <v>217.34719338340173</v>
      </c>
      <c r="AO203">
        <f t="shared" si="197"/>
        <v>-1859.4718636132711</v>
      </c>
      <c r="AQ203">
        <f t="shared" si="182"/>
        <v>0.35011553812758212</v>
      </c>
      <c r="AR203">
        <f t="shared" si="183"/>
        <v>-59.169525943561375</v>
      </c>
      <c r="AT203">
        <f t="shared" si="156"/>
        <v>-179665.96678548606</v>
      </c>
      <c r="AU203">
        <f t="shared" si="157"/>
        <v>-394320.26824031334</v>
      </c>
      <c r="AV203">
        <f t="shared" si="198"/>
        <v>-1.9983261165200696</v>
      </c>
      <c r="AW203">
        <f t="shared" si="199"/>
        <v>-105934.47205148493</v>
      </c>
      <c r="AX203">
        <f t="shared" si="200"/>
        <v>-27131.051829612588</v>
      </c>
      <c r="AY203">
        <f t="shared" ref="AY203:AY266" si="208">ATAN2(AW203,AX203)</f>
        <v>-2.8908701776665824</v>
      </c>
      <c r="BA203">
        <f t="shared" si="184"/>
        <v>3.9625810149379284</v>
      </c>
      <c r="BB203">
        <f t="shared" si="201"/>
        <v>11.959563089277394</v>
      </c>
      <c r="BC203">
        <f t="shared" si="202"/>
        <v>0.89254406114651275</v>
      </c>
      <c r="BD203">
        <f t="shared" si="185"/>
        <v>-128.8609922084035</v>
      </c>
      <c r="BF203">
        <f t="shared" si="186"/>
        <v>-4.0657396405980721</v>
      </c>
      <c r="BG203">
        <f t="shared" si="187"/>
        <v>-125.49767169831645</v>
      </c>
      <c r="BH203">
        <f t="shared" si="203"/>
        <v>54.502328301683548</v>
      </c>
      <c r="BI203">
        <f t="shared" si="204"/>
        <v>54.502328301683548</v>
      </c>
      <c r="BJ203">
        <f t="shared" si="188"/>
        <v>0</v>
      </c>
      <c r="BK203">
        <f t="shared" si="205"/>
        <v>0</v>
      </c>
      <c r="BM203">
        <f t="shared" si="206"/>
        <v>-16.025302729875467</v>
      </c>
      <c r="BN203">
        <f t="shared" si="189"/>
        <v>-176.63667948991295</v>
      </c>
      <c r="BQ203" s="66">
        <f t="shared" si="207"/>
        <v>28.86152388956253</v>
      </c>
      <c r="BR203" s="71"/>
      <c r="BS203" s="71"/>
      <c r="BT203" s="71">
        <v>8511.3799999999992</v>
      </c>
      <c r="BU203" s="71">
        <v>-1.5137499999999999</v>
      </c>
      <c r="BV203" s="71">
        <v>-219.99600000000001</v>
      </c>
      <c r="BW203" s="75"/>
      <c r="BY203" s="71"/>
      <c r="BZ203" s="71"/>
      <c r="CA203" s="71"/>
      <c r="CC203" s="71"/>
    </row>
    <row r="204" spans="1:81" ht="13" x14ac:dyDescent="0.3">
      <c r="A204">
        <f t="shared" si="190"/>
        <v>85000</v>
      </c>
      <c r="B204">
        <f t="shared" si="191"/>
        <v>85</v>
      </c>
      <c r="C204">
        <f t="shared" si="159"/>
        <v>1.0003564759206336</v>
      </c>
      <c r="D204">
        <f t="shared" si="160"/>
        <v>2.6697192996068417E-2</v>
      </c>
      <c r="F204">
        <f t="shared" si="161"/>
        <v>1.0406740581722609E-2</v>
      </c>
      <c r="G204">
        <f t="shared" si="162"/>
        <v>3.1967756092120124E-2</v>
      </c>
      <c r="H204">
        <f t="shared" si="163"/>
        <v>-3.1096248939078799</v>
      </c>
      <c r="J204">
        <f t="shared" si="164"/>
        <v>15</v>
      </c>
      <c r="M204">
        <f t="shared" si="165"/>
        <v>1.2922091769070464E-2</v>
      </c>
      <c r="N204">
        <f t="shared" si="166"/>
        <v>-1.5707963250000001</v>
      </c>
      <c r="O204">
        <f t="shared" si="167"/>
        <v>29.288426261469606</v>
      </c>
      <c r="P204">
        <f t="shared" si="168"/>
        <v>1.5366465098722635</v>
      </c>
      <c r="Q204">
        <f t="shared" si="169"/>
        <v>11.28716216024225</v>
      </c>
      <c r="R204">
        <f t="shared" si="170"/>
        <v>1.4820837838515724</v>
      </c>
      <c r="S204">
        <f t="shared" si="171"/>
        <v>0.99962780813391083</v>
      </c>
      <c r="T204">
        <f t="shared" si="172"/>
        <v>-2.7284242931714931E-2</v>
      </c>
      <c r="U204">
        <f t="shared" si="173"/>
        <v>0.92058838977135704</v>
      </c>
      <c r="V204">
        <f t="shared" si="174"/>
        <v>-0.40121187919825807</v>
      </c>
      <c r="X204">
        <f t="shared" si="192"/>
        <v>-4.2384355975869994</v>
      </c>
      <c r="Y204">
        <f t="shared" si="175"/>
        <v>-118.22925985558015</v>
      </c>
      <c r="Z204">
        <f t="shared" si="193"/>
        <v>61.770740144419847</v>
      </c>
      <c r="AC204">
        <v>1</v>
      </c>
      <c r="AD204">
        <f t="shared" si="176"/>
        <v>29.271349693404005</v>
      </c>
      <c r="AE204">
        <f t="shared" si="177"/>
        <v>-1.5632971698904226E-3</v>
      </c>
      <c r="AF204">
        <f t="shared" si="178"/>
        <v>3.6850881784500004E-3</v>
      </c>
      <c r="AG204">
        <f t="shared" si="194"/>
        <v>6634.1558916550603</v>
      </c>
      <c r="AH204">
        <f t="shared" si="195"/>
        <v>-3085.7218550518091</v>
      </c>
      <c r="AJ204">
        <f t="shared" si="179"/>
        <v>21000</v>
      </c>
      <c r="AK204">
        <f t="shared" si="180"/>
        <v>573.11132236155004</v>
      </c>
      <c r="AL204">
        <v>1</v>
      </c>
      <c r="AM204">
        <f t="shared" si="181"/>
        <v>11.242776775850551</v>
      </c>
      <c r="AN204">
        <f t="shared" si="196"/>
        <v>215.41095982771634</v>
      </c>
      <c r="AO204">
        <f t="shared" si="197"/>
        <v>-1848.7060140531755</v>
      </c>
      <c r="AQ204">
        <f t="shared" si="182"/>
        <v>0.34600878862323103</v>
      </c>
      <c r="AR204">
        <f t="shared" si="183"/>
        <v>-58.821494065949274</v>
      </c>
      <c r="AT204">
        <f t="shared" si="156"/>
        <v>-179211.29354249075</v>
      </c>
      <c r="AU204">
        <f t="shared" si="157"/>
        <v>-391298.64829466527</v>
      </c>
      <c r="AV204">
        <f t="shared" si="198"/>
        <v>-2.0002757378204108</v>
      </c>
      <c r="AW204">
        <f t="shared" si="199"/>
        <v>-104669.89734047232</v>
      </c>
      <c r="AX204">
        <f t="shared" si="200"/>
        <v>-26864.425693879184</v>
      </c>
      <c r="AY204">
        <f t="shared" si="208"/>
        <v>-2.8903569901221431</v>
      </c>
      <c r="BA204">
        <f t="shared" si="184"/>
        <v>3.9827455016162543</v>
      </c>
      <c r="BB204">
        <f t="shared" si="201"/>
        <v>12.003651115507687</v>
      </c>
      <c r="BC204">
        <f t="shared" si="202"/>
        <v>0.8900812523017323</v>
      </c>
      <c r="BD204">
        <f t="shared" si="185"/>
        <v>-129.00210076111816</v>
      </c>
      <c r="BF204">
        <f t="shared" si="186"/>
        <v>-4.1251333717517378</v>
      </c>
      <c r="BG204">
        <f t="shared" si="187"/>
        <v>-125.64084676917429</v>
      </c>
      <c r="BH204">
        <f t="shared" si="203"/>
        <v>54.359153230825711</v>
      </c>
      <c r="BI204">
        <f t="shared" si="204"/>
        <v>54.359153230825711</v>
      </c>
      <c r="BJ204">
        <f t="shared" si="188"/>
        <v>0</v>
      </c>
      <c r="BK204">
        <f t="shared" si="205"/>
        <v>0</v>
      </c>
      <c r="BM204">
        <f t="shared" si="206"/>
        <v>-16.128784487259427</v>
      </c>
      <c r="BN204">
        <f t="shared" si="189"/>
        <v>-176.63874600805616</v>
      </c>
      <c r="BQ204" s="66">
        <f t="shared" si="207"/>
        <v>28.905611915792825</v>
      </c>
      <c r="BR204" s="71"/>
      <c r="BS204" s="71"/>
      <c r="BT204" s="71">
        <v>8709.6360000000004</v>
      </c>
      <c r="BU204" s="71">
        <v>-1.62094</v>
      </c>
      <c r="BV204" s="71">
        <v>-218.72200000000001</v>
      </c>
      <c r="BW204" s="75"/>
      <c r="BY204" s="71"/>
      <c r="BZ204" s="71"/>
      <c r="CA204" s="71"/>
      <c r="CC204" s="71"/>
    </row>
    <row r="205" spans="1:81" ht="13" x14ac:dyDescent="0.3">
      <c r="A205">
        <f t="shared" si="190"/>
        <v>85500</v>
      </c>
      <c r="B205">
        <f t="shared" si="191"/>
        <v>85.5</v>
      </c>
      <c r="C205">
        <f t="shared" si="159"/>
        <v>1.0003606813315293</v>
      </c>
      <c r="D205">
        <f t="shared" si="160"/>
        <v>2.6854160038978368E-2</v>
      </c>
      <c r="F205">
        <f t="shared" si="161"/>
        <v>1.0284182783622968E-2</v>
      </c>
      <c r="G205">
        <f t="shared" si="162"/>
        <v>3.1777045822157936E-2</v>
      </c>
      <c r="H205">
        <f t="shared" si="163"/>
        <v>-3.1098156041778422</v>
      </c>
      <c r="J205">
        <f t="shared" si="164"/>
        <v>15</v>
      </c>
      <c r="M205">
        <f t="shared" si="165"/>
        <v>1.2846523980947244E-2</v>
      </c>
      <c r="N205">
        <f t="shared" si="166"/>
        <v>-1.5707963250000001</v>
      </c>
      <c r="O205">
        <f t="shared" si="167"/>
        <v>29.460510866175245</v>
      </c>
      <c r="P205">
        <f t="shared" si="168"/>
        <v>1.5368460625314428</v>
      </c>
      <c r="Q205">
        <f t="shared" si="169"/>
        <v>11.353037589437838</v>
      </c>
      <c r="R205">
        <f t="shared" si="170"/>
        <v>1.4825998767052948</v>
      </c>
      <c r="S205">
        <f t="shared" si="171"/>
        <v>0.99962341900784701</v>
      </c>
      <c r="T205">
        <f t="shared" si="172"/>
        <v>-2.744465813477999E-2</v>
      </c>
      <c r="U205">
        <f t="shared" si="173"/>
        <v>0.91976116286348708</v>
      </c>
      <c r="V205">
        <f t="shared" si="174"/>
        <v>-0.40332481168214901</v>
      </c>
      <c r="X205">
        <f t="shared" si="192"/>
        <v>-4.2986573907806678</v>
      </c>
      <c r="Y205">
        <f t="shared" si="175"/>
        <v>-118.32044296049328</v>
      </c>
      <c r="Z205">
        <f t="shared" si="193"/>
        <v>61.679557039506719</v>
      </c>
      <c r="AC205">
        <v>1</v>
      </c>
      <c r="AD205">
        <f t="shared" si="176"/>
        <v>29.443534103365202</v>
      </c>
      <c r="AE205">
        <f t="shared" si="177"/>
        <v>-1.5817429946285758E-3</v>
      </c>
      <c r="AF205">
        <f t="shared" si="178"/>
        <v>3.7067651677350003E-3</v>
      </c>
      <c r="AG205">
        <f t="shared" si="194"/>
        <v>6622.2385426426908</v>
      </c>
      <c r="AH205">
        <f t="shared" si="195"/>
        <v>-3095.6046321639437</v>
      </c>
      <c r="AJ205">
        <f t="shared" si="179"/>
        <v>21000</v>
      </c>
      <c r="AK205">
        <f t="shared" si="180"/>
        <v>576.4825654342651</v>
      </c>
      <c r="AL205">
        <v>1</v>
      </c>
      <c r="AM205">
        <f t="shared" si="181"/>
        <v>11.308910756884964</v>
      </c>
      <c r="AN205">
        <f t="shared" si="196"/>
        <v>213.50824445693141</v>
      </c>
      <c r="AO205">
        <f t="shared" si="197"/>
        <v>-1838.0631169883509</v>
      </c>
      <c r="AQ205">
        <f t="shared" si="182"/>
        <v>0.3419738731960878</v>
      </c>
      <c r="AR205">
        <f t="shared" si="183"/>
        <v>-58.477532316531018</v>
      </c>
      <c r="AT205">
        <f t="shared" si="156"/>
        <v>-178758.68735291419</v>
      </c>
      <c r="AU205">
        <f t="shared" si="157"/>
        <v>-388310.78429111006</v>
      </c>
      <c r="AV205">
        <f t="shared" si="198"/>
        <v>-2.0022235161866107</v>
      </c>
      <c r="AW205">
        <f t="shared" si="199"/>
        <v>-103427.31041079026</v>
      </c>
      <c r="AX205">
        <f t="shared" si="200"/>
        <v>-26603.025595974541</v>
      </c>
      <c r="AY205">
        <f t="shared" si="208"/>
        <v>-2.8898352870808863</v>
      </c>
      <c r="BA205">
        <f t="shared" si="184"/>
        <v>4.0028602548746886</v>
      </c>
      <c r="BB205">
        <f t="shared" si="201"/>
        <v>12.047408571544139</v>
      </c>
      <c r="BC205">
        <f t="shared" si="202"/>
        <v>0.88761177089427568</v>
      </c>
      <c r="BD205">
        <f t="shared" si="185"/>
        <v>-129.14359162351312</v>
      </c>
      <c r="BF205">
        <f t="shared" si="186"/>
        <v>-4.1842382364388628</v>
      </c>
      <c r="BG205">
        <f t="shared" si="187"/>
        <v>-125.78427097606873</v>
      </c>
      <c r="BH205">
        <f t="shared" si="203"/>
        <v>54.215729023931274</v>
      </c>
      <c r="BI205">
        <f t="shared" si="204"/>
        <v>54.215729023931274</v>
      </c>
      <c r="BJ205">
        <f t="shared" si="188"/>
        <v>0</v>
      </c>
      <c r="BK205">
        <f t="shared" si="205"/>
        <v>0</v>
      </c>
      <c r="BM205">
        <f t="shared" si="206"/>
        <v>-16.231646807983001</v>
      </c>
      <c r="BN205">
        <f t="shared" si="189"/>
        <v>-176.64067935255562</v>
      </c>
      <c r="BQ205" s="66">
        <f t="shared" si="207"/>
        <v>28.94936937182927</v>
      </c>
      <c r="BR205" s="71"/>
      <c r="BS205" s="71"/>
      <c r="BT205" s="71">
        <v>8912.509</v>
      </c>
      <c r="BU205" s="71">
        <v>-1.6954</v>
      </c>
      <c r="BV205" s="71">
        <v>-217.619</v>
      </c>
      <c r="BW205" s="75"/>
      <c r="BY205" s="71"/>
      <c r="BZ205" s="71"/>
      <c r="CA205" s="71"/>
      <c r="CC205" s="71"/>
    </row>
    <row r="206" spans="1:81" ht="13" x14ac:dyDescent="0.3">
      <c r="A206">
        <f t="shared" si="190"/>
        <v>86000</v>
      </c>
      <c r="B206">
        <f t="shared" si="191"/>
        <v>86</v>
      </c>
      <c r="C206">
        <f t="shared" si="159"/>
        <v>1.000364911389757</v>
      </c>
      <c r="D206">
        <f t="shared" si="160"/>
        <v>2.7011125758280668E-2</v>
      </c>
      <c r="F206">
        <f t="shared" si="161"/>
        <v>1.0163784180380426E-2</v>
      </c>
      <c r="G206">
        <f t="shared" si="162"/>
        <v>3.1588619032724176E-2</v>
      </c>
      <c r="H206">
        <f t="shared" si="163"/>
        <v>-3.1100040309672758</v>
      </c>
      <c r="J206">
        <f t="shared" si="164"/>
        <v>15</v>
      </c>
      <c r="M206">
        <f t="shared" si="165"/>
        <v>1.2771834888034761E-2</v>
      </c>
      <c r="N206">
        <f t="shared" si="166"/>
        <v>-1.5707963250000001</v>
      </c>
      <c r="O206">
        <f t="shared" si="167"/>
        <v>29.632596630409971</v>
      </c>
      <c r="P206">
        <f t="shared" si="168"/>
        <v>1.5370432974688886</v>
      </c>
      <c r="Q206">
        <f t="shared" si="169"/>
        <v>11.418916007645707</v>
      </c>
      <c r="R206">
        <f t="shared" si="170"/>
        <v>1.4831100147709282</v>
      </c>
      <c r="S206">
        <f t="shared" si="171"/>
        <v>0.9996190041974321</v>
      </c>
      <c r="T206">
        <f t="shared" si="172"/>
        <v>-2.7605071925033944E-2</v>
      </c>
      <c r="U206">
        <f t="shared" si="173"/>
        <v>0.91893132978792502</v>
      </c>
      <c r="V206">
        <f t="shared" si="174"/>
        <v>-0.40543394087990037</v>
      </c>
      <c r="X206">
        <f t="shared" si="192"/>
        <v>-4.3585882092920718</v>
      </c>
      <c r="Y206">
        <f t="shared" si="175"/>
        <v>-118.41175129415343</v>
      </c>
      <c r="Z206">
        <f t="shared" si="193"/>
        <v>61.588248705846567</v>
      </c>
      <c r="AC206">
        <v>1</v>
      </c>
      <c r="AD206">
        <f t="shared" si="176"/>
        <v>29.615718513326403</v>
      </c>
      <c r="AE206">
        <f t="shared" si="177"/>
        <v>-1.600297006022085E-3</v>
      </c>
      <c r="AF206">
        <f t="shared" si="178"/>
        <v>3.7284421570200001E-3</v>
      </c>
      <c r="AG206">
        <f t="shared" si="194"/>
        <v>6610.2944124231781</v>
      </c>
      <c r="AH206">
        <f t="shared" si="195"/>
        <v>-3105.4348892942262</v>
      </c>
      <c r="AJ206">
        <f t="shared" si="179"/>
        <v>21000</v>
      </c>
      <c r="AK206">
        <f t="shared" si="180"/>
        <v>579.85380850698004</v>
      </c>
      <c r="AL206">
        <v>1</v>
      </c>
      <c r="AM206">
        <f t="shared" si="181"/>
        <v>11.37504473791938</v>
      </c>
      <c r="AN206">
        <f t="shared" si="196"/>
        <v>211.63828005245912</v>
      </c>
      <c r="AO206">
        <f t="shared" si="197"/>
        <v>-1827.541095346053</v>
      </c>
      <c r="AQ206">
        <f t="shared" si="182"/>
        <v>0.33800912624640866</v>
      </c>
      <c r="AR206">
        <f t="shared" si="183"/>
        <v>-58.137569714382288</v>
      </c>
      <c r="AT206">
        <f t="shared" si="156"/>
        <v>-178308.09753124346</v>
      </c>
      <c r="AU206">
        <f t="shared" si="157"/>
        <v>-385356.11756838969</v>
      </c>
      <c r="AV206">
        <f t="shared" si="198"/>
        <v>-2.0041694090189628</v>
      </c>
      <c r="AW206">
        <f t="shared" si="199"/>
        <v>-102206.20849999726</v>
      </c>
      <c r="AX206">
        <f t="shared" si="200"/>
        <v>-26346.712540789325</v>
      </c>
      <c r="AY206">
        <f t="shared" si="208"/>
        <v>-2.8893051830442693</v>
      </c>
      <c r="BA206">
        <f t="shared" si="184"/>
        <v>4.0229250413830817</v>
      </c>
      <c r="BB206">
        <f t="shared" si="201"/>
        <v>12.090838809928906</v>
      </c>
      <c r="BC206">
        <f t="shared" si="202"/>
        <v>0.88513577402530652</v>
      </c>
      <c r="BD206">
        <f t="shared" si="185"/>
        <v>-129.28545579435476</v>
      </c>
      <c r="BF206">
        <f t="shared" si="186"/>
        <v>-4.2430583152821573</v>
      </c>
      <c r="BG206">
        <f t="shared" si="187"/>
        <v>-125.92793773344992</v>
      </c>
      <c r="BH206">
        <f t="shared" si="203"/>
        <v>54.072062266550077</v>
      </c>
      <c r="BI206">
        <f t="shared" si="204"/>
        <v>54.072062266550077</v>
      </c>
      <c r="BJ206">
        <f t="shared" si="188"/>
        <v>0</v>
      </c>
      <c r="BK206">
        <f t="shared" si="205"/>
        <v>0</v>
      </c>
      <c r="BM206">
        <f t="shared" si="206"/>
        <v>-16.33389712521106</v>
      </c>
      <c r="BN206">
        <f t="shared" si="189"/>
        <v>-176.64248193909515</v>
      </c>
      <c r="BQ206" s="66">
        <f t="shared" si="207"/>
        <v>28.992799610214043</v>
      </c>
      <c r="BR206" s="71"/>
      <c r="BS206" s="71"/>
      <c r="BT206" s="71">
        <v>9120.1080000000002</v>
      </c>
      <c r="BU206" s="71">
        <v>-1.76502</v>
      </c>
      <c r="BV206" s="71">
        <v>-216.501</v>
      </c>
      <c r="BW206" s="75"/>
      <c r="BY206" s="71"/>
      <c r="BZ206" s="71"/>
      <c r="CA206" s="71"/>
      <c r="CC206" s="71"/>
    </row>
    <row r="207" spans="1:81" ht="13" x14ac:dyDescent="0.3">
      <c r="A207">
        <f t="shared" si="190"/>
        <v>86500</v>
      </c>
      <c r="B207">
        <f t="shared" si="191"/>
        <v>86.5</v>
      </c>
      <c r="C207">
        <f t="shared" si="159"/>
        <v>1.0003691660950036</v>
      </c>
      <c r="D207">
        <f t="shared" si="160"/>
        <v>2.7168090146257429E-2</v>
      </c>
      <c r="F207">
        <f t="shared" si="161"/>
        <v>1.004549419065642E-2</v>
      </c>
      <c r="G207">
        <f t="shared" si="162"/>
        <v>3.1402434590994607E-2</v>
      </c>
      <c r="H207">
        <f t="shared" si="163"/>
        <v>-3.1101902154090055</v>
      </c>
      <c r="J207">
        <f t="shared" si="164"/>
        <v>15</v>
      </c>
      <c r="M207">
        <f t="shared" si="165"/>
        <v>1.2698009252843808E-2</v>
      </c>
      <c r="N207">
        <f t="shared" si="166"/>
        <v>-1.5707963250000001</v>
      </c>
      <c r="O207">
        <f t="shared" si="167"/>
        <v>29.804683534089172</v>
      </c>
      <c r="P207">
        <f t="shared" si="168"/>
        <v>1.5372382548154513</v>
      </c>
      <c r="Q207">
        <f t="shared" si="169"/>
        <v>11.484797363429676</v>
      </c>
      <c r="R207">
        <f t="shared" si="170"/>
        <v>1.4836143002577278</v>
      </c>
      <c r="S207">
        <f t="shared" si="171"/>
        <v>0.99961456370368829</v>
      </c>
      <c r="T207">
        <f t="shared" si="172"/>
        <v>-2.7765484294239841E-2</v>
      </c>
      <c r="U207">
        <f t="shared" si="173"/>
        <v>0.91809891971090163</v>
      </c>
      <c r="V207">
        <f t="shared" si="174"/>
        <v>-0.40753925833728588</v>
      </c>
      <c r="X207">
        <f t="shared" si="192"/>
        <v>-4.4182318927018729</v>
      </c>
      <c r="Y207">
        <f t="shared" si="175"/>
        <v>-118.50317857338919</v>
      </c>
      <c r="Z207">
        <f t="shared" si="193"/>
        <v>61.496821426610808</v>
      </c>
      <c r="AC207">
        <v>1</v>
      </c>
      <c r="AD207">
        <f t="shared" si="176"/>
        <v>29.7879029232876</v>
      </c>
      <c r="AE207">
        <f t="shared" si="177"/>
        <v>-1.6189592040709493E-3</v>
      </c>
      <c r="AF207">
        <f t="shared" si="178"/>
        <v>3.7501191463050003E-3</v>
      </c>
      <c r="AG207">
        <f t="shared" si="194"/>
        <v>6598.3240218064075</v>
      </c>
      <c r="AH207">
        <f t="shared" si="195"/>
        <v>-3115.2123308019786</v>
      </c>
      <c r="AJ207">
        <f t="shared" si="179"/>
        <v>21000</v>
      </c>
      <c r="AK207">
        <f t="shared" si="180"/>
        <v>583.22505157969499</v>
      </c>
      <c r="AL207">
        <v>1</v>
      </c>
      <c r="AM207">
        <f t="shared" si="181"/>
        <v>11.441178718953795</v>
      </c>
      <c r="AN207">
        <f t="shared" si="196"/>
        <v>209.8003211660976</v>
      </c>
      <c r="AO207">
        <f t="shared" si="197"/>
        <v>-1817.1379181755324</v>
      </c>
      <c r="AQ207">
        <f t="shared" si="182"/>
        <v>0.33411293017039762</v>
      </c>
      <c r="AR207">
        <f t="shared" si="183"/>
        <v>-57.801536919478785</v>
      </c>
      <c r="AT207">
        <f t="shared" si="156"/>
        <v>-177859.47517772665</v>
      </c>
      <c r="AU207">
        <f t="shared" si="157"/>
        <v>-382434.10227307404</v>
      </c>
      <c r="AV207">
        <f t="shared" si="198"/>
        <v>-2.006113374667966</v>
      </c>
      <c r="AW207">
        <f t="shared" si="199"/>
        <v>-101006.10308920337</v>
      </c>
      <c r="AX207">
        <f t="shared" si="200"/>
        <v>-26095.352082234065</v>
      </c>
      <c r="AY207">
        <f t="shared" si="208"/>
        <v>-2.8887667901332419</v>
      </c>
      <c r="BA207">
        <f t="shared" si="184"/>
        <v>4.0429396299317908</v>
      </c>
      <c r="BB207">
        <f t="shared" si="201"/>
        <v>12.133945128017816</v>
      </c>
      <c r="BC207">
        <f t="shared" si="202"/>
        <v>0.88265341546527587</v>
      </c>
      <c r="BD207">
        <f t="shared" si="185"/>
        <v>-129.42768446324521</v>
      </c>
      <c r="BF207">
        <f t="shared" si="186"/>
        <v>-4.3015976098767563</v>
      </c>
      <c r="BG207">
        <f t="shared" si="187"/>
        <v>-126.07184058809948</v>
      </c>
      <c r="BH207">
        <f t="shared" si="203"/>
        <v>53.928159411900523</v>
      </c>
      <c r="BI207">
        <f t="shared" si="204"/>
        <v>53.928159411900523</v>
      </c>
      <c r="BJ207">
        <f t="shared" si="188"/>
        <v>0</v>
      </c>
      <c r="BK207">
        <f t="shared" si="205"/>
        <v>0</v>
      </c>
      <c r="BM207">
        <f t="shared" si="206"/>
        <v>-16.435542737894572</v>
      </c>
      <c r="BN207">
        <f t="shared" si="189"/>
        <v>-176.64415612485428</v>
      </c>
      <c r="BQ207" s="66">
        <f t="shared" si="207"/>
        <v>29.035905928302949</v>
      </c>
      <c r="BR207" s="71"/>
      <c r="BS207" s="71"/>
      <c r="BT207" s="71">
        <v>9332.5429999999997</v>
      </c>
      <c r="BU207" s="71">
        <v>-1.99203</v>
      </c>
      <c r="BV207" s="71">
        <v>-215.83600000000001</v>
      </c>
      <c r="BW207" s="75"/>
      <c r="BY207" s="71"/>
      <c r="BZ207" s="71"/>
      <c r="CA207" s="71"/>
      <c r="CC207" s="71"/>
    </row>
    <row r="208" spans="1:81" ht="13" x14ac:dyDescent="0.3">
      <c r="A208">
        <f t="shared" si="190"/>
        <v>87000</v>
      </c>
      <c r="B208">
        <f t="shared" si="191"/>
        <v>87</v>
      </c>
      <c r="C208">
        <f t="shared" si="159"/>
        <v>1.0003734454469548</v>
      </c>
      <c r="D208">
        <f t="shared" si="160"/>
        <v>2.7325053195191178E-2</v>
      </c>
      <c r="F208">
        <f t="shared" si="161"/>
        <v>9.9292637101066165E-3</v>
      </c>
      <c r="G208">
        <f t="shared" si="162"/>
        <v>3.1218452354275495E-2</v>
      </c>
      <c r="H208">
        <f t="shared" si="163"/>
        <v>-3.1103741976457249</v>
      </c>
      <c r="J208">
        <f t="shared" si="164"/>
        <v>15</v>
      </c>
      <c r="M208">
        <f t="shared" si="165"/>
        <v>1.2625032188172292E-2</v>
      </c>
      <c r="N208">
        <f t="shared" si="166"/>
        <v>-1.5707963250000001</v>
      </c>
      <c r="O208">
        <f t="shared" si="167"/>
        <v>29.976771557589309</v>
      </c>
      <c r="P208">
        <f t="shared" si="168"/>
        <v>1.5374309737811644</v>
      </c>
      <c r="Q208">
        <f t="shared" si="169"/>
        <v>11.550681606524785</v>
      </c>
      <c r="R208">
        <f t="shared" si="170"/>
        <v>1.4841128330550346</v>
      </c>
      <c r="S208">
        <f t="shared" si="171"/>
        <v>0.99961009752764318</v>
      </c>
      <c r="T208">
        <f t="shared" si="172"/>
        <v>-2.7925895234161169E-2</v>
      </c>
      <c r="U208">
        <f t="shared" si="173"/>
        <v>0.91726396173614988</v>
      </c>
      <c r="V208">
        <f t="shared" si="174"/>
        <v>-0.40964075576576858</v>
      </c>
      <c r="X208">
        <f t="shared" si="192"/>
        <v>-4.4775922040834217</v>
      </c>
      <c r="Y208">
        <f t="shared" si="175"/>
        <v>-118.59471865347264</v>
      </c>
      <c r="Z208">
        <f t="shared" si="193"/>
        <v>61.40528134652736</v>
      </c>
      <c r="AC208">
        <v>1</v>
      </c>
      <c r="AD208">
        <f t="shared" si="176"/>
        <v>29.960087333248804</v>
      </c>
      <c r="AE208">
        <f t="shared" si="177"/>
        <v>-1.63772958877517E-3</v>
      </c>
      <c r="AF208">
        <f t="shared" si="178"/>
        <v>3.7717961355900002E-3</v>
      </c>
      <c r="AG208">
        <f t="shared" si="194"/>
        <v>6586.3278894986124</v>
      </c>
      <c r="AH208">
        <f t="shared" si="195"/>
        <v>-3124.9366726877147</v>
      </c>
      <c r="AJ208">
        <f t="shared" si="179"/>
        <v>21000</v>
      </c>
      <c r="AK208">
        <f t="shared" si="180"/>
        <v>586.59629465241005</v>
      </c>
      <c r="AL208">
        <v>1</v>
      </c>
      <c r="AM208">
        <f t="shared" si="181"/>
        <v>11.50731269998821</v>
      </c>
      <c r="AN208">
        <f t="shared" si="196"/>
        <v>207.9936433848226</v>
      </c>
      <c r="AO208">
        <f t="shared" si="197"/>
        <v>-1806.8515993865778</v>
      </c>
      <c r="AQ208">
        <f t="shared" si="182"/>
        <v>0.33028371371007698</v>
      </c>
      <c r="AR208">
        <f t="shared" si="183"/>
        <v>-57.46936618555339</v>
      </c>
      <c r="AT208">
        <f t="shared" si="156"/>
        <v>-177412.7731142992</v>
      </c>
      <c r="AU208">
        <f t="shared" si="157"/>
        <v>-379544.20498908288</v>
      </c>
      <c r="AV208">
        <f t="shared" si="198"/>
        <v>-2.0080553724111936</v>
      </c>
      <c r="AW208">
        <f t="shared" si="199"/>
        <v>-99826.51942276051</v>
      </c>
      <c r="AX208">
        <f t="shared" si="200"/>
        <v>-25848.81414780856</v>
      </c>
      <c r="AY208">
        <f t="shared" si="208"/>
        <v>-2.8882202181594727</v>
      </c>
      <c r="BA208">
        <f t="shared" si="184"/>
        <v>4.0629037914246497</v>
      </c>
      <c r="BB208">
        <f t="shared" si="201"/>
        <v>12.17673076920563</v>
      </c>
      <c r="BC208">
        <f t="shared" si="202"/>
        <v>0.88016484574827913</v>
      </c>
      <c r="BD208">
        <f t="shared" si="185"/>
        <v>-129.57026900521612</v>
      </c>
      <c r="BF208">
        <f t="shared" si="186"/>
        <v>-4.3598600448027982</v>
      </c>
      <c r="BG208">
        <f t="shared" si="187"/>
        <v>-126.21597321549812</v>
      </c>
      <c r="BH208">
        <f t="shared" si="203"/>
        <v>53.784026784501876</v>
      </c>
      <c r="BI208">
        <f t="shared" si="204"/>
        <v>53.784026784501876</v>
      </c>
      <c r="BJ208">
        <f t="shared" si="188"/>
        <v>0</v>
      </c>
      <c r="BK208">
        <f t="shared" si="205"/>
        <v>0</v>
      </c>
      <c r="BM208">
        <f t="shared" si="206"/>
        <v>-16.536590814008427</v>
      </c>
      <c r="BN208">
        <f t="shared" si="189"/>
        <v>-176.64570421028202</v>
      </c>
      <c r="BQ208" s="66">
        <f t="shared" si="207"/>
        <v>29.078691569490765</v>
      </c>
      <c r="BR208" s="71"/>
      <c r="BS208" s="71"/>
      <c r="BT208" s="71">
        <v>9549.9259999999995</v>
      </c>
      <c r="BU208" s="71">
        <v>-2.1278299999999999</v>
      </c>
      <c r="BV208" s="71">
        <v>-215.499</v>
      </c>
      <c r="BW208" s="75"/>
      <c r="BY208" s="71"/>
      <c r="BZ208" s="71"/>
      <c r="CA208" s="71"/>
      <c r="CC208" s="71"/>
    </row>
    <row r="209" spans="1:81" ht="13" x14ac:dyDescent="0.3">
      <c r="A209">
        <f t="shared" si="190"/>
        <v>87500</v>
      </c>
      <c r="B209">
        <f t="shared" si="191"/>
        <v>87.5</v>
      </c>
      <c r="C209">
        <f t="shared" si="159"/>
        <v>1.0003777494452941</v>
      </c>
      <c r="D209">
        <f t="shared" si="160"/>
        <v>2.7482014897364817E-2</v>
      </c>
      <c r="F209">
        <f t="shared" si="161"/>
        <v>9.81504505977541E-3</v>
      </c>
      <c r="G209">
        <f t="shared" si="162"/>
        <v>3.103663314016708E-2</v>
      </c>
      <c r="H209">
        <f t="shared" si="163"/>
        <v>-3.110556016859833</v>
      </c>
      <c r="J209">
        <f t="shared" si="164"/>
        <v>15</v>
      </c>
      <c r="M209">
        <f t="shared" si="165"/>
        <v>1.2552889147097023E-2</v>
      </c>
      <c r="N209">
        <f t="shared" si="166"/>
        <v>-1.5707963250000001</v>
      </c>
      <c r="O209">
        <f t="shared" si="167"/>
        <v>30.148860681734757</v>
      </c>
      <c r="P209">
        <f t="shared" si="168"/>
        <v>1.5376214926814944</v>
      </c>
      <c r="Q209">
        <f t="shared" si="169"/>
        <v>11.616568687804229</v>
      </c>
      <c r="R209">
        <f t="shared" si="170"/>
        <v>1.4846057107975605</v>
      </c>
      <c r="S209">
        <f t="shared" si="171"/>
        <v>0.99960560567033063</v>
      </c>
      <c r="T209">
        <f t="shared" si="172"/>
        <v>-2.8086304736561863E-2</v>
      </c>
      <c r="U209">
        <f t="shared" si="173"/>
        <v>0.91642648490297618</v>
      </c>
      <c r="V209">
        <f t="shared" si="174"/>
        <v>-0.41173842504182406</v>
      </c>
      <c r="X209">
        <f t="shared" si="192"/>
        <v>-4.5366728319645047</v>
      </c>
      <c r="Y209">
        <f t="shared" si="175"/>
        <v>-118.68636552454495</v>
      </c>
      <c r="Z209">
        <f t="shared" si="193"/>
        <v>61.313634475455046</v>
      </c>
      <c r="AC209">
        <v>1</v>
      </c>
      <c r="AD209">
        <f t="shared" si="176"/>
        <v>30.132271743210001</v>
      </c>
      <c r="AE209">
        <f t="shared" si="177"/>
        <v>-1.6566081601347463E-3</v>
      </c>
      <c r="AF209">
        <f t="shared" si="178"/>
        <v>3.7934731248750004E-3</v>
      </c>
      <c r="AG209">
        <f t="shared" si="194"/>
        <v>6574.3065320670894</v>
      </c>
      <c r="AH209">
        <f t="shared" si="195"/>
        <v>-3134.6076423412987</v>
      </c>
      <c r="AJ209">
        <f t="shared" si="179"/>
        <v>21000</v>
      </c>
      <c r="AK209">
        <f t="shared" si="180"/>
        <v>589.967537725125</v>
      </c>
      <c r="AL209">
        <v>1</v>
      </c>
      <c r="AM209">
        <f t="shared" si="181"/>
        <v>11.573446681022626</v>
      </c>
      <c r="AN209">
        <f t="shared" si="196"/>
        <v>206.21754262430954</v>
      </c>
      <c r="AO209">
        <f t="shared" si="197"/>
        <v>-1796.6801965288323</v>
      </c>
      <c r="AQ209">
        <f t="shared" si="182"/>
        <v>0.32651995036896753</v>
      </c>
      <c r="AR209">
        <f t="shared" si="183"/>
        <v>-57.14099131456932</v>
      </c>
      <c r="AT209">
        <f t="shared" si="156"/>
        <v>-176967.94582304585</v>
      </c>
      <c r="AU209">
        <f t="shared" si="157"/>
        <v>-376685.90437996539</v>
      </c>
      <c r="AV209">
        <f t="shared" si="198"/>
        <v>-2.0099953624309252</v>
      </c>
      <c r="AW209">
        <f t="shared" si="199"/>
        <v>-98666.99604669222</v>
      </c>
      <c r="AX209">
        <f t="shared" si="200"/>
        <v>-25606.972870923855</v>
      </c>
      <c r="AY209">
        <f t="shared" si="208"/>
        <v>-2.8876655746941164</v>
      </c>
      <c r="BA209">
        <f t="shared" si="184"/>
        <v>4.0828172988723743</v>
      </c>
      <c r="BB209">
        <f t="shared" si="201"/>
        <v>12.219198924118235</v>
      </c>
      <c r="BC209">
        <f t="shared" si="202"/>
        <v>0.8776702122631912</v>
      </c>
      <c r="BD209">
        <f t="shared" si="185"/>
        <v>-129.71320097550699</v>
      </c>
      <c r="BF209">
        <f t="shared" si="186"/>
        <v>-4.4178494695733734</v>
      </c>
      <c r="BG209">
        <f t="shared" si="187"/>
        <v>-126.36032941631368</v>
      </c>
      <c r="BH209">
        <f t="shared" si="203"/>
        <v>53.639670583686325</v>
      </c>
      <c r="BI209">
        <f t="shared" si="204"/>
        <v>53.639670583686325</v>
      </c>
      <c r="BJ209">
        <f t="shared" si="188"/>
        <v>0</v>
      </c>
      <c r="BK209">
        <f t="shared" si="205"/>
        <v>0</v>
      </c>
      <c r="BM209">
        <f t="shared" si="206"/>
        <v>-16.637048393691607</v>
      </c>
      <c r="BN209">
        <f t="shared" si="189"/>
        <v>-176.64712844080668</v>
      </c>
      <c r="BQ209" s="66">
        <f t="shared" si="207"/>
        <v>29.12115972440337</v>
      </c>
      <c r="BR209" s="71"/>
      <c r="BS209" s="71"/>
      <c r="BT209" s="71">
        <v>9772.3719999999994</v>
      </c>
      <c r="BU209" s="71">
        <v>-1.9944299999999999</v>
      </c>
      <c r="BV209" s="71">
        <v>-212.98699999999999</v>
      </c>
      <c r="BW209" s="75"/>
      <c r="BY209" s="71"/>
      <c r="BZ209" s="71"/>
      <c r="CA209" s="71"/>
      <c r="CC209" s="71"/>
    </row>
    <row r="210" spans="1:81" ht="13" x14ac:dyDescent="0.3">
      <c r="A210">
        <f t="shared" si="190"/>
        <v>88000</v>
      </c>
      <c r="B210">
        <f t="shared" si="191"/>
        <v>88</v>
      </c>
      <c r="C210">
        <f t="shared" si="159"/>
        <v>1.0003820780897035</v>
      </c>
      <c r="D210">
        <f t="shared" si="160"/>
        <v>2.7638975245061665E-2</v>
      </c>
      <c r="F210">
        <f t="shared" si="161"/>
        <v>9.702791936587794E-3</v>
      </c>
      <c r="G210">
        <f t="shared" si="162"/>
        <v>3.085693869780675E-2</v>
      </c>
      <c r="H210">
        <f t="shared" si="163"/>
        <v>-3.1107357113021936</v>
      </c>
      <c r="J210">
        <f t="shared" si="164"/>
        <v>15</v>
      </c>
      <c r="M210">
        <f t="shared" si="165"/>
        <v>1.2481565913306698E-2</v>
      </c>
      <c r="N210">
        <f t="shared" si="166"/>
        <v>-1.5707963250000001</v>
      </c>
      <c r="O210">
        <f t="shared" si="167"/>
        <v>30.320950887785099</v>
      </c>
      <c r="P210">
        <f t="shared" si="168"/>
        <v>1.537809848962699</v>
      </c>
      <c r="Q210">
        <f t="shared" si="169"/>
        <v>11.682458559247372</v>
      </c>
      <c r="R210">
        <f t="shared" si="170"/>
        <v>1.4850930289284845</v>
      </c>
      <c r="S210">
        <f t="shared" si="171"/>
        <v>0.99960108813279036</v>
      </c>
      <c r="T210">
        <f t="shared" si="172"/>
        <v>-2.8246712793206293E-2</v>
      </c>
      <c r="U210">
        <f t="shared" si="173"/>
        <v>0.91558651818435921</v>
      </c>
      <c r="V210">
        <f t="shared" si="174"/>
        <v>-0.41383225820625341</v>
      </c>
      <c r="X210">
        <f t="shared" si="192"/>
        <v>-4.5954773922267407</v>
      </c>
      <c r="Y210">
        <f t="shared" si="175"/>
        <v>-118.77811330815705</v>
      </c>
      <c r="Z210">
        <f t="shared" si="193"/>
        <v>61.221886691842954</v>
      </c>
      <c r="AC210">
        <v>1</v>
      </c>
      <c r="AD210">
        <f t="shared" si="176"/>
        <v>30.304456153171202</v>
      </c>
      <c r="AE210">
        <f t="shared" si="177"/>
        <v>-1.6755949181496788E-3</v>
      </c>
      <c r="AF210">
        <f t="shared" si="178"/>
        <v>3.8151501141600003E-3</v>
      </c>
      <c r="AG210">
        <f t="shared" si="194"/>
        <v>6562.2604639056544</v>
      </c>
      <c r="AH210">
        <f t="shared" si="195"/>
        <v>-3144.2249782970903</v>
      </c>
      <c r="AJ210">
        <f t="shared" si="179"/>
        <v>21000</v>
      </c>
      <c r="AK210">
        <f t="shared" si="180"/>
        <v>593.33878079784006</v>
      </c>
      <c r="AL210">
        <v>1</v>
      </c>
      <c r="AM210">
        <f t="shared" si="181"/>
        <v>11.639580662057041</v>
      </c>
      <c r="AN210">
        <f t="shared" si="196"/>
        <v>204.47133444991249</v>
      </c>
      <c r="AO210">
        <f t="shared" si="197"/>
        <v>-1786.6218096103589</v>
      </c>
      <c r="AQ210">
        <f t="shared" si="182"/>
        <v>0.32282015689059623</v>
      </c>
      <c r="AR210">
        <f t="shared" si="183"/>
        <v>-56.816347612744941</v>
      </c>
      <c r="AT210">
        <f t="shared" si="156"/>
        <v>-176524.94938708792</v>
      </c>
      <c r="AU210">
        <f t="shared" si="157"/>
        <v>-373858.69084342971</v>
      </c>
      <c r="AV210">
        <f t="shared" si="198"/>
        <v>-2.0119333057924997</v>
      </c>
      <c r="AW210">
        <f t="shared" si="199"/>
        <v>-97527.084365034287</v>
      </c>
      <c r="AX210">
        <f t="shared" si="200"/>
        <v>-25369.706430591941</v>
      </c>
      <c r="AY210">
        <f t="shared" si="208"/>
        <v>-2.8871029651342281</v>
      </c>
      <c r="BA210">
        <f t="shared" si="184"/>
        <v>4.1026799273863954</v>
      </c>
      <c r="BB210">
        <f t="shared" si="201"/>
        <v>12.261352731772774</v>
      </c>
      <c r="BC210">
        <f t="shared" si="202"/>
        <v>0.87516965934172841</v>
      </c>
      <c r="BD210">
        <f t="shared" si="185"/>
        <v>-129.85647210451964</v>
      </c>
      <c r="BF210">
        <f t="shared" si="186"/>
        <v>-4.475569660520244</v>
      </c>
      <c r="BG210">
        <f t="shared" si="187"/>
        <v>-126.50490311300308</v>
      </c>
      <c r="BH210">
        <f t="shared" si="203"/>
        <v>53.495096886996919</v>
      </c>
      <c r="BI210">
        <f t="shared" si="204"/>
        <v>53.495096886996919</v>
      </c>
      <c r="BJ210">
        <f t="shared" si="188"/>
        <v>0</v>
      </c>
      <c r="BK210">
        <f t="shared" si="205"/>
        <v>0</v>
      </c>
      <c r="BM210">
        <f t="shared" si="206"/>
        <v>-16.736922392293017</v>
      </c>
      <c r="BN210">
        <f t="shared" si="189"/>
        <v>-176.64843100848347</v>
      </c>
      <c r="BQ210" s="66">
        <f t="shared" si="207"/>
        <v>29.163313532057909</v>
      </c>
      <c r="BR210" s="71"/>
      <c r="BS210" s="71"/>
      <c r="BT210" s="71">
        <v>10000</v>
      </c>
      <c r="BU210" s="71">
        <v>-2.2209699999999999</v>
      </c>
      <c r="BV210" s="71">
        <v>-213.047</v>
      </c>
      <c r="BW210" s="75"/>
      <c r="BY210" s="71"/>
      <c r="BZ210" s="71"/>
      <c r="CA210" s="71"/>
      <c r="CC210" s="71"/>
    </row>
    <row r="211" spans="1:81" ht="13" x14ac:dyDescent="0.3">
      <c r="A211">
        <f t="shared" si="190"/>
        <v>88500</v>
      </c>
      <c r="B211">
        <f t="shared" si="191"/>
        <v>88.5</v>
      </c>
      <c r="C211">
        <f t="shared" si="159"/>
        <v>1.0003864313798632</v>
      </c>
      <c r="D211">
        <f t="shared" si="160"/>
        <v>2.7795934230565429E-2</v>
      </c>
      <c r="F211">
        <f t="shared" si="161"/>
        <v>9.592459365841445E-3</v>
      </c>
      <c r="G211">
        <f t="shared" si="162"/>
        <v>3.06793316801462E-2</v>
      </c>
      <c r="H211">
        <f t="shared" si="163"/>
        <v>-3.1109133183198541</v>
      </c>
      <c r="J211">
        <f t="shared" si="164"/>
        <v>15</v>
      </c>
      <c r="M211">
        <f t="shared" si="165"/>
        <v>1.2411048591762593E-2</v>
      </c>
      <c r="N211">
        <f t="shared" si="166"/>
        <v>-1.5707963250000001</v>
      </c>
      <c r="O211">
        <f t="shared" si="167"/>
        <v>30.493042157422853</v>
      </c>
      <c r="P211">
        <f t="shared" si="168"/>
        <v>1.5379960792263279</v>
      </c>
      <c r="Q211">
        <f t="shared" si="169"/>
        <v>11.748351173908862</v>
      </c>
      <c r="R211">
        <f t="shared" si="170"/>
        <v>1.4855748807604474</v>
      </c>
      <c r="S211">
        <f t="shared" si="171"/>
        <v>0.99959654491606786</v>
      </c>
      <c r="T211">
        <f t="shared" si="172"/>
        <v>-2.8407119395859284E-2</v>
      </c>
      <c r="U211">
        <f t="shared" si="173"/>
        <v>0.91474409048507621</v>
      </c>
      <c r="V211">
        <f t="shared" si="174"/>
        <v>-0.41592224746348494</v>
      </c>
      <c r="X211">
        <f t="shared" si="192"/>
        <v>-4.6540094299450496</v>
      </c>
      <c r="Y211">
        <f t="shared" si="175"/>
        <v>-118.86995625391927</v>
      </c>
      <c r="Z211">
        <f t="shared" si="193"/>
        <v>61.13004374608073</v>
      </c>
      <c r="AC211">
        <v>1</v>
      </c>
      <c r="AD211">
        <f t="shared" si="176"/>
        <v>30.476640563132406</v>
      </c>
      <c r="AE211">
        <f t="shared" si="177"/>
        <v>-1.6946898628199666E-3</v>
      </c>
      <c r="AF211">
        <f t="shared" si="178"/>
        <v>3.8368271034450005E-3</v>
      </c>
      <c r="AG211">
        <f t="shared" si="194"/>
        <v>6550.1901972007863</v>
      </c>
      <c r="AH211">
        <f t="shared" si="195"/>
        <v>-3153.7884299957345</v>
      </c>
      <c r="AJ211">
        <f t="shared" si="179"/>
        <v>21000</v>
      </c>
      <c r="AK211">
        <f t="shared" si="180"/>
        <v>596.71002387055512</v>
      </c>
      <c r="AL211">
        <v>1</v>
      </c>
      <c r="AM211">
        <f t="shared" si="181"/>
        <v>11.705714643091454</v>
      </c>
      <c r="AN211">
        <f t="shared" si="196"/>
        <v>202.75435342389039</v>
      </c>
      <c r="AO211">
        <f t="shared" si="197"/>
        <v>-1776.6745799540183</v>
      </c>
      <c r="AQ211">
        <f t="shared" si="182"/>
        <v>0.31918289179699966</v>
      </c>
      <c r="AR211">
        <f t="shared" si="183"/>
        <v>-56.495371848068942</v>
      </c>
      <c r="AT211">
        <f t="shared" si="156"/>
        <v>-176083.74143378367</v>
      </c>
      <c r="AU211">
        <f t="shared" si="157"/>
        <v>-371062.06617763644</v>
      </c>
      <c r="AV211">
        <f t="shared" si="198"/>
        <v>-2.0138691644233662</v>
      </c>
      <c r="AW211">
        <f t="shared" si="199"/>
        <v>-96406.348213298726</v>
      </c>
      <c r="AX211">
        <f t="shared" si="200"/>
        <v>-25136.896898119281</v>
      </c>
      <c r="AY211">
        <f t="shared" si="208"/>
        <v>-2.886532492766916</v>
      </c>
      <c r="BA211">
        <f t="shared" si="184"/>
        <v>4.1224914541730628</v>
      </c>
      <c r="BB211">
        <f t="shared" si="201"/>
        <v>12.303195280706731</v>
      </c>
      <c r="BC211">
        <f t="shared" si="202"/>
        <v>0.87266332834354987</v>
      </c>
      <c r="BD211">
        <f t="shared" si="185"/>
        <v>-130.00007429294214</v>
      </c>
      <c r="BF211">
        <f t="shared" si="186"/>
        <v>-4.533024322619827</v>
      </c>
      <c r="BG211">
        <f t="shared" si="187"/>
        <v>-126.64968834652478</v>
      </c>
      <c r="BH211">
        <f t="shared" si="203"/>
        <v>53.350311653475217</v>
      </c>
      <c r="BI211">
        <f t="shared" si="204"/>
        <v>53.350311653475217</v>
      </c>
      <c r="BJ211">
        <f t="shared" si="188"/>
        <v>0</v>
      </c>
      <c r="BK211">
        <f t="shared" si="205"/>
        <v>0</v>
      </c>
      <c r="BM211">
        <f t="shared" si="206"/>
        <v>-16.836219603326555</v>
      </c>
      <c r="BN211">
        <f t="shared" si="189"/>
        <v>-176.64961405358264</v>
      </c>
      <c r="BQ211" s="66">
        <f t="shared" si="207"/>
        <v>29.205156080991866</v>
      </c>
      <c r="BR211" s="71"/>
      <c r="BS211" s="71"/>
      <c r="BT211" s="71">
        <v>10232.93</v>
      </c>
      <c r="BU211" s="71">
        <v>-2.4867400000000002</v>
      </c>
      <c r="BV211" s="71">
        <v>-211.715</v>
      </c>
      <c r="BW211" s="75"/>
      <c r="BY211" s="71"/>
      <c r="BZ211" s="71"/>
      <c r="CA211" s="71"/>
      <c r="CC211" s="71"/>
    </row>
    <row r="212" spans="1:81" ht="13" x14ac:dyDescent="0.3">
      <c r="A212">
        <f t="shared" si="190"/>
        <v>89000</v>
      </c>
      <c r="B212">
        <f t="shared" si="191"/>
        <v>89</v>
      </c>
      <c r="C212">
        <f t="shared" si="159"/>
        <v>1.0003908093154514</v>
      </c>
      <c r="D212">
        <f t="shared" si="160"/>
        <v>2.7952891846160212E-2</v>
      </c>
      <c r="F212">
        <f t="shared" si="161"/>
        <v>9.4840036556069745E-3</v>
      </c>
      <c r="G212">
        <f t="shared" si="162"/>
        <v>3.0503775617219384E-2</v>
      </c>
      <c r="H212">
        <f t="shared" si="163"/>
        <v>-3.1110888743827809</v>
      </c>
      <c r="J212">
        <f t="shared" si="164"/>
        <v>15</v>
      </c>
      <c r="M212">
        <f t="shared" si="165"/>
        <v>1.2341323599674039E-2</v>
      </c>
      <c r="N212">
        <f t="shared" si="166"/>
        <v>-1.5707963250000001</v>
      </c>
      <c r="O212">
        <f t="shared" si="167"/>
        <v>30.665134472741613</v>
      </c>
      <c r="P212">
        <f t="shared" si="168"/>
        <v>1.5381802192528975</v>
      </c>
      <c r="Q212">
        <f t="shared" si="169"/>
        <v>11.814246485888729</v>
      </c>
      <c r="R212">
        <f t="shared" si="170"/>
        <v>1.4860513575345264</v>
      </c>
      <c r="S212">
        <f t="shared" si="171"/>
        <v>0.99959197602121497</v>
      </c>
      <c r="T212">
        <f t="shared" si="172"/>
        <v>-2.8567524536286103E-2</v>
      </c>
      <c r="U212">
        <f t="shared" si="173"/>
        <v>0.91389923063985756</v>
      </c>
      <c r="V212">
        <f t="shared" si="174"/>
        <v>-0.41800838518086503</v>
      </c>
      <c r="X212">
        <f t="shared" si="192"/>
        <v>-4.7122724211694598</v>
      </c>
      <c r="Y212">
        <f t="shared" si="175"/>
        <v>-118.961888736257</v>
      </c>
      <c r="Z212">
        <f t="shared" si="193"/>
        <v>61.038111263743005</v>
      </c>
      <c r="AC212">
        <v>1</v>
      </c>
      <c r="AD212">
        <f t="shared" si="176"/>
        <v>30.648824973093603</v>
      </c>
      <c r="AE212">
        <f t="shared" si="177"/>
        <v>-1.7138929941456101E-3</v>
      </c>
      <c r="AF212">
        <f t="shared" si="178"/>
        <v>3.8585040927300003E-3</v>
      </c>
      <c r="AG212">
        <f t="shared" si="194"/>
        <v>6538.0962418985046</v>
      </c>
      <c r="AH212">
        <f t="shared" si="195"/>
        <v>-3163.2977575524055</v>
      </c>
      <c r="AJ212">
        <f t="shared" si="179"/>
        <v>21000</v>
      </c>
      <c r="AK212">
        <f t="shared" si="180"/>
        <v>600.08126694327007</v>
      </c>
      <c r="AL212">
        <v>1</v>
      </c>
      <c r="AM212">
        <f t="shared" si="181"/>
        <v>11.77184862412587</v>
      </c>
      <c r="AN212">
        <f t="shared" si="196"/>
        <v>201.06595247773049</v>
      </c>
      <c r="AO212">
        <f t="shared" si="197"/>
        <v>-1766.8366890902589</v>
      </c>
      <c r="AQ212">
        <f t="shared" si="182"/>
        <v>0.31560675398453525</v>
      </c>
      <c r="AR212">
        <f t="shared" si="183"/>
        <v>-56.178002209247275</v>
      </c>
      <c r="AT212">
        <f t="shared" si="156"/>
        <v>-175644.28108014193</v>
      </c>
      <c r="AU212">
        <f t="shared" si="157"/>
        <v>-368295.54325879319</v>
      </c>
      <c r="AV212">
        <f t="shared" si="198"/>
        <v>-2.0158029010928056</v>
      </c>
      <c r="AW212">
        <f t="shared" si="199"/>
        <v>-95304.363448311924</v>
      </c>
      <c r="AX212">
        <f t="shared" si="200"/>
        <v>-24908.430090460482</v>
      </c>
      <c r="AY212">
        <f t="shared" si="208"/>
        <v>-2.8859542588313096</v>
      </c>
      <c r="BA212">
        <f t="shared" si="184"/>
        <v>4.1422516585282407</v>
      </c>
      <c r="BB212">
        <f t="shared" si="201"/>
        <v>12.344729610076964</v>
      </c>
      <c r="BC212">
        <f t="shared" si="202"/>
        <v>0.87015135773850405</v>
      </c>
      <c r="BD212">
        <f t="shared" si="185"/>
        <v>-130.14399960703668</v>
      </c>
      <c r="BF212">
        <f t="shared" si="186"/>
        <v>-4.5902170912616409</v>
      </c>
      <c r="BG212">
        <f t="shared" si="187"/>
        <v>-126.79467927315815</v>
      </c>
      <c r="BH212">
        <f t="shared" si="203"/>
        <v>53.205320726841848</v>
      </c>
      <c r="BI212">
        <f t="shared" si="204"/>
        <v>53.205320726841848</v>
      </c>
      <c r="BJ212">
        <f t="shared" si="188"/>
        <v>0</v>
      </c>
      <c r="BK212">
        <f t="shared" si="205"/>
        <v>0</v>
      </c>
      <c r="BM212">
        <f t="shared" si="206"/>
        <v>-16.934946701338603</v>
      </c>
      <c r="BN212">
        <f t="shared" si="189"/>
        <v>-176.6506796661215</v>
      </c>
      <c r="BQ212" s="66">
        <f t="shared" si="207"/>
        <v>29.246690410362099</v>
      </c>
      <c r="BR212" s="71"/>
      <c r="BS212" s="71"/>
      <c r="BT212" s="71">
        <v>10471.285</v>
      </c>
      <c r="BU212" s="71">
        <v>-2.3517399999999999</v>
      </c>
      <c r="BV212" s="71">
        <v>-211.89099999999999</v>
      </c>
      <c r="BW212" s="75"/>
      <c r="BY212" s="71"/>
      <c r="BZ212" s="71"/>
      <c r="CA212" s="71"/>
      <c r="CC212" s="71"/>
    </row>
    <row r="213" spans="1:81" ht="13" x14ac:dyDescent="0.3">
      <c r="A213">
        <f t="shared" si="190"/>
        <v>89500</v>
      </c>
      <c r="B213">
        <f t="shared" si="191"/>
        <v>89.5</v>
      </c>
      <c r="C213">
        <f t="shared" si="159"/>
        <v>1.0003952118961443</v>
      </c>
      <c r="D213">
        <f t="shared" si="160"/>
        <v>2.8109848084130546E-2</v>
      </c>
      <c r="F213">
        <f t="shared" si="161"/>
        <v>9.3773823529490017E-3</v>
      </c>
      <c r="G213">
        <f t="shared" si="162"/>
        <v>3.033023489035979E-2</v>
      </c>
      <c r="H213">
        <f t="shared" si="163"/>
        <v>-3.1112624151096404</v>
      </c>
      <c r="J213">
        <f t="shared" si="164"/>
        <v>15</v>
      </c>
      <c r="M213">
        <f t="shared" si="165"/>
        <v>1.2272377657776419E-2</v>
      </c>
      <c r="N213">
        <f t="shared" si="166"/>
        <v>-1.5707963250000001</v>
      </c>
      <c r="O213">
        <f t="shared" si="167"/>
        <v>30.837227816234584</v>
      </c>
      <c r="P213">
        <f t="shared" si="168"/>
        <v>1.5383623040247785</v>
      </c>
      <c r="Q213">
        <f t="shared" si="169"/>
        <v>11.88014445030352</v>
      </c>
      <c r="R213">
        <f t="shared" si="170"/>
        <v>1.4865225484772659</v>
      </c>
      <c r="S213">
        <f t="shared" si="171"/>
        <v>0.99958738144928894</v>
      </c>
      <c r="T213">
        <f t="shared" si="172"/>
        <v>-2.8727928206252466E-2</v>
      </c>
      <c r="U213">
        <f t="shared" si="173"/>
        <v>0.91305196741156847</v>
      </c>
      <c r="V213">
        <f t="shared" si="174"/>
        <v>-0.42009066388793892</v>
      </c>
      <c r="X213">
        <f t="shared" si="192"/>
        <v>-4.7702697746514069</v>
      </c>
      <c r="Y213">
        <f t="shared" si="175"/>
        <v>-119.05390525126745</v>
      </c>
      <c r="Z213">
        <f t="shared" si="193"/>
        <v>60.946094748732548</v>
      </c>
      <c r="AC213">
        <v>1</v>
      </c>
      <c r="AD213">
        <f t="shared" si="176"/>
        <v>30.8210093830548</v>
      </c>
      <c r="AE213">
        <f t="shared" si="177"/>
        <v>-1.7332043121266096E-3</v>
      </c>
      <c r="AF213">
        <f t="shared" si="178"/>
        <v>3.8801810820150006E-3</v>
      </c>
      <c r="AG213">
        <f t="shared" si="194"/>
        <v>6525.979105671945</v>
      </c>
      <c r="AH213">
        <f t="shared" si="195"/>
        <v>-3172.7527315311972</v>
      </c>
      <c r="AJ213">
        <f t="shared" si="179"/>
        <v>21000</v>
      </c>
      <c r="AK213">
        <f t="shared" si="180"/>
        <v>603.45251001598501</v>
      </c>
      <c r="AL213">
        <v>1</v>
      </c>
      <c r="AM213">
        <f t="shared" si="181"/>
        <v>11.837982605160285</v>
      </c>
      <c r="AN213">
        <f t="shared" si="196"/>
        <v>199.40550230847538</v>
      </c>
      <c r="AO213">
        <f t="shared" si="197"/>
        <v>-1757.1063576849956</v>
      </c>
      <c r="AQ213">
        <f t="shared" si="182"/>
        <v>0.31209038137444606</v>
      </c>
      <c r="AR213">
        <f t="shared" si="183"/>
        <v>-55.864178266025839</v>
      </c>
      <c r="AT213">
        <f t="shared" si="156"/>
        <v>-175206.5288803484</v>
      </c>
      <c r="AU213">
        <f t="shared" si="157"/>
        <v>-365558.64572960779</v>
      </c>
      <c r="AV213">
        <f t="shared" si="198"/>
        <v>-2.0177344793922978</v>
      </c>
      <c r="AW213">
        <f t="shared" si="199"/>
        <v>-94220.71755371445</v>
      </c>
      <c r="AX213">
        <f t="shared" si="200"/>
        <v>-24684.19542990678</v>
      </c>
      <c r="AY213">
        <f t="shared" si="208"/>
        <v>-2.885368362578439</v>
      </c>
      <c r="BA213">
        <f t="shared" si="184"/>
        <v>4.1619603218322414</v>
      </c>
      <c r="BB213">
        <f t="shared" si="201"/>
        <v>12.385958710729605</v>
      </c>
      <c r="BC213">
        <f t="shared" si="202"/>
        <v>0.86763388318614121</v>
      </c>
      <c r="BD213">
        <f t="shared" si="185"/>
        <v>-130.28824027408348</v>
      </c>
      <c r="BF213">
        <f t="shared" si="186"/>
        <v>-4.6471515339614253</v>
      </c>
      <c r="BG213">
        <f t="shared" si="187"/>
        <v>-126.93987016142475</v>
      </c>
      <c r="BH213">
        <f t="shared" si="203"/>
        <v>53.06012983857525</v>
      </c>
      <c r="BI213">
        <f t="shared" si="204"/>
        <v>53.06012983857525</v>
      </c>
      <c r="BJ213">
        <f t="shared" si="188"/>
        <v>0</v>
      </c>
      <c r="BK213">
        <f t="shared" si="205"/>
        <v>0</v>
      </c>
      <c r="BM213">
        <f t="shared" si="206"/>
        <v>-17.033110244691031</v>
      </c>
      <c r="BN213">
        <f t="shared" si="189"/>
        <v>-176.6516298873413</v>
      </c>
      <c r="BQ213" s="66">
        <f t="shared" si="207"/>
        <v>29.287919511014742</v>
      </c>
      <c r="BR213" s="71"/>
      <c r="BS213" s="71"/>
      <c r="BT213" s="71">
        <v>10715.192999999999</v>
      </c>
      <c r="BU213" s="71">
        <v>-2.5136799999999999</v>
      </c>
      <c r="BV213" s="71">
        <v>-209.68</v>
      </c>
      <c r="BW213" s="75"/>
      <c r="BY213" s="71"/>
      <c r="BZ213" s="71"/>
      <c r="CA213" s="71"/>
      <c r="CC213" s="71"/>
    </row>
    <row r="214" spans="1:81" ht="13" x14ac:dyDescent="0.3">
      <c r="A214">
        <f t="shared" si="190"/>
        <v>90000</v>
      </c>
      <c r="B214">
        <f t="shared" si="191"/>
        <v>90</v>
      </c>
      <c r="C214">
        <f t="shared" si="159"/>
        <v>1.0003996391216168</v>
      </c>
      <c r="D214">
        <f t="shared" si="160"/>
        <v>2.8266802936761343E-2</v>
      </c>
      <c r="F214">
        <f t="shared" si="161"/>
        <v>9.2725542018852365E-3</v>
      </c>
      <c r="G214">
        <f t="shared" si="162"/>
        <v>3.0158674707327832E-2</v>
      </c>
      <c r="H214">
        <f t="shared" si="163"/>
        <v>-3.1114339752926723</v>
      </c>
      <c r="J214">
        <f t="shared" si="164"/>
        <v>15</v>
      </c>
      <c r="M214">
        <f t="shared" si="165"/>
        <v>1.2204197781899883E-2</v>
      </c>
      <c r="N214">
        <f t="shared" si="166"/>
        <v>-1.5707963250000001</v>
      </c>
      <c r="O214">
        <f t="shared" si="167"/>
        <v>31.009322170783509</v>
      </c>
      <c r="P214">
        <f t="shared" si="168"/>
        <v>1.5385423677483172</v>
      </c>
      <c r="Q214">
        <f t="shared" si="169"/>
        <v>11.946045023258359</v>
      </c>
      <c r="R214">
        <f t="shared" si="170"/>
        <v>1.4869885408558385</v>
      </c>
      <c r="S214">
        <f t="shared" si="171"/>
        <v>0.99958276120135292</v>
      </c>
      <c r="T214">
        <f t="shared" si="172"/>
        <v>-2.8888330397524552E-2</v>
      </c>
      <c r="U214">
        <f t="shared" si="173"/>
        <v>0.91220232948941737</v>
      </c>
      <c r="V214">
        <f t="shared" si="174"/>
        <v>-0.42216907627572098</v>
      </c>
      <c r="X214">
        <f t="shared" si="192"/>
        <v>-4.8280048335165899</v>
      </c>
      <c r="Y214">
        <f t="shared" si="175"/>
        <v>-119.14600041367557</v>
      </c>
      <c r="Z214">
        <f t="shared" si="193"/>
        <v>60.853999586324434</v>
      </c>
      <c r="AC214">
        <v>1</v>
      </c>
      <c r="AD214">
        <f t="shared" si="176"/>
        <v>30.993193793016001</v>
      </c>
      <c r="AE214">
        <f t="shared" si="177"/>
        <v>-1.7526238167629648E-3</v>
      </c>
      <c r="AF214">
        <f t="shared" si="178"/>
        <v>3.9018580713000004E-3</v>
      </c>
      <c r="AG214">
        <f t="shared" si="194"/>
        <v>6513.8392938896577</v>
      </c>
      <c r="AH214">
        <f t="shared" si="195"/>
        <v>-3182.1531327254725</v>
      </c>
      <c r="AJ214">
        <f t="shared" si="179"/>
        <v>21000</v>
      </c>
      <c r="AK214">
        <f t="shared" si="180"/>
        <v>606.82375308870007</v>
      </c>
      <c r="AL214">
        <v>1</v>
      </c>
      <c r="AM214">
        <f t="shared" si="181"/>
        <v>11.9041165861947</v>
      </c>
      <c r="AN214">
        <f t="shared" si="196"/>
        <v>197.77239079801214</v>
      </c>
      <c r="AO214">
        <f t="shared" si="197"/>
        <v>-1747.4818445012961</v>
      </c>
      <c r="AQ214">
        <f t="shared" si="182"/>
        <v>0.30863244961575259</v>
      </c>
      <c r="AR214">
        <f t="shared" si="183"/>
        <v>-55.55384093083547</v>
      </c>
      <c r="AT214">
        <f t="shared" ref="AT214:AT277" si="209">-AR214*AH214+AG214*AQ214</f>
        <v>-174770.44677531417</v>
      </c>
      <c r="AU214">
        <f t="shared" ref="AU214:AU277" si="210">AQ214*AH214+AG214*AR214</f>
        <v>-362850.90769817721</v>
      </c>
      <c r="AV214">
        <f t="shared" si="198"/>
        <v>-2.0196638637165041</v>
      </c>
      <c r="AW214">
        <f t="shared" si="199"/>
        <v>-93155.009260444684</v>
      </c>
      <c r="AX214">
        <f t="shared" si="200"/>
        <v>-24464.085809801931</v>
      </c>
      <c r="AY214">
        <f t="shared" si="208"/>
        <v>-2.8847749013290973</v>
      </c>
      <c r="BA214">
        <f t="shared" si="184"/>
        <v>4.1816172275451153</v>
      </c>
      <c r="BB214">
        <f t="shared" si="201"/>
        <v>12.42688552624179</v>
      </c>
      <c r="BC214">
        <f t="shared" si="202"/>
        <v>0.86511103761259323</v>
      </c>
      <c r="BD214">
        <f t="shared" si="185"/>
        <v>-130.43278867797619</v>
      </c>
      <c r="BF214">
        <f t="shared" si="186"/>
        <v>-4.7038311520209302</v>
      </c>
      <c r="BG214">
        <f t="shared" si="187"/>
        <v>-127.08525538910881</v>
      </c>
      <c r="BH214">
        <f t="shared" si="203"/>
        <v>52.914744610891191</v>
      </c>
      <c r="BI214">
        <f t="shared" si="204"/>
        <v>52.914744610891191</v>
      </c>
      <c r="BJ214">
        <f t="shared" si="188"/>
        <v>0</v>
      </c>
      <c r="BK214">
        <f t="shared" si="205"/>
        <v>0</v>
      </c>
      <c r="BM214">
        <f t="shared" si="206"/>
        <v>-17.130716678262722</v>
      </c>
      <c r="BN214">
        <f t="shared" si="189"/>
        <v>-176.65246671113263</v>
      </c>
      <c r="BQ214" s="66">
        <f t="shared" si="207"/>
        <v>29.328846326526925</v>
      </c>
      <c r="BR214" s="71"/>
      <c r="BS214" s="71"/>
      <c r="BT214" s="71">
        <v>10964.781999999999</v>
      </c>
      <c r="BU214" s="71">
        <v>-2.5043700000000002</v>
      </c>
      <c r="BV214" s="71">
        <v>-209.52500000000001</v>
      </c>
      <c r="BW214" s="75"/>
      <c r="BY214" s="71"/>
      <c r="BZ214" s="71"/>
      <c r="CA214" s="71"/>
      <c r="CC214" s="71"/>
    </row>
    <row r="215" spans="1:81" ht="13" x14ac:dyDescent="0.3">
      <c r="A215">
        <f t="shared" si="190"/>
        <v>90500</v>
      </c>
      <c r="B215">
        <f t="shared" si="191"/>
        <v>90.5</v>
      </c>
      <c r="C215">
        <f t="shared" si="159"/>
        <v>1.0004040909915417</v>
      </c>
      <c r="D215">
        <f t="shared" si="160"/>
        <v>2.842375639633794E-2</v>
      </c>
      <c r="F215">
        <f t="shared" si="161"/>
        <v>9.169479103004901E-3</v>
      </c>
      <c r="G215">
        <f t="shared" si="162"/>
        <v>2.9989061078310779E-2</v>
      </c>
      <c r="H215">
        <f t="shared" si="163"/>
        <v>-3.1116035889216893</v>
      </c>
      <c r="J215">
        <f t="shared" si="164"/>
        <v>15</v>
      </c>
      <c r="M215">
        <f t="shared" si="165"/>
        <v>1.2136771274817562E-2</v>
      </c>
      <c r="N215">
        <f t="shared" si="166"/>
        <v>-1.5707963250000001</v>
      </c>
      <c r="O215">
        <f t="shared" si="167"/>
        <v>31.181417519647923</v>
      </c>
      <c r="P215">
        <f t="shared" si="168"/>
        <v>1.5387204438752298</v>
      </c>
      <c r="Q215">
        <f t="shared" si="169"/>
        <v>12.011948161819921</v>
      </c>
      <c r="R215">
        <f t="shared" si="170"/>
        <v>1.4874494200314083</v>
      </c>
      <c r="S215">
        <f t="shared" si="171"/>
        <v>0.99957811527847651</v>
      </c>
      <c r="T215">
        <f t="shared" si="172"/>
        <v>-2.904873110186899E-2</v>
      </c>
      <c r="U215">
        <f t="shared" si="173"/>
        <v>0.91135034548719451</v>
      </c>
      <c r="V215">
        <f t="shared" si="174"/>
        <v>-0.42424361519595521</v>
      </c>
      <c r="X215">
        <f t="shared" si="192"/>
        <v>-4.8854808768864206</v>
      </c>
      <c r="Y215">
        <f t="shared" si="175"/>
        <v>-119.23816895388289</v>
      </c>
      <c r="Z215">
        <f t="shared" si="193"/>
        <v>60.761831046117109</v>
      </c>
      <c r="AC215">
        <v>1</v>
      </c>
      <c r="AD215">
        <f t="shared" si="176"/>
        <v>31.165378202977205</v>
      </c>
      <c r="AE215">
        <f t="shared" si="177"/>
        <v>-1.7721515080546754E-3</v>
      </c>
      <c r="AF215">
        <f t="shared" si="178"/>
        <v>3.9235350605850003E-3</v>
      </c>
      <c r="AG215">
        <f t="shared" si="194"/>
        <v>6501.677309584612</v>
      </c>
      <c r="AH215">
        <f t="shared" si="195"/>
        <v>-3191.4987519439183</v>
      </c>
      <c r="AJ215">
        <f t="shared" si="179"/>
        <v>21000</v>
      </c>
      <c r="AK215">
        <f t="shared" si="180"/>
        <v>610.19499616141502</v>
      </c>
      <c r="AL215">
        <v>1</v>
      </c>
      <c r="AM215">
        <f t="shared" si="181"/>
        <v>11.970250567229115</v>
      </c>
      <c r="AN215">
        <f t="shared" si="196"/>
        <v>196.16602245433347</v>
      </c>
      <c r="AO215">
        <f t="shared" si="197"/>
        <v>-1737.9614453936495</v>
      </c>
      <c r="AQ215">
        <f t="shared" si="182"/>
        <v>0.30523167083816616</v>
      </c>
      <c r="AR215">
        <f t="shared" si="183"/>
        <v>-55.246932421708074</v>
      </c>
      <c r="AT215">
        <f t="shared" si="209"/>
        <v>-174335.99804415621</v>
      </c>
      <c r="AU215">
        <f t="shared" si="210"/>
        <v>-360171.87344690762</v>
      </c>
      <c r="AV215">
        <f t="shared" si="198"/>
        <v>-2.0215910192448456</v>
      </c>
      <c r="AW215">
        <f t="shared" si="199"/>
        <v>-92106.848181561145</v>
      </c>
      <c r="AX215">
        <f t="shared" si="200"/>
        <v>-24247.997465994264</v>
      </c>
      <c r="AY215">
        <f t="shared" si="208"/>
        <v>-2.8841739705297647</v>
      </c>
      <c r="BA215">
        <f t="shared" si="184"/>
        <v>4.2012221612022485</v>
      </c>
      <c r="BB215">
        <f t="shared" si="201"/>
        <v>12.467512953936023</v>
      </c>
      <c r="BC215">
        <f t="shared" si="202"/>
        <v>0.86258295128491902</v>
      </c>
      <c r="BD215">
        <f t="shared" si="185"/>
        <v>-130.57763735496218</v>
      </c>
      <c r="BF215">
        <f t="shared" si="186"/>
        <v>-4.760259382136506</v>
      </c>
      <c r="BG215">
        <f t="shared" si="187"/>
        <v>-127.23082944037246</v>
      </c>
      <c r="BH215">
        <f t="shared" si="203"/>
        <v>52.76917055962754</v>
      </c>
      <c r="BI215">
        <f t="shared" si="204"/>
        <v>52.76917055962754</v>
      </c>
      <c r="BJ215">
        <f t="shared" si="188"/>
        <v>0</v>
      </c>
      <c r="BK215">
        <f t="shared" si="205"/>
        <v>0</v>
      </c>
      <c r="BM215">
        <f t="shared" si="206"/>
        <v>-17.227772336072526</v>
      </c>
      <c r="BN215">
        <f t="shared" si="189"/>
        <v>-176.6531920854103</v>
      </c>
      <c r="BQ215" s="66">
        <f t="shared" si="207"/>
        <v>29.369473754221161</v>
      </c>
      <c r="BR215" s="71"/>
      <c r="BS215" s="71"/>
      <c r="BT215" s="71">
        <v>11220.184999999999</v>
      </c>
      <c r="BU215" s="71">
        <v>-2.7486899999999999</v>
      </c>
      <c r="BV215" s="71">
        <v>-207.815</v>
      </c>
      <c r="BW215" s="75"/>
      <c r="BY215" s="71"/>
      <c r="BZ215" s="71"/>
      <c r="CA215" s="71"/>
      <c r="CC215" s="71"/>
    </row>
    <row r="216" spans="1:81" ht="13" x14ac:dyDescent="0.3">
      <c r="A216">
        <f t="shared" si="190"/>
        <v>91000</v>
      </c>
      <c r="B216">
        <f t="shared" si="191"/>
        <v>91</v>
      </c>
      <c r="C216">
        <f t="shared" si="159"/>
        <v>1.0004085675055898</v>
      </c>
      <c r="D216">
        <f t="shared" si="160"/>
        <v>2.858070845514608E-2</v>
      </c>
      <c r="F216">
        <f t="shared" si="161"/>
        <v>9.068118074671937E-3</v>
      </c>
      <c r="G216">
        <f t="shared" si="162"/>
        <v>2.982136079275962E-2</v>
      </c>
      <c r="H216">
        <f t="shared" si="163"/>
        <v>-3.1117712892072404</v>
      </c>
      <c r="J216">
        <f t="shared" si="164"/>
        <v>15</v>
      </c>
      <c r="M216">
        <f t="shared" si="165"/>
        <v>1.2070085718362522E-2</v>
      </c>
      <c r="N216">
        <f t="shared" si="166"/>
        <v>-1.5707963250000001</v>
      </c>
      <c r="O216">
        <f t="shared" si="167"/>
        <v>31.353513846454831</v>
      </c>
      <c r="P216">
        <f t="shared" si="168"/>
        <v>1.5388965651232902</v>
      </c>
      <c r="Q216">
        <f t="shared" si="169"/>
        <v>12.077853823990301</v>
      </c>
      <c r="R216">
        <f t="shared" si="170"/>
        <v>1.4879052695107648</v>
      </c>
      <c r="S216">
        <f t="shared" si="171"/>
        <v>0.99957344368173451</v>
      </c>
      <c r="T216">
        <f t="shared" si="172"/>
        <v>-2.9209130311052867E-2</v>
      </c>
      <c r="U216">
        <f t="shared" si="173"/>
        <v>0.91049604394153583</v>
      </c>
      <c r="V216">
        <f t="shared" si="174"/>
        <v>-0.42631427366036567</v>
      </c>
      <c r="X216">
        <f t="shared" si="192"/>
        <v>-4.9427011214499359</v>
      </c>
      <c r="Y216">
        <f t="shared" si="175"/>
        <v>-119.33040571510834</v>
      </c>
      <c r="Z216">
        <f t="shared" si="193"/>
        <v>60.669594284891659</v>
      </c>
      <c r="AC216">
        <v>1</v>
      </c>
      <c r="AD216">
        <f t="shared" si="176"/>
        <v>31.337562612938402</v>
      </c>
      <c r="AE216">
        <f t="shared" si="177"/>
        <v>-1.7917873860017418E-3</v>
      </c>
      <c r="AF216">
        <f t="shared" si="178"/>
        <v>3.9452120498700005E-3</v>
      </c>
      <c r="AG216">
        <f t="shared" si="194"/>
        <v>6489.4936534238823</v>
      </c>
      <c r="AH216">
        <f t="shared" si="195"/>
        <v>-3200.7893898020952</v>
      </c>
      <c r="AJ216">
        <f t="shared" si="179"/>
        <v>21000</v>
      </c>
      <c r="AK216">
        <f t="shared" si="180"/>
        <v>613.56623923413008</v>
      </c>
      <c r="AL216">
        <v>1</v>
      </c>
      <c r="AM216">
        <f t="shared" si="181"/>
        <v>12.036384548263531</v>
      </c>
      <c r="AN216">
        <f t="shared" si="196"/>
        <v>194.58581787382889</v>
      </c>
      <c r="AO216">
        <f t="shared" si="197"/>
        <v>-1728.5434923336454</v>
      </c>
      <c r="AQ216">
        <f t="shared" si="182"/>
        <v>0.30188679245283018</v>
      </c>
      <c r="AR216">
        <f t="shared" si="183"/>
        <v>-54.943396226415096</v>
      </c>
      <c r="AT216">
        <f t="shared" si="209"/>
        <v>-173903.14725752678</v>
      </c>
      <c r="AU216">
        <f t="shared" si="210"/>
        <v>-357521.09715107887</v>
      </c>
      <c r="AV216">
        <f t="shared" si="198"/>
        <v>-2.0235159119236519</v>
      </c>
      <c r="AW216">
        <f t="shared" si="199"/>
        <v>-91075.854460789327</v>
      </c>
      <c r="AX216">
        <f t="shared" si="200"/>
        <v>-24035.829853749623</v>
      </c>
      <c r="AY216">
        <f t="shared" si="208"/>
        <v>-2.8835656638066682</v>
      </c>
      <c r="BA216">
        <f t="shared" si="184"/>
        <v>4.2207749104102472</v>
      </c>
      <c r="BB216">
        <f t="shared" si="201"/>
        <v>12.507843845868031</v>
      </c>
      <c r="BC216">
        <f t="shared" si="202"/>
        <v>0.86004975188301636</v>
      </c>
      <c r="BD216">
        <f t="shared" si="185"/>
        <v>-130.72277898952211</v>
      </c>
      <c r="BF216">
        <f t="shared" si="186"/>
        <v>-4.8164395979582997</v>
      </c>
      <c r="BG216">
        <f t="shared" si="187"/>
        <v>-127.37658690296274</v>
      </c>
      <c r="BH216">
        <f t="shared" si="203"/>
        <v>52.623413097037258</v>
      </c>
      <c r="BI216">
        <f t="shared" si="204"/>
        <v>52.623413097037258</v>
      </c>
      <c r="BJ216">
        <f t="shared" si="188"/>
        <v>0</v>
      </c>
      <c r="BK216">
        <f t="shared" si="205"/>
        <v>0</v>
      </c>
      <c r="BM216">
        <f t="shared" si="206"/>
        <v>-17.324283443826335</v>
      </c>
      <c r="BN216">
        <f t="shared" si="189"/>
        <v>-176.65380791344063</v>
      </c>
      <c r="BQ216" s="66">
        <f t="shared" si="207"/>
        <v>29.409804646153169</v>
      </c>
      <c r="BR216" s="71"/>
      <c r="BS216" s="71"/>
      <c r="BT216" s="71">
        <v>11481.536</v>
      </c>
      <c r="BU216" s="71">
        <v>-2.86917</v>
      </c>
      <c r="BV216" s="71">
        <v>-207.916</v>
      </c>
      <c r="BW216" s="75"/>
      <c r="BY216" s="71"/>
      <c r="BZ216" s="71"/>
      <c r="CA216" s="71"/>
      <c r="CC216" s="71"/>
    </row>
    <row r="217" spans="1:81" ht="13" x14ac:dyDescent="0.3">
      <c r="A217">
        <f t="shared" si="190"/>
        <v>91500</v>
      </c>
      <c r="B217">
        <f t="shared" si="191"/>
        <v>91.5</v>
      </c>
      <c r="C217">
        <f t="shared" si="159"/>
        <v>1.0004130686634305</v>
      </c>
      <c r="D217">
        <f t="shared" si="160"/>
        <v>2.8737659105471925E-2</v>
      </c>
      <c r="F217">
        <f t="shared" si="161"/>
        <v>8.9684332157420714E-3</v>
      </c>
      <c r="G217">
        <f t="shared" si="162"/>
        <v>2.9655541397028723E-2</v>
      </c>
      <c r="H217">
        <f t="shared" si="163"/>
        <v>-3.1119371086029717</v>
      </c>
      <c r="J217">
        <f t="shared" si="164"/>
        <v>15</v>
      </c>
      <c r="M217">
        <f t="shared" si="165"/>
        <v>1.2004128965803164E-2</v>
      </c>
      <c r="N217">
        <f t="shared" si="166"/>
        <v>-1.5707963250000001</v>
      </c>
      <c r="O217">
        <f t="shared" si="167"/>
        <v>31.525611135188647</v>
      </c>
      <c r="P217">
        <f t="shared" si="168"/>
        <v>1.539070763496343</v>
      </c>
      <c r="Q217">
        <f t="shared" si="169"/>
        <v>12.143761968681703</v>
      </c>
      <c r="R217">
        <f t="shared" si="170"/>
        <v>1.4883561709962889</v>
      </c>
      <c r="S217">
        <f t="shared" si="171"/>
        <v>0.9995687464122085</v>
      </c>
      <c r="T217">
        <f t="shared" si="172"/>
        <v>-2.936952801684373E-2</v>
      </c>
      <c r="U217">
        <f t="shared" si="173"/>
        <v>0.90963945331021512</v>
      </c>
      <c r="V217">
        <f t="shared" si="174"/>
        <v>-0.4283810448398977</v>
      </c>
      <c r="X217">
        <f t="shared" si="192"/>
        <v>-4.9996687229879635</v>
      </c>
      <c r="Y217">
        <f t="shared" si="175"/>
        <v>-119.42270565061631</v>
      </c>
      <c r="Z217">
        <f t="shared" si="193"/>
        <v>60.577294349383692</v>
      </c>
      <c r="AC217">
        <v>1</v>
      </c>
      <c r="AD217">
        <f t="shared" si="176"/>
        <v>31.509747022899603</v>
      </c>
      <c r="AE217">
        <f t="shared" si="177"/>
        <v>-1.8115314506041646E-3</v>
      </c>
      <c r="AF217">
        <f t="shared" si="178"/>
        <v>3.9668890391549999E-3</v>
      </c>
      <c r="AG217">
        <f t="shared" si="194"/>
        <v>6477.2888236790914</v>
      </c>
      <c r="AH217">
        <f t="shared" si="195"/>
        <v>-3210.0248565193033</v>
      </c>
      <c r="AJ217">
        <f t="shared" si="179"/>
        <v>21000</v>
      </c>
      <c r="AK217">
        <f t="shared" si="180"/>
        <v>616.93748230684503</v>
      </c>
      <c r="AL217">
        <v>1</v>
      </c>
      <c r="AM217">
        <f t="shared" si="181"/>
        <v>12.102518529297946</v>
      </c>
      <c r="AN217">
        <f t="shared" si="196"/>
        <v>193.03121322370723</v>
      </c>
      <c r="AO217">
        <f t="shared" si="197"/>
        <v>-1719.2263524659343</v>
      </c>
      <c r="AQ217">
        <f t="shared" si="182"/>
        <v>0.29859659599880561</v>
      </c>
      <c r="AR217">
        <f t="shared" si="183"/>
        <v>-54.64317706778143</v>
      </c>
      <c r="AT217">
        <f t="shared" si="209"/>
        <v>-173471.86023271229</v>
      </c>
      <c r="AU217">
        <f t="shared" si="210"/>
        <v>-354898.14260668645</v>
      </c>
      <c r="AV217">
        <f t="shared" si="198"/>
        <v>-2.0254385084488602</v>
      </c>
      <c r="AW217">
        <f t="shared" si="199"/>
        <v>-90061.658434208162</v>
      </c>
      <c r="AX217">
        <f t="shared" si="200"/>
        <v>-23827.485529864272</v>
      </c>
      <c r="AY217">
        <f t="shared" si="208"/>
        <v>-2.8829500730180442</v>
      </c>
      <c r="BA217">
        <f t="shared" si="184"/>
        <v>4.2402752648431505</v>
      </c>
      <c r="BB217">
        <f t="shared" si="201"/>
        <v>12.547881009789039</v>
      </c>
      <c r="BC217">
        <f t="shared" si="202"/>
        <v>0.85751156456918398</v>
      </c>
      <c r="BD217">
        <f t="shared" si="185"/>
        <v>-130.86820641038452</v>
      </c>
      <c r="BF217">
        <f t="shared" si="186"/>
        <v>-4.8723751116018228</v>
      </c>
      <c r="BG217">
        <f t="shared" si="187"/>
        <v>-127.52252246550704</v>
      </c>
      <c r="BH217">
        <f t="shared" si="203"/>
        <v>52.477477534492962</v>
      </c>
      <c r="BI217">
        <f t="shared" si="204"/>
        <v>52.477477534492962</v>
      </c>
      <c r="BJ217">
        <f t="shared" si="188"/>
        <v>0</v>
      </c>
      <c r="BK217">
        <f t="shared" si="205"/>
        <v>0</v>
      </c>
      <c r="BM217">
        <f t="shared" si="206"/>
        <v>-17.420256121390864</v>
      </c>
      <c r="BN217">
        <f t="shared" si="189"/>
        <v>-176.65431605512254</v>
      </c>
      <c r="BQ217" s="66">
        <f t="shared" si="207"/>
        <v>29.449841810074176</v>
      </c>
      <c r="BR217" s="71"/>
      <c r="BS217" s="71"/>
      <c r="BT217" s="71">
        <v>11748.976000000001</v>
      </c>
      <c r="BU217" s="71">
        <v>-3.0396299999999998</v>
      </c>
      <c r="BV217" s="71">
        <v>-206.25700000000001</v>
      </c>
      <c r="BW217" s="75"/>
      <c r="BY217" s="71"/>
      <c r="BZ217" s="71"/>
      <c r="CA217" s="71"/>
      <c r="CC217" s="71"/>
    </row>
    <row r="218" spans="1:81" ht="13" x14ac:dyDescent="0.3">
      <c r="A218">
        <f t="shared" si="190"/>
        <v>92000</v>
      </c>
      <c r="B218">
        <f t="shared" si="191"/>
        <v>92</v>
      </c>
      <c r="C218">
        <f t="shared" si="159"/>
        <v>1.0004175944647311</v>
      </c>
      <c r="D218">
        <f t="shared" si="160"/>
        <v>2.8894608339602043E-2</v>
      </c>
      <c r="F218">
        <f t="shared" si="161"/>
        <v>8.8703876697264657E-3</v>
      </c>
      <c r="G218">
        <f t="shared" si="162"/>
        <v>2.9491571172785915E-2</v>
      </c>
      <c r="H218">
        <f t="shared" si="163"/>
        <v>-3.1121010788272141</v>
      </c>
      <c r="J218">
        <f t="shared" si="164"/>
        <v>15</v>
      </c>
      <c r="M218">
        <f t="shared" si="165"/>
        <v>1.1938889134467275E-2</v>
      </c>
      <c r="N218">
        <f t="shared" si="166"/>
        <v>-1.5707963250000001</v>
      </c>
      <c r="O218">
        <f t="shared" si="167"/>
        <v>31.697709370181521</v>
      </c>
      <c r="P218">
        <f t="shared" si="168"/>
        <v>1.5392430703036633</v>
      </c>
      <c r="Q218">
        <f t="shared" si="169"/>
        <v>12.209672555691986</v>
      </c>
      <c r="R218">
        <f t="shared" si="170"/>
        <v>1.4888022044343172</v>
      </c>
      <c r="S218">
        <f t="shared" si="171"/>
        <v>0.99956402347098516</v>
      </c>
      <c r="T218">
        <f t="shared" si="172"/>
        <v>-2.9529924211009594E-2</v>
      </c>
      <c r="U218">
        <f t="shared" si="173"/>
        <v>0.90878060197046462</v>
      </c>
      <c r="V218">
        <f t="shared" si="174"/>
        <v>-0.43044392206394971</v>
      </c>
      <c r="X218">
        <f t="shared" si="192"/>
        <v>-5.0563867778513423</v>
      </c>
      <c r="Y218">
        <f t="shared" si="175"/>
        <v>-119.51506382102922</v>
      </c>
      <c r="Z218">
        <f t="shared" si="193"/>
        <v>60.484936178970784</v>
      </c>
      <c r="AC218">
        <v>1</v>
      </c>
      <c r="AD218">
        <f t="shared" si="176"/>
        <v>31.6819314328608</v>
      </c>
      <c r="AE218">
        <f t="shared" si="177"/>
        <v>-1.8313837018619425E-3</v>
      </c>
      <c r="AF218">
        <f t="shared" si="178"/>
        <v>3.9885660284400002E-3</v>
      </c>
      <c r="AG218">
        <f t="shared" si="194"/>
        <v>6465.0633161974793</v>
      </c>
      <c r="AH218">
        <f t="shared" si="195"/>
        <v>-3219.2049717205118</v>
      </c>
      <c r="AJ218">
        <f t="shared" si="179"/>
        <v>21000</v>
      </c>
      <c r="AK218">
        <f t="shared" si="180"/>
        <v>620.30872537956009</v>
      </c>
      <c r="AL218">
        <v>1</v>
      </c>
      <c r="AM218">
        <f t="shared" si="181"/>
        <v>12.168652510332361</v>
      </c>
      <c r="AN218">
        <f t="shared" si="196"/>
        <v>191.50165974369662</v>
      </c>
      <c r="AO218">
        <f t="shared" si="197"/>
        <v>-1710.0084271933872</v>
      </c>
      <c r="AQ218">
        <f t="shared" si="182"/>
        <v>0.29535989603331658</v>
      </c>
      <c r="AR218">
        <f t="shared" si="183"/>
        <v>-54.346220870130253</v>
      </c>
      <c r="AT218">
        <f t="shared" si="209"/>
        <v>-173042.10399042346</v>
      </c>
      <c r="AU218">
        <f t="shared" si="210"/>
        <v>-352302.58296720224</v>
      </c>
      <c r="AV218">
        <f t="shared" si="198"/>
        <v>-2.027358776249244</v>
      </c>
      <c r="AW218">
        <f t="shared" si="199"/>
        <v>-89063.90030451928</v>
      </c>
      <c r="AX218">
        <f t="shared" si="200"/>
        <v>-23622.870039730733</v>
      </c>
      <c r="AY218">
        <f t="shared" si="208"/>
        <v>-2.8823272883046749</v>
      </c>
      <c r="BA218">
        <f t="shared" si="184"/>
        <v>4.2597230162388628</v>
      </c>
      <c r="BB218">
        <f t="shared" si="201"/>
        <v>12.587627210083028</v>
      </c>
      <c r="BC218">
        <f t="shared" si="202"/>
        <v>0.8549685120554309</v>
      </c>
      <c r="BD218">
        <f t="shared" si="185"/>
        <v>-131.01391258666919</v>
      </c>
      <c r="BF218">
        <f t="shared" si="186"/>
        <v>-4.928069175113813</v>
      </c>
      <c r="BG218">
        <f t="shared" si="187"/>
        <v>-127.66863091489361</v>
      </c>
      <c r="BH218">
        <f t="shared" si="203"/>
        <v>52.331369085106388</v>
      </c>
      <c r="BI218">
        <f t="shared" si="204"/>
        <v>52.331369085106388</v>
      </c>
      <c r="BJ218">
        <f t="shared" si="188"/>
        <v>0</v>
      </c>
      <c r="BK218">
        <f t="shared" si="205"/>
        <v>0</v>
      </c>
      <c r="BM218">
        <f t="shared" si="206"/>
        <v>-17.51569638519684</v>
      </c>
      <c r="BN218">
        <f t="shared" si="189"/>
        <v>-176.65471832822442</v>
      </c>
      <c r="BQ218" s="66">
        <f t="shared" si="207"/>
        <v>29.489588010368166</v>
      </c>
      <c r="BR218" s="71"/>
      <c r="BS218" s="71"/>
      <c r="BT218" s="71">
        <v>12022.644</v>
      </c>
      <c r="BU218" s="71">
        <v>-3.2097500000000001</v>
      </c>
      <c r="BV218" s="71">
        <v>-205.79599999999999</v>
      </c>
      <c r="BW218" s="75"/>
      <c r="BY218" s="71"/>
      <c r="BZ218" s="71"/>
      <c r="CA218" s="71"/>
      <c r="CC218" s="71"/>
    </row>
    <row r="219" spans="1:81" ht="13" x14ac:dyDescent="0.3">
      <c r="A219">
        <f t="shared" si="190"/>
        <v>92500</v>
      </c>
      <c r="B219">
        <f t="shared" si="191"/>
        <v>92.5</v>
      </c>
      <c r="C219">
        <f t="shared" si="159"/>
        <v>1.000422144909157</v>
      </c>
      <c r="D219">
        <f t="shared" si="160"/>
        <v>2.9051556149823431E-2</v>
      </c>
      <c r="F219">
        <f t="shared" si="161"/>
        <v>8.7739455903379834E-3</v>
      </c>
      <c r="G219">
        <f t="shared" si="162"/>
        <v>2.9329419116161885E-2</v>
      </c>
      <c r="H219">
        <f t="shared" si="163"/>
        <v>-3.1122632308838383</v>
      </c>
      <c r="J219">
        <f t="shared" si="164"/>
        <v>15</v>
      </c>
      <c r="M219">
        <f t="shared" si="165"/>
        <v>1.1874354598605292E-2</v>
      </c>
      <c r="N219">
        <f t="shared" si="166"/>
        <v>-1.5707963250000001</v>
      </c>
      <c r="O219">
        <f t="shared" si="167"/>
        <v>31.869808536103942</v>
      </c>
      <c r="P219">
        <f t="shared" si="168"/>
        <v>1.5394135161786924</v>
      </c>
      <c r="Q219">
        <f t="shared" si="169"/>
        <v>12.275585545680945</v>
      </c>
      <c r="R219">
        <f t="shared" si="170"/>
        <v>1.4892434480619632</v>
      </c>
      <c r="S219">
        <f t="shared" si="171"/>
        <v>0.99955927485915752</v>
      </c>
      <c r="T219">
        <f t="shared" si="172"/>
        <v>-2.969031888531894E-2</v>
      </c>
      <c r="U219">
        <f t="shared" si="173"/>
        <v>0.90791951821732286</v>
      </c>
      <c r="V219">
        <f t="shared" si="174"/>
        <v>-0.43250289881959564</v>
      </c>
      <c r="X219">
        <f t="shared" si="192"/>
        <v>-5.112858324394832</v>
      </c>
      <c r="Y219">
        <f t="shared" si="175"/>
        <v>-119.60747539172185</v>
      </c>
      <c r="Z219">
        <f t="shared" si="193"/>
        <v>60.392524608278151</v>
      </c>
      <c r="AC219">
        <v>1</v>
      </c>
      <c r="AD219">
        <f t="shared" si="176"/>
        <v>31.854115842822004</v>
      </c>
      <c r="AE219">
        <f t="shared" si="177"/>
        <v>-1.8513441397750761E-3</v>
      </c>
      <c r="AF219">
        <f t="shared" si="178"/>
        <v>4.0102430177249996E-3</v>
      </c>
      <c r="AG219">
        <f t="shared" si="194"/>
        <v>6452.8176243737498</v>
      </c>
      <c r="AH219">
        <f t="shared" si="195"/>
        <v>-3228.3295642432463</v>
      </c>
      <c r="AJ219">
        <f t="shared" si="179"/>
        <v>21000</v>
      </c>
      <c r="AK219">
        <f t="shared" si="180"/>
        <v>623.67996845227503</v>
      </c>
      <c r="AL219">
        <v>1</v>
      </c>
      <c r="AM219">
        <f t="shared" si="181"/>
        <v>12.234786491366776</v>
      </c>
      <c r="AN219">
        <f t="shared" si="196"/>
        <v>189.99662326620694</v>
      </c>
      <c r="AO219">
        <f t="shared" si="197"/>
        <v>-1700.8881512904163</v>
      </c>
      <c r="AQ219">
        <f t="shared" si="182"/>
        <v>0.29217553906386956</v>
      </c>
      <c r="AR219">
        <f t="shared" si="183"/>
        <v>-54.052474726815873</v>
      </c>
      <c r="AT219">
        <f t="shared" si="209"/>
        <v>-172613.84671320833</v>
      </c>
      <c r="AU219">
        <f t="shared" si="210"/>
        <v>-349734.00048892276</v>
      </c>
      <c r="AV219">
        <f t="shared" si="198"/>
        <v>-2.0292766834701474</v>
      </c>
      <c r="AW219">
        <f t="shared" si="199"/>
        <v>-88082.229827368195</v>
      </c>
      <c r="AX219">
        <f t="shared" si="200"/>
        <v>-23421.891809122604</v>
      </c>
      <c r="AY219">
        <f t="shared" si="208"/>
        <v>-2.8816973981387579</v>
      </c>
      <c r="BA219">
        <f t="shared" si="184"/>
        <v>4.2791179583958918</v>
      </c>
      <c r="BB219">
        <f t="shared" si="201"/>
        <v>12.627085168679999</v>
      </c>
      <c r="BC219">
        <f t="shared" si="202"/>
        <v>0.85242071466861047</v>
      </c>
      <c r="BD219">
        <f t="shared" si="185"/>
        <v>-131.15989062415528</v>
      </c>
      <c r="BF219">
        <f t="shared" si="186"/>
        <v>-4.9835249818938365</v>
      </c>
      <c r="BG219">
        <f t="shared" si="187"/>
        <v>-127.81490713373445</v>
      </c>
      <c r="BH219">
        <f t="shared" si="203"/>
        <v>52.185092866265549</v>
      </c>
      <c r="BI219">
        <f t="shared" si="204"/>
        <v>52.185092866265549</v>
      </c>
      <c r="BJ219">
        <f t="shared" si="188"/>
        <v>0</v>
      </c>
      <c r="BK219">
        <f t="shared" si="205"/>
        <v>0</v>
      </c>
      <c r="BM219">
        <f t="shared" si="206"/>
        <v>-17.610610150573834</v>
      </c>
      <c r="BN219">
        <f t="shared" si="189"/>
        <v>-176.65501650957921</v>
      </c>
      <c r="BQ219" s="66">
        <f t="shared" si="207"/>
        <v>29.529045968965132</v>
      </c>
      <c r="BR219" s="71"/>
      <c r="BS219" s="71"/>
      <c r="BT219" s="71">
        <v>12302.688</v>
      </c>
      <c r="BU219" s="71">
        <v>-3.2360000000000002</v>
      </c>
      <c r="BV219" s="71">
        <v>-205.58</v>
      </c>
      <c r="BW219" s="75"/>
      <c r="BY219" s="71"/>
      <c r="BZ219" s="71"/>
      <c r="CA219" s="71"/>
      <c r="CC219" s="71"/>
    </row>
    <row r="220" spans="1:81" ht="13" x14ac:dyDescent="0.3">
      <c r="A220">
        <f t="shared" si="190"/>
        <v>93000</v>
      </c>
      <c r="B220">
        <f t="shared" si="191"/>
        <v>93</v>
      </c>
      <c r="C220">
        <f t="shared" si="159"/>
        <v>1.0004267199963721</v>
      </c>
      <c r="D220">
        <f t="shared" si="160"/>
        <v>2.9208502528423504E-2</v>
      </c>
      <c r="F220">
        <f t="shared" si="161"/>
        <v>8.6790721083593089E-3</v>
      </c>
      <c r="G220">
        <f t="shared" si="162"/>
        <v>2.9169054917609613E-2</v>
      </c>
      <c r="H220">
        <f t="shared" si="163"/>
        <v>-3.1124235950823906</v>
      </c>
      <c r="J220">
        <f t="shared" si="164"/>
        <v>15</v>
      </c>
      <c r="M220">
        <f t="shared" si="165"/>
        <v>1.1810513982483757E-2</v>
      </c>
      <c r="N220">
        <f t="shared" si="166"/>
        <v>-1.5707963250000001</v>
      </c>
      <c r="O220">
        <f t="shared" si="167"/>
        <v>32.041908617955663</v>
      </c>
      <c r="P220">
        <f t="shared" si="168"/>
        <v>1.5395821310971691</v>
      </c>
      <c r="Q220">
        <f t="shared" si="169"/>
        <v>12.341500900147388</v>
      </c>
      <c r="R220">
        <f t="shared" si="170"/>
        <v>1.4896799784524493</v>
      </c>
      <c r="S220">
        <f t="shared" si="171"/>
        <v>0.99955450057782447</v>
      </c>
      <c r="T220">
        <f t="shared" si="172"/>
        <v>-2.9850712031540712E-2</v>
      </c>
      <c r="U220">
        <f t="shared" si="173"/>
        <v>0.90705623026200854</v>
      </c>
      <c r="V220">
        <f t="shared" si="174"/>
        <v>-0.43455796875079894</v>
      </c>
      <c r="X220">
        <f t="shared" si="192"/>
        <v>-5.1690863443682824</v>
      </c>
      <c r="Y220">
        <f t="shared" si="175"/>
        <v>-119.69993563029374</v>
      </c>
      <c r="Z220">
        <f t="shared" si="193"/>
        <v>60.300064369706263</v>
      </c>
      <c r="AC220">
        <v>1</v>
      </c>
      <c r="AD220">
        <f t="shared" si="176"/>
        <v>32.026300252783201</v>
      </c>
      <c r="AE220">
        <f t="shared" si="177"/>
        <v>-1.8714127643435659E-3</v>
      </c>
      <c r="AF220">
        <f t="shared" si="178"/>
        <v>4.0319200070099998E-3</v>
      </c>
      <c r="AG220">
        <f t="shared" si="194"/>
        <v>6440.5522391225304</v>
      </c>
      <c r="AH220">
        <f t="shared" si="195"/>
        <v>-3237.3984719491641</v>
      </c>
      <c r="AJ220">
        <f t="shared" si="179"/>
        <v>21000</v>
      </c>
      <c r="AK220">
        <f t="shared" si="180"/>
        <v>627.05121152498998</v>
      </c>
      <c r="AL220">
        <v>1</v>
      </c>
      <c r="AM220">
        <f t="shared" si="181"/>
        <v>12.30092047240119</v>
      </c>
      <c r="AN220">
        <f t="shared" si="196"/>
        <v>188.51558375417983</v>
      </c>
      <c r="AO220">
        <f t="shared" si="197"/>
        <v>-1691.8639920434616</v>
      </c>
      <c r="AQ220">
        <f t="shared" si="182"/>
        <v>0.28904240252044977</v>
      </c>
      <c r="AR220">
        <f t="shared" si="183"/>
        <v>-53.76188686880365</v>
      </c>
      <c r="AT220">
        <f t="shared" si="209"/>
        <v>-172187.05770541434</v>
      </c>
      <c r="AU220">
        <f t="shared" si="210"/>
        <v>-347191.98628457374</v>
      </c>
      <c r="AV220">
        <f t="shared" si="198"/>
        <v>-2.0311921989577142</v>
      </c>
      <c r="AW220">
        <f t="shared" si="199"/>
        <v>-87116.306009212087</v>
      </c>
      <c r="AX220">
        <f t="shared" si="200"/>
        <v>-23224.462040476523</v>
      </c>
      <c r="AY220">
        <f t="shared" si="208"/>
        <v>-2.8810604893711762</v>
      </c>
      <c r="BA220">
        <f t="shared" si="184"/>
        <v>4.2984598871702797</v>
      </c>
      <c r="BB220">
        <f t="shared" si="201"/>
        <v>12.666257565945715</v>
      </c>
      <c r="BC220">
        <f t="shared" si="202"/>
        <v>0.84986829041346201</v>
      </c>
      <c r="BD220">
        <f t="shared" si="185"/>
        <v>-131.3061337616692</v>
      </c>
      <c r="BF220">
        <f t="shared" si="186"/>
        <v>-5.0387456680734424</v>
      </c>
      <c r="BG220">
        <f t="shared" si="187"/>
        <v>-127.96134609790703</v>
      </c>
      <c r="BH220">
        <f t="shared" si="203"/>
        <v>52.038653902092975</v>
      </c>
      <c r="BI220">
        <f t="shared" si="204"/>
        <v>52.038653902092975</v>
      </c>
      <c r="BJ220">
        <f t="shared" si="188"/>
        <v>0</v>
      </c>
      <c r="BK220">
        <f t="shared" si="205"/>
        <v>0</v>
      </c>
      <c r="BM220">
        <f t="shared" si="206"/>
        <v>-17.705003234019159</v>
      </c>
      <c r="BN220">
        <f t="shared" si="189"/>
        <v>-176.65521233623781</v>
      </c>
      <c r="BQ220" s="66">
        <f t="shared" si="207"/>
        <v>29.568218366230852</v>
      </c>
      <c r="BR220" s="71"/>
      <c r="BS220" s="71"/>
      <c r="BT220" s="71">
        <v>12589.254000000001</v>
      </c>
      <c r="BU220" s="71">
        <v>-3.6465100000000001</v>
      </c>
      <c r="BV220" s="71">
        <v>-203.78</v>
      </c>
      <c r="BW220" s="75"/>
      <c r="BY220" s="71"/>
      <c r="BZ220" s="71"/>
      <c r="CA220" s="71"/>
      <c r="CC220" s="71"/>
    </row>
    <row r="221" spans="1:81" ht="13" x14ac:dyDescent="0.3">
      <c r="A221">
        <f t="shared" si="190"/>
        <v>93500</v>
      </c>
      <c r="B221">
        <f t="shared" si="191"/>
        <v>93.5</v>
      </c>
      <c r="C221">
        <f t="shared" si="159"/>
        <v>1.0004313197260382</v>
      </c>
      <c r="D221">
        <f t="shared" si="160"/>
        <v>2.9365447467690087E-2</v>
      </c>
      <c r="F221">
        <f t="shared" si="161"/>
        <v>8.5857332997751022E-3</v>
      </c>
      <c r="G221">
        <f t="shared" si="162"/>
        <v>2.9010448942445328E-2</v>
      </c>
      <c r="H221">
        <f t="shared" si="163"/>
        <v>-3.1125822010575548</v>
      </c>
      <c r="J221">
        <f t="shared" si="164"/>
        <v>15</v>
      </c>
      <c r="M221">
        <f t="shared" si="165"/>
        <v>1.1747356153700421E-2</v>
      </c>
      <c r="N221">
        <f t="shared" si="166"/>
        <v>-1.5707963250000001</v>
      </c>
      <c r="O221">
        <f t="shared" si="167"/>
        <v>32.214009601056908</v>
      </c>
      <c r="P221">
        <f t="shared" si="168"/>
        <v>1.5397489443946815</v>
      </c>
      <c r="Q221">
        <f t="shared" si="169"/>
        <v>12.40741858140691</v>
      </c>
      <c r="R221">
        <f t="shared" si="170"/>
        <v>1.49011187055901</v>
      </c>
      <c r="S221">
        <f t="shared" si="171"/>
        <v>0.99954970062809056</v>
      </c>
      <c r="T221">
        <f t="shared" si="172"/>
        <v>-3.0011103641444339E-2</v>
      </c>
      <c r="U221">
        <f t="shared" si="173"/>
        <v>0.90619076623032535</v>
      </c>
      <c r="V221">
        <f t="shared" si="174"/>
        <v>-0.43660912565761761</v>
      </c>
      <c r="X221">
        <f t="shared" si="192"/>
        <v>-5.2250737642666394</v>
      </c>
      <c r="Y221">
        <f t="shared" si="175"/>
        <v>-119.79243990411754</v>
      </c>
      <c r="Z221">
        <f t="shared" si="193"/>
        <v>60.207560095882457</v>
      </c>
      <c r="AC221">
        <v>1</v>
      </c>
      <c r="AD221">
        <f t="shared" si="176"/>
        <v>32.198484662744399</v>
      </c>
      <c r="AE221">
        <f t="shared" si="177"/>
        <v>-1.891589575567411E-3</v>
      </c>
      <c r="AF221">
        <f t="shared" si="178"/>
        <v>4.0535969962950001E-3</v>
      </c>
      <c r="AG221">
        <f t="shared" si="194"/>
        <v>6428.2676488515981</v>
      </c>
      <c r="AH221">
        <f t="shared" si="195"/>
        <v>-3246.4115415402339</v>
      </c>
      <c r="AJ221">
        <f t="shared" si="179"/>
        <v>21000</v>
      </c>
      <c r="AK221">
        <f t="shared" si="180"/>
        <v>630.42245459770504</v>
      </c>
      <c r="AL221">
        <v>1</v>
      </c>
      <c r="AM221">
        <f t="shared" si="181"/>
        <v>12.367054453435605</v>
      </c>
      <c r="AN221">
        <f t="shared" si="196"/>
        <v>187.0580348558853</v>
      </c>
      <c r="AO221">
        <f t="shared" si="197"/>
        <v>-1682.9344484176841</v>
      </c>
      <c r="AQ221">
        <f t="shared" si="182"/>
        <v>0.2859593937660852</v>
      </c>
      <c r="AR221">
        <f t="shared" si="183"/>
        <v>-53.474406634257939</v>
      </c>
      <c r="AT221">
        <f t="shared" si="209"/>
        <v>-171761.70735463887</v>
      </c>
      <c r="AU221">
        <f t="shared" si="210"/>
        <v>-344676.14008486964</v>
      </c>
      <c r="AV221">
        <f t="shared" si="198"/>
        <v>-2.0331052922435786</v>
      </c>
      <c r="AW221">
        <f t="shared" si="199"/>
        <v>-86165.796816251866</v>
      </c>
      <c r="AX221">
        <f t="shared" si="200"/>
        <v>-23030.49461346116</v>
      </c>
      <c r="AY221">
        <f t="shared" si="208"/>
        <v>-2.8804166472772188</v>
      </c>
      <c r="BA221">
        <f t="shared" si="184"/>
        <v>4.3177486004728101</v>
      </c>
      <c r="BB221">
        <f t="shared" si="201"/>
        <v>12.705147041548877</v>
      </c>
      <c r="BC221">
        <f t="shared" si="202"/>
        <v>0.84731135503364019</v>
      </c>
      <c r="BD221">
        <f t="shared" si="185"/>
        <v>-131.45263536758807</v>
      </c>
      <c r="BF221">
        <f t="shared" si="186"/>
        <v>-5.0937343138541973</v>
      </c>
      <c r="BG221">
        <f t="shared" si="187"/>
        <v>-128.10794287417255</v>
      </c>
      <c r="BH221">
        <f t="shared" si="203"/>
        <v>51.892057125827449</v>
      </c>
      <c r="BI221">
        <f t="shared" si="204"/>
        <v>51.892057125827449</v>
      </c>
      <c r="BJ221">
        <f t="shared" si="188"/>
        <v>0</v>
      </c>
      <c r="BK221">
        <f t="shared" si="205"/>
        <v>0</v>
      </c>
      <c r="BM221">
        <f t="shared" si="206"/>
        <v>-17.798881355403076</v>
      </c>
      <c r="BN221">
        <f t="shared" si="189"/>
        <v>-176.65530750658448</v>
      </c>
      <c r="BQ221" s="66">
        <f t="shared" si="207"/>
        <v>29.607107841834015</v>
      </c>
      <c r="BR221" s="71"/>
      <c r="BS221" s="71"/>
      <c r="BT221" s="71">
        <v>12882.495999999999</v>
      </c>
      <c r="BU221" s="71">
        <v>-3.6234700000000002</v>
      </c>
      <c r="BV221" s="71">
        <v>-201.71899999999999</v>
      </c>
      <c r="BW221" s="75"/>
      <c r="BY221" s="71"/>
      <c r="BZ221" s="71"/>
      <c r="CA221" s="71"/>
      <c r="CC221" s="71"/>
    </row>
    <row r="222" spans="1:81" ht="13" x14ac:dyDescent="0.3">
      <c r="A222">
        <f t="shared" si="190"/>
        <v>94000</v>
      </c>
      <c r="B222">
        <f t="shared" si="191"/>
        <v>94</v>
      </c>
      <c r="C222">
        <f t="shared" si="159"/>
        <v>1.0004359440978154</v>
      </c>
      <c r="D222">
        <f t="shared" si="160"/>
        <v>2.9522390959911455E-2</v>
      </c>
      <c r="F222">
        <f t="shared" si="161"/>
        <v>8.4938961551132737E-3</v>
      </c>
      <c r="G222">
        <f t="shared" si="162"/>
        <v>2.8853572212044317E-2</v>
      </c>
      <c r="H222">
        <f t="shared" si="163"/>
        <v>-3.112739077787956</v>
      </c>
      <c r="J222">
        <f t="shared" si="164"/>
        <v>15</v>
      </c>
      <c r="M222">
        <f t="shared" si="165"/>
        <v>1.1684870216712653E-2</v>
      </c>
      <c r="N222">
        <f t="shared" si="166"/>
        <v>-1.5707963250000001</v>
      </c>
      <c r="O222">
        <f t="shared" si="167"/>
        <v>32.386111471039847</v>
      </c>
      <c r="P222">
        <f t="shared" si="168"/>
        <v>1.5399139847836583</v>
      </c>
      <c r="Q222">
        <f t="shared" si="169"/>
        <v>12.473338552570402</v>
      </c>
      <c r="R222">
        <f t="shared" si="170"/>
        <v>1.4905391977574127</v>
      </c>
      <c r="S222">
        <f t="shared" si="171"/>
        <v>0.9995448750110667</v>
      </c>
      <c r="T222">
        <f t="shared" si="172"/>
        <v>-3.0171493706799706E-2</v>
      </c>
      <c r="U222">
        <f t="shared" si="173"/>
        <v>0.90532315416109044</v>
      </c>
      <c r="V222">
        <f t="shared" si="174"/>
        <v>-0.43865636349540066</v>
      </c>
      <c r="X222">
        <f t="shared" si="192"/>
        <v>-5.2808234566402295</v>
      </c>
      <c r="Y222">
        <f t="shared" si="175"/>
        <v>-119.88498367796066</v>
      </c>
      <c r="Z222">
        <f t="shared" si="193"/>
        <v>60.115016322039338</v>
      </c>
      <c r="AC222">
        <v>1</v>
      </c>
      <c r="AD222">
        <f t="shared" si="176"/>
        <v>32.370669072705603</v>
      </c>
      <c r="AE222">
        <f t="shared" si="177"/>
        <v>-1.9118745734466118E-3</v>
      </c>
      <c r="AF222">
        <f t="shared" si="178"/>
        <v>4.0752739855799995E-3</v>
      </c>
      <c r="AG222">
        <f t="shared" si="194"/>
        <v>6415.9643394357436</v>
      </c>
      <c r="AH222">
        <f t="shared" si="195"/>
        <v>-3255.3686283792954</v>
      </c>
      <c r="AJ222">
        <f t="shared" si="179"/>
        <v>21000</v>
      </c>
      <c r="AK222">
        <f t="shared" si="180"/>
        <v>633.79369767041999</v>
      </c>
      <c r="AL222">
        <v>1</v>
      </c>
      <c r="AM222">
        <f t="shared" si="181"/>
        <v>12.43318843447002</v>
      </c>
      <c r="AN222">
        <f t="shared" si="196"/>
        <v>185.62348347596208</v>
      </c>
      <c r="AO222">
        <f t="shared" si="197"/>
        <v>-1674.0980502489485</v>
      </c>
      <c r="AQ222">
        <f t="shared" si="182"/>
        <v>0.28292544914415052</v>
      </c>
      <c r="AR222">
        <f t="shared" si="183"/>
        <v>-53.1899844391003</v>
      </c>
      <c r="AT222">
        <f t="shared" si="209"/>
        <v>-171337.76709460231</v>
      </c>
      <c r="AU222">
        <f t="shared" si="210"/>
        <v>-342186.07000772364</v>
      </c>
      <c r="AV222">
        <f t="shared" si="198"/>
        <v>-2.03501593353002</v>
      </c>
      <c r="AW222">
        <f t="shared" si="199"/>
        <v>-85230.378893969042</v>
      </c>
      <c r="AX222">
        <f t="shared" si="200"/>
        <v>-22839.905989633815</v>
      </c>
      <c r="AY222">
        <f t="shared" si="208"/>
        <v>-2.8797659556008197</v>
      </c>
      <c r="BA222">
        <f t="shared" si="184"/>
        <v>4.3369838982664035</v>
      </c>
      <c r="BB222">
        <f t="shared" si="201"/>
        <v>12.743756195306199</v>
      </c>
      <c r="BC222">
        <f t="shared" si="202"/>
        <v>0.84475002207079974</v>
      </c>
      <c r="BD222">
        <f t="shared" si="185"/>
        <v>-131.59938893645426</v>
      </c>
      <c r="BF222">
        <f t="shared" si="186"/>
        <v>-5.1484939448062059</v>
      </c>
      <c r="BG222">
        <f t="shared" si="187"/>
        <v>-128.25469261786819</v>
      </c>
      <c r="BH222">
        <f t="shared" si="203"/>
        <v>51.745307382131813</v>
      </c>
      <c r="BI222">
        <f t="shared" si="204"/>
        <v>51.745307382131813</v>
      </c>
      <c r="BJ222">
        <f t="shared" si="188"/>
        <v>0</v>
      </c>
      <c r="BK222">
        <f t="shared" si="205"/>
        <v>0</v>
      </c>
      <c r="BM222">
        <f t="shared" si="206"/>
        <v>-17.892250140112406</v>
      </c>
      <c r="BN222">
        <f t="shared" si="189"/>
        <v>-176.65530368141393</v>
      </c>
      <c r="BQ222" s="66">
        <f t="shared" si="207"/>
        <v>29.645716995591336</v>
      </c>
      <c r="BR222" s="71"/>
      <c r="BS222" s="71"/>
      <c r="BT222" s="71">
        <v>13182.566999999999</v>
      </c>
      <c r="BU222" s="71">
        <v>-4.1132799999999996</v>
      </c>
      <c r="BV222" s="71">
        <v>-198.27600000000001</v>
      </c>
      <c r="BW222" s="75"/>
      <c r="BY222" s="71"/>
      <c r="BZ222" s="71"/>
      <c r="CA222" s="71"/>
      <c r="CC222" s="71"/>
    </row>
    <row r="223" spans="1:81" ht="13" x14ac:dyDescent="0.3">
      <c r="A223">
        <f t="shared" si="190"/>
        <v>94500</v>
      </c>
      <c r="B223">
        <f t="shared" si="191"/>
        <v>94.5</v>
      </c>
      <c r="C223">
        <f t="shared" si="159"/>
        <v>1.0004405931113622</v>
      </c>
      <c r="D223">
        <f t="shared" si="160"/>
        <v>2.9679332997376285E-2</v>
      </c>
      <c r="F223">
        <f t="shared" si="161"/>
        <v>8.4035285499430793E-3</v>
      </c>
      <c r="G223">
        <f t="shared" si="162"/>
        <v>2.8698396385665802E-2</v>
      </c>
      <c r="H223">
        <f t="shared" si="163"/>
        <v>-3.1128942536143343</v>
      </c>
      <c r="J223">
        <f t="shared" si="164"/>
        <v>15</v>
      </c>
      <c r="M223">
        <f t="shared" si="165"/>
        <v>1.1623045506571318E-2</v>
      </c>
      <c r="N223">
        <f t="shared" si="166"/>
        <v>-1.5707963250000001</v>
      </c>
      <c r="O223">
        <f t="shared" si="167"/>
        <v>32.558214213840394</v>
      </c>
      <c r="P223">
        <f t="shared" si="168"/>
        <v>1.5400772803698239</v>
      </c>
      <c r="Q223">
        <f t="shared" si="169"/>
        <v>12.539260777523198</v>
      </c>
      <c r="R223">
        <f t="shared" si="170"/>
        <v>1.4909620318871515</v>
      </c>
      <c r="S223">
        <f t="shared" si="171"/>
        <v>0.99954002372786932</v>
      </c>
      <c r="T223">
        <f t="shared" si="172"/>
        <v>-3.0331882219377184E-2</v>
      </c>
      <c r="U223">
        <f t="shared" si="173"/>
        <v>0.90445342200459311</v>
      </c>
      <c r="V223">
        <f t="shared" si="174"/>
        <v>-0.44069967637397717</v>
      </c>
      <c r="X223">
        <f t="shared" si="192"/>
        <v>-5.336338241366728</v>
      </c>
      <c r="Y223">
        <f t="shared" si="175"/>
        <v>-119.97756251167722</v>
      </c>
      <c r="Z223">
        <f t="shared" si="193"/>
        <v>60.02243748832278</v>
      </c>
      <c r="AC223">
        <v>1</v>
      </c>
      <c r="AD223">
        <f t="shared" si="176"/>
        <v>32.542853482666807</v>
      </c>
      <c r="AE223">
        <f t="shared" si="177"/>
        <v>-1.9322677579811686E-3</v>
      </c>
      <c r="AF223">
        <f t="shared" si="178"/>
        <v>4.0969509748649997E-3</v>
      </c>
      <c r="AG223">
        <f t="shared" si="194"/>
        <v>6403.6427941913298</v>
      </c>
      <c r="AH223">
        <f t="shared" si="195"/>
        <v>-3264.2695963148603</v>
      </c>
      <c r="AJ223">
        <f t="shared" si="179"/>
        <v>21000</v>
      </c>
      <c r="AK223">
        <f t="shared" si="180"/>
        <v>637.16494074313505</v>
      </c>
      <c r="AL223">
        <v>1</v>
      </c>
      <c r="AM223">
        <f t="shared" si="181"/>
        <v>12.499322415504436</v>
      </c>
      <c r="AN223">
        <f t="shared" si="196"/>
        <v>184.21144936202705</v>
      </c>
      <c r="AO223">
        <f t="shared" si="197"/>
        <v>-1665.3533574602102</v>
      </c>
      <c r="AQ223">
        <f t="shared" si="182"/>
        <v>0.27993953306085884</v>
      </c>
      <c r="AR223">
        <f t="shared" si="183"/>
        <v>-52.908571748502325</v>
      </c>
      <c r="AT223">
        <f t="shared" si="209"/>
        <v>-170915.20936938503</v>
      </c>
      <c r="AU223">
        <f t="shared" si="210"/>
        <v>-339721.39233482903</v>
      </c>
      <c r="AV223">
        <f t="shared" si="198"/>
        <v>-2.0369240936755455</v>
      </c>
      <c r="AW223">
        <f t="shared" si="199"/>
        <v>-84309.737296829568</v>
      </c>
      <c r="AX223">
        <f t="shared" si="200"/>
        <v>-22652.615120995539</v>
      </c>
      <c r="AY223">
        <f t="shared" si="208"/>
        <v>-2.8791084965973592</v>
      </c>
      <c r="BA223">
        <f t="shared" si="184"/>
        <v>4.3561655825637073</v>
      </c>
      <c r="BB223">
        <f t="shared" si="201"/>
        <v>12.78208758800616</v>
      </c>
      <c r="BC223">
        <f t="shared" si="202"/>
        <v>0.84218440292181374</v>
      </c>
      <c r="BD223">
        <f t="shared" si="185"/>
        <v>-131.74638808569708</v>
      </c>
      <c r="BF223">
        <f t="shared" si="186"/>
        <v>-5.2030275331285303</v>
      </c>
      <c r="BG223">
        <f t="shared" si="187"/>
        <v>-128.40159057066992</v>
      </c>
      <c r="BH223">
        <f t="shared" si="203"/>
        <v>51.598409429330076</v>
      </c>
      <c r="BI223">
        <f t="shared" si="204"/>
        <v>51.598409429330076</v>
      </c>
      <c r="BJ223">
        <f t="shared" si="188"/>
        <v>0</v>
      </c>
      <c r="BK223">
        <f t="shared" si="205"/>
        <v>0</v>
      </c>
      <c r="BM223">
        <f t="shared" si="206"/>
        <v>-17.98511512113469</v>
      </c>
      <c r="BN223">
        <f t="shared" si="189"/>
        <v>-176.65520248497285</v>
      </c>
      <c r="BQ223" s="66">
        <f t="shared" si="207"/>
        <v>29.684048388291295</v>
      </c>
      <c r="BR223" s="71"/>
      <c r="BS223" s="71"/>
      <c r="BT223" s="71">
        <v>13489.629000000001</v>
      </c>
      <c r="BU223" s="71">
        <v>-3.8779599999999999</v>
      </c>
      <c r="BV223" s="71">
        <v>-197.578</v>
      </c>
      <c r="BW223" s="75"/>
      <c r="BY223" s="71"/>
      <c r="BZ223" s="71"/>
      <c r="CA223" s="71"/>
      <c r="CC223" s="71"/>
    </row>
    <row r="224" spans="1:81" ht="13" x14ac:dyDescent="0.3">
      <c r="A224">
        <f t="shared" si="190"/>
        <v>95000</v>
      </c>
      <c r="B224">
        <f t="shared" si="191"/>
        <v>95</v>
      </c>
      <c r="C224">
        <f t="shared" si="159"/>
        <v>1.0004452667663348</v>
      </c>
      <c r="D224">
        <f t="shared" si="160"/>
        <v>2.98362735723737E-2</v>
      </c>
      <c r="F224">
        <f t="shared" si="161"/>
        <v>8.314599216480317E-3</v>
      </c>
      <c r="G224">
        <f t="shared" si="162"/>
        <v>2.8544893742882289E-2</v>
      </c>
      <c r="H224">
        <f t="shared" si="163"/>
        <v>-3.1130477562571177</v>
      </c>
      <c r="J224">
        <f t="shared" si="164"/>
        <v>15</v>
      </c>
      <c r="M224">
        <f t="shared" si="165"/>
        <v>1.1561871582852521E-2</v>
      </c>
      <c r="N224">
        <f t="shared" si="166"/>
        <v>-1.5707963250000001</v>
      </c>
      <c r="O224">
        <f t="shared" si="167"/>
        <v>32.730317815690185</v>
      </c>
      <c r="P224">
        <f t="shared" si="168"/>
        <v>1.5402388586681337</v>
      </c>
      <c r="Q224">
        <f t="shared" si="169"/>
        <v>12.605185220904893</v>
      </c>
      <c r="R224">
        <f t="shared" si="170"/>
        <v>1.4913804432913562</v>
      </c>
      <c r="S224">
        <f t="shared" si="171"/>
        <v>0.99953514677962119</v>
      </c>
      <c r="T224">
        <f t="shared" si="172"/>
        <v>-3.0492269170947627E-2</v>
      </c>
      <c r="U224">
        <f t="shared" si="173"/>
        <v>0.90358159762107948</v>
      </c>
      <c r="V224">
        <f t="shared" si="174"/>
        <v>-0.44273905855683593</v>
      </c>
      <c r="X224">
        <f t="shared" si="192"/>
        <v>-5.3916208868861677</v>
      </c>
      <c r="Y224">
        <f t="shared" si="175"/>
        <v>-120.07017205796772</v>
      </c>
      <c r="Z224">
        <f t="shared" si="193"/>
        <v>59.929827942032276</v>
      </c>
      <c r="AC224">
        <v>1</v>
      </c>
      <c r="AD224">
        <f t="shared" si="176"/>
        <v>32.715037892628004</v>
      </c>
      <c r="AE224">
        <f t="shared" si="177"/>
        <v>-1.9527691291710812E-3</v>
      </c>
      <c r="AF224">
        <f t="shared" si="178"/>
        <v>4.11862796415E-3</v>
      </c>
      <c r="AG224">
        <f t="shared" si="194"/>
        <v>6391.3034938515384</v>
      </c>
      <c r="AH224">
        <f t="shared" si="195"/>
        <v>-3273.1143175100315</v>
      </c>
      <c r="AJ224">
        <f t="shared" si="179"/>
        <v>21000</v>
      </c>
      <c r="AK224">
        <f t="shared" si="180"/>
        <v>640.53618381585011</v>
      </c>
      <c r="AL224">
        <v>1</v>
      </c>
      <c r="AM224">
        <f t="shared" si="181"/>
        <v>12.565456396538851</v>
      </c>
      <c r="AN224">
        <f t="shared" si="196"/>
        <v>182.8214647062149</v>
      </c>
      <c r="AO224">
        <f t="shared" si="197"/>
        <v>-1656.6989593014596</v>
      </c>
      <c r="AQ224">
        <f t="shared" si="182"/>
        <v>0.27700063710146533</v>
      </c>
      <c r="AR224">
        <f t="shared" si="183"/>
        <v>-52.630121049278415</v>
      </c>
      <c r="AT224">
        <f t="shared" si="209"/>
        <v>-170494.00759897355</v>
      </c>
      <c r="AU224">
        <f t="shared" si="210"/>
        <v>-337281.73129533877</v>
      </c>
      <c r="AV224">
        <f t="shared" si="198"/>
        <v>-2.0388297441808998</v>
      </c>
      <c r="AW224">
        <f t="shared" si="199"/>
        <v>-83403.565227735991</v>
      </c>
      <c r="AX224">
        <f t="shared" si="200"/>
        <v>-22468.543362265595</v>
      </c>
      <c r="AY224">
        <f t="shared" si="208"/>
        <v>-2.8784443510750846</v>
      </c>
      <c r="BA224">
        <f t="shared" si="184"/>
        <v>4.3752934574249069</v>
      </c>
      <c r="BB224">
        <f t="shared" si="201"/>
        <v>12.820143742212069</v>
      </c>
      <c r="BC224">
        <f t="shared" si="202"/>
        <v>0.83961460689418477</v>
      </c>
      <c r="BD224">
        <f t="shared" si="185"/>
        <v>-131.89362655245796</v>
      </c>
      <c r="BF224">
        <f t="shared" si="186"/>
        <v>-5.2573379988726918</v>
      </c>
      <c r="BG224">
        <f t="shared" si="187"/>
        <v>-128.54863205842446</v>
      </c>
      <c r="BH224">
        <f t="shared" si="203"/>
        <v>51.45136794157554</v>
      </c>
      <c r="BI224">
        <f t="shared" si="204"/>
        <v>51.45136794157554</v>
      </c>
      <c r="BJ224">
        <f t="shared" si="188"/>
        <v>0</v>
      </c>
      <c r="BK224">
        <f t="shared" si="205"/>
        <v>0</v>
      </c>
      <c r="BM224">
        <f t="shared" si="206"/>
        <v>-18.07748174108476</v>
      </c>
      <c r="BN224">
        <f t="shared" si="189"/>
        <v>-176.65500550596653</v>
      </c>
      <c r="BQ224" s="66">
        <f t="shared" si="207"/>
        <v>29.722104542497206</v>
      </c>
      <c r="BR224" s="71"/>
      <c r="BS224" s="71"/>
      <c r="BT224" s="71">
        <v>13803.843000000001</v>
      </c>
      <c r="BU224" s="71">
        <v>-4.0306600000000001</v>
      </c>
      <c r="BV224" s="71">
        <v>-195.64599999999999</v>
      </c>
      <c r="BW224" s="75"/>
      <c r="BY224" s="71"/>
      <c r="BZ224" s="71"/>
      <c r="CA224" s="71"/>
      <c r="CC224" s="71"/>
    </row>
    <row r="225" spans="1:81" ht="13" x14ac:dyDescent="0.3">
      <c r="A225">
        <f t="shared" si="190"/>
        <v>95500</v>
      </c>
      <c r="B225">
        <f t="shared" si="191"/>
        <v>95.5</v>
      </c>
      <c r="C225">
        <f t="shared" si="159"/>
        <v>1.0004499650623879</v>
      </c>
      <c r="D225">
        <f t="shared" si="160"/>
        <v>2.9993212677193248E-2</v>
      </c>
      <c r="F225">
        <f t="shared" si="161"/>
        <v>8.2270777162522617E-3</v>
      </c>
      <c r="G225">
        <f t="shared" si="162"/>
        <v>2.8393037166589981E-2</v>
      </c>
      <c r="H225">
        <f t="shared" si="163"/>
        <v>-3.1131996128334101</v>
      </c>
      <c r="J225">
        <f t="shared" si="164"/>
        <v>15</v>
      </c>
      <c r="M225">
        <f t="shared" si="165"/>
        <v>1.1501338223779994E-2</v>
      </c>
      <c r="N225">
        <f t="shared" si="166"/>
        <v>-1.5707963250000001</v>
      </c>
      <c r="O225">
        <f t="shared" si="167"/>
        <v>32.902422263108846</v>
      </c>
      <c r="P225">
        <f t="shared" si="168"/>
        <v>1.5403987466182101</v>
      </c>
      <c r="Q225">
        <f t="shared" si="169"/>
        <v>12.671111848089794</v>
      </c>
      <c r="R225">
        <f t="shared" si="170"/>
        <v>1.4917945008554709</v>
      </c>
      <c r="S225">
        <f t="shared" si="171"/>
        <v>0.99953024416745007</v>
      </c>
      <c r="T225">
        <f t="shared" si="172"/>
        <v>-3.0652654553282366E-2</v>
      </c>
      <c r="U225">
        <f t="shared" si="173"/>
        <v>0.90270770877926554</v>
      </c>
      <c r="V225">
        <f t="shared" si="174"/>
        <v>-0.44477450446029887</v>
      </c>
      <c r="X225">
        <f t="shared" si="192"/>
        <v>-5.446674111400239</v>
      </c>
      <c r="Y225">
        <f t="shared" si="175"/>
        <v>-120.16280806020509</v>
      </c>
      <c r="Z225">
        <f t="shared" si="193"/>
        <v>59.837191939794906</v>
      </c>
      <c r="AC225">
        <v>1</v>
      </c>
      <c r="AD225">
        <f t="shared" si="176"/>
        <v>32.887222302589201</v>
      </c>
      <c r="AE225">
        <f t="shared" si="177"/>
        <v>-1.9733786870163497E-3</v>
      </c>
      <c r="AF225">
        <f t="shared" si="178"/>
        <v>4.1403049534350003E-3</v>
      </c>
      <c r="AG225">
        <f t="shared" si="194"/>
        <v>6378.9469165422997</v>
      </c>
      <c r="AH225">
        <f t="shared" si="195"/>
        <v>-3281.9026722753588</v>
      </c>
      <c r="AJ225">
        <f t="shared" si="179"/>
        <v>21000</v>
      </c>
      <c r="AK225">
        <f t="shared" si="180"/>
        <v>643.90742688856506</v>
      </c>
      <c r="AL225">
        <v>1</v>
      </c>
      <c r="AM225">
        <f t="shared" si="181"/>
        <v>12.631590377573264</v>
      </c>
      <c r="AN225">
        <f t="shared" si="196"/>
        <v>181.4530737610348</v>
      </c>
      <c r="AO225">
        <f t="shared" si="197"/>
        <v>-1648.1334736124138</v>
      </c>
      <c r="AQ225">
        <f t="shared" si="182"/>
        <v>0.2741077791787731</v>
      </c>
      <c r="AR225">
        <f t="shared" si="183"/>
        <v>-52.354585823145662</v>
      </c>
      <c r="AT225">
        <f t="shared" si="209"/>
        <v>-170074.13614605868</v>
      </c>
      <c r="AU225">
        <f t="shared" si="210"/>
        <v>-334866.71885638247</v>
      </c>
      <c r="AV225">
        <f t="shared" si="198"/>
        <v>-2.0407328571754744</v>
      </c>
      <c r="AW225">
        <f t="shared" si="199"/>
        <v>-82511.563786829822</v>
      </c>
      <c r="AX225">
        <f t="shared" si="200"/>
        <v>-22287.614386704859</v>
      </c>
      <c r="AY225">
        <f t="shared" si="208"/>
        <v>-2.8777735984351986</v>
      </c>
      <c r="BA225">
        <f t="shared" si="184"/>
        <v>4.3943673289556884</v>
      </c>
      <c r="BB225">
        <f t="shared" si="201"/>
        <v>12.857927143045007</v>
      </c>
      <c r="BC225">
        <f t="shared" si="202"/>
        <v>0.83704074125972427</v>
      </c>
      <c r="BD225">
        <f t="shared" si="185"/>
        <v>-132.04109819051482</v>
      </c>
      <c r="BF225">
        <f t="shared" si="186"/>
        <v>-5.3114282111307602</v>
      </c>
      <c r="BG225">
        <f t="shared" si="187"/>
        <v>-128.69581248904711</v>
      </c>
      <c r="BH225">
        <f t="shared" si="203"/>
        <v>51.304187510952886</v>
      </c>
      <c r="BI225">
        <f t="shared" si="204"/>
        <v>51.304187510952886</v>
      </c>
      <c r="BJ225">
        <f t="shared" si="188"/>
        <v>0</v>
      </c>
      <c r="BK225">
        <f t="shared" si="205"/>
        <v>0</v>
      </c>
      <c r="BM225">
        <f t="shared" si="206"/>
        <v>-18.169355354175764</v>
      </c>
      <c r="BN225">
        <f t="shared" si="189"/>
        <v>-176.6547142985323</v>
      </c>
      <c r="BQ225" s="66">
        <f t="shared" si="207"/>
        <v>29.759887943330142</v>
      </c>
      <c r="BR225" s="71"/>
      <c r="BS225" s="71"/>
      <c r="BT225" s="71">
        <v>14125.375</v>
      </c>
      <c r="BU225" s="71">
        <v>-4.0179099999999996</v>
      </c>
      <c r="BV225" s="71">
        <v>-192.58199999999999</v>
      </c>
      <c r="BW225" s="75"/>
      <c r="BY225" s="71"/>
      <c r="BZ225" s="71"/>
      <c r="CA225" s="71"/>
      <c r="CC225" s="71"/>
    </row>
    <row r="226" spans="1:81" ht="13" x14ac:dyDescent="0.3">
      <c r="A226">
        <f t="shared" si="190"/>
        <v>96000</v>
      </c>
      <c r="B226">
        <f t="shared" si="191"/>
        <v>96</v>
      </c>
      <c r="C226">
        <f t="shared" si="159"/>
        <v>1.0004546879991747</v>
      </c>
      <c r="D226">
        <f t="shared" si="160"/>
        <v>3.0150150304124917E-2</v>
      </c>
      <c r="F226">
        <f t="shared" si="161"/>
        <v>8.1409344137773048E-3</v>
      </c>
      <c r="G226">
        <f t="shared" si="162"/>
        <v>2.824280012657792E-2</v>
      </c>
      <c r="H226">
        <f t="shared" si="163"/>
        <v>-3.1133498498734222</v>
      </c>
      <c r="J226">
        <f t="shared" si="164"/>
        <v>15</v>
      </c>
      <c r="M226">
        <f t="shared" si="165"/>
        <v>1.1441435420531141E-2</v>
      </c>
      <c r="N226">
        <f t="shared" si="166"/>
        <v>-1.5707963250000001</v>
      </c>
      <c r="O226">
        <f t="shared" si="167"/>
        <v>33.074527542896554</v>
      </c>
      <c r="P226">
        <f t="shared" si="168"/>
        <v>1.5405569705992981</v>
      </c>
      <c r="Q226">
        <f t="shared" si="169"/>
        <v>12.737040625167953</v>
      </c>
      <c r="R226">
        <f t="shared" si="170"/>
        <v>1.4922042720447375</v>
      </c>
      <c r="S226">
        <f t="shared" si="171"/>
        <v>0.99952531589249094</v>
      </c>
      <c r="T226">
        <f t="shared" si="172"/>
        <v>-3.0813038358153206E-2</v>
      </c>
      <c r="U226">
        <f t="shared" si="173"/>
        <v>0.90183178315487622</v>
      </c>
      <c r="V226">
        <f t="shared" si="174"/>
        <v>-0.44680600865268577</v>
      </c>
      <c r="X226">
        <f t="shared" si="192"/>
        <v>-5.5015005840371787</v>
      </c>
      <c r="Y226">
        <f t="shared" si="175"/>
        <v>-120.2554663503233</v>
      </c>
      <c r="Z226">
        <f t="shared" si="193"/>
        <v>59.744533649676697</v>
      </c>
      <c r="AC226">
        <v>1</v>
      </c>
      <c r="AD226">
        <f t="shared" si="176"/>
        <v>33.059406712550405</v>
      </c>
      <c r="AE226">
        <f t="shared" si="177"/>
        <v>-1.9940964315169735E-3</v>
      </c>
      <c r="AF226">
        <f t="shared" si="178"/>
        <v>4.1619819427199996E-3</v>
      </c>
      <c r="AG226">
        <f t="shared" si="194"/>
        <v>6366.5735377588762</v>
      </c>
      <c r="AH226">
        <f t="shared" si="195"/>
        <v>-3290.6345489055257</v>
      </c>
      <c r="AJ226">
        <f t="shared" si="179"/>
        <v>21000</v>
      </c>
      <c r="AK226">
        <f t="shared" si="180"/>
        <v>647.27866996128</v>
      </c>
      <c r="AL226">
        <v>1</v>
      </c>
      <c r="AM226">
        <f t="shared" si="181"/>
        <v>12.69772435860768</v>
      </c>
      <c r="AN226">
        <f t="shared" si="196"/>
        <v>180.10583246896087</v>
      </c>
      <c r="AO226">
        <f t="shared" si="197"/>
        <v>-1639.6555461071582</v>
      </c>
      <c r="AQ226">
        <f t="shared" si="182"/>
        <v>0.27126000271260003</v>
      </c>
      <c r="AR226">
        <f t="shared" si="183"/>
        <v>-52.081920520819203</v>
      </c>
      <c r="AT226">
        <f t="shared" si="209"/>
        <v>-169655.57028403689</v>
      </c>
      <c r="AU226">
        <f t="shared" si="210"/>
        <v>-332475.99452017079</v>
      </c>
      <c r="AV226">
        <f t="shared" si="198"/>
        <v>-2.0426334054041089</v>
      </c>
      <c r="AW226">
        <f t="shared" si="199"/>
        <v>-81633.441729262733</v>
      </c>
      <c r="AX226">
        <f t="shared" si="200"/>
        <v>-22109.754105326618</v>
      </c>
      <c r="AY226">
        <f t="shared" si="208"/>
        <v>-2.8770963167106656</v>
      </c>
      <c r="BA226">
        <f t="shared" si="184"/>
        <v>4.4133870053053981</v>
      </c>
      <c r="BB226">
        <f t="shared" si="201"/>
        <v>12.895440238947284</v>
      </c>
      <c r="BC226">
        <f t="shared" si="202"/>
        <v>0.8344629113065567</v>
      </c>
      <c r="BD226">
        <f t="shared" si="185"/>
        <v>-132.18879696730249</v>
      </c>
      <c r="BF226">
        <f t="shared" si="186"/>
        <v>-5.3653009891890733</v>
      </c>
      <c r="BG226">
        <f t="shared" si="187"/>
        <v>-128.8431273504836</v>
      </c>
      <c r="BH226">
        <f t="shared" si="203"/>
        <v>51.156872649516401</v>
      </c>
      <c r="BI226">
        <f t="shared" si="204"/>
        <v>51.156872649516401</v>
      </c>
      <c r="BJ226">
        <f t="shared" si="188"/>
        <v>0</v>
      </c>
      <c r="BK226">
        <f t="shared" si="205"/>
        <v>0</v>
      </c>
      <c r="BM226">
        <f t="shared" si="206"/>
        <v>-18.260741228136361</v>
      </c>
      <c r="BN226">
        <f t="shared" si="189"/>
        <v>-176.6543303831811</v>
      </c>
      <c r="BQ226" s="66">
        <f t="shared" si="207"/>
        <v>29.797401039232419</v>
      </c>
      <c r="BR226" s="71"/>
      <c r="BS226" s="71"/>
      <c r="BT226" s="71">
        <v>14454.397999999999</v>
      </c>
      <c r="BU226" s="71">
        <v>-3.9652699999999999</v>
      </c>
      <c r="BV226" s="71">
        <v>-192.25399999999999</v>
      </c>
      <c r="BW226" s="75"/>
      <c r="BY226" s="71"/>
      <c r="BZ226" s="71"/>
      <c r="CA226" s="71"/>
      <c r="CC226" s="71"/>
    </row>
    <row r="227" spans="1:81" ht="13" x14ac:dyDescent="0.3">
      <c r="A227">
        <f t="shared" si="190"/>
        <v>96500</v>
      </c>
      <c r="B227">
        <f t="shared" si="191"/>
        <v>96.5</v>
      </c>
      <c r="C227">
        <f t="shared" si="159"/>
        <v>1.0004594355763456</v>
      </c>
      <c r="D227">
        <f t="shared" si="160"/>
        <v>3.0307086445459118E-2</v>
      </c>
      <c r="F227">
        <f t="shared" si="161"/>
        <v>8.0561404512163436E-3</v>
      </c>
      <c r="G227">
        <f t="shared" si="162"/>
        <v>2.809415666363425E-2</v>
      </c>
      <c r="H227">
        <f t="shared" si="163"/>
        <v>-3.1134984933363659</v>
      </c>
      <c r="J227">
        <f t="shared" si="164"/>
        <v>15</v>
      </c>
      <c r="M227">
        <f t="shared" si="165"/>
        <v>1.1382153371720098E-2</v>
      </c>
      <c r="N227">
        <f t="shared" si="166"/>
        <v>-1.5707963250000001</v>
      </c>
      <c r="O227">
        <f t="shared" si="167"/>
        <v>33.246633642126717</v>
      </c>
      <c r="P227">
        <f t="shared" si="168"/>
        <v>1.5407135564447554</v>
      </c>
      <c r="Q227">
        <f t="shared" si="169"/>
        <v>12.80297151892681</v>
      </c>
      <c r="R227">
        <f t="shared" si="170"/>
        <v>1.4926098229405327</v>
      </c>
      <c r="S227">
        <f t="shared" si="171"/>
        <v>0.99952036195588356</v>
      </c>
      <c r="T227">
        <f t="shared" si="172"/>
        <v>-3.0973420577332451E-2</v>
      </c>
      <c r="U227">
        <f t="shared" si="173"/>
        <v>0.90095384832921221</v>
      </c>
      <c r="V227">
        <f t="shared" si="174"/>
        <v>-0.44883356585347206</v>
      </c>
      <c r="X227">
        <f t="shared" si="192"/>
        <v>-5.55610292598341</v>
      </c>
      <c r="Y227">
        <f t="shared" si="175"/>
        <v>-120.3481428467679</v>
      </c>
      <c r="Z227">
        <f t="shared" si="193"/>
        <v>59.6518571532321</v>
      </c>
      <c r="AC227">
        <v>1</v>
      </c>
      <c r="AD227">
        <f t="shared" si="176"/>
        <v>33.231591122511603</v>
      </c>
      <c r="AE227">
        <f t="shared" si="177"/>
        <v>-2.0149223626729526E-3</v>
      </c>
      <c r="AF227">
        <f t="shared" si="178"/>
        <v>4.1836589320049999E-3</v>
      </c>
      <c r="AG227">
        <f t="shared" si="194"/>
        <v>6354.1838303431232</v>
      </c>
      <c r="AH227">
        <f t="shared" si="195"/>
        <v>-3299.3098435197062</v>
      </c>
      <c r="AJ227">
        <f t="shared" si="179"/>
        <v>21000</v>
      </c>
      <c r="AK227">
        <f t="shared" si="180"/>
        <v>650.64991303399506</v>
      </c>
      <c r="AL227">
        <v>1</v>
      </c>
      <c r="AM227">
        <f t="shared" si="181"/>
        <v>12.763858339642095</v>
      </c>
      <c r="AN227">
        <f t="shared" si="196"/>
        <v>178.77930810519996</v>
      </c>
      <c r="AO227">
        <f t="shared" si="197"/>
        <v>-1631.263849680005</v>
      </c>
      <c r="AQ227">
        <f t="shared" si="182"/>
        <v>0.26845637583892618</v>
      </c>
      <c r="AR227">
        <f t="shared" si="183"/>
        <v>-51.812080536912752</v>
      </c>
      <c r="AT227">
        <f t="shared" si="209"/>
        <v>-169238.2861661638</v>
      </c>
      <c r="AU227">
        <f t="shared" si="210"/>
        <v>-330109.20512744767</v>
      </c>
      <c r="AV227">
        <f t="shared" si="198"/>
        <v>-2.0445313622142711</v>
      </c>
      <c r="AW227">
        <f t="shared" si="199"/>
        <v>-80768.915231574239</v>
      </c>
      <c r="AX227">
        <f t="shared" si="200"/>
        <v>-21934.890589341412</v>
      </c>
      <c r="AY227">
        <f t="shared" si="208"/>
        <v>-2.8764125826037752</v>
      </c>
      <c r="BA227">
        <f t="shared" si="184"/>
        <v>4.4323522966653153</v>
      </c>
      <c r="BB227">
        <f t="shared" si="201"/>
        <v>12.93268544242691</v>
      </c>
      <c r="BC227">
        <f t="shared" si="202"/>
        <v>0.83188122038950407</v>
      </c>
      <c r="BD227">
        <f t="shared" si="185"/>
        <v>-132.3367169610259</v>
      </c>
      <c r="BF227">
        <f t="shared" si="186"/>
        <v>-5.4189591036490032</v>
      </c>
      <c r="BG227">
        <f t="shared" si="187"/>
        <v>-128.99057220873379</v>
      </c>
      <c r="BH227">
        <f t="shared" si="203"/>
        <v>51.009427791266205</v>
      </c>
      <c r="BI227">
        <f t="shared" si="204"/>
        <v>51.009427791266205</v>
      </c>
      <c r="BJ227">
        <f t="shared" si="188"/>
        <v>0</v>
      </c>
      <c r="BK227">
        <f t="shared" si="205"/>
        <v>0</v>
      </c>
      <c r="BM227">
        <f t="shared" si="206"/>
        <v>-18.351644546075914</v>
      </c>
      <c r="BN227">
        <f t="shared" si="189"/>
        <v>-176.65385524770795</v>
      </c>
      <c r="BQ227" s="66">
        <f t="shared" si="207"/>
        <v>29.834646242712047</v>
      </c>
      <c r="BR227" s="71"/>
      <c r="BS227" s="71"/>
      <c r="BT227" s="71">
        <v>14791.084000000001</v>
      </c>
      <c r="BU227" s="71">
        <v>-3.9583900000000001</v>
      </c>
      <c r="BV227" s="71">
        <v>-191.02600000000001</v>
      </c>
      <c r="BW227" s="75"/>
      <c r="BY227" s="71"/>
      <c r="BZ227" s="71"/>
      <c r="CA227" s="71"/>
      <c r="CC227" s="71"/>
    </row>
    <row r="228" spans="1:81" ht="13" x14ac:dyDescent="0.3">
      <c r="A228">
        <f t="shared" si="190"/>
        <v>97000</v>
      </c>
      <c r="B228">
        <f t="shared" si="191"/>
        <v>97</v>
      </c>
      <c r="C228">
        <f t="shared" si="159"/>
        <v>1.0004642077935504</v>
      </c>
      <c r="D228">
        <f t="shared" si="160"/>
        <v>3.0464021093486723E-2</v>
      </c>
      <c r="F228">
        <f t="shared" si="161"/>
        <v>7.9726677239550479E-3</v>
      </c>
      <c r="G228">
        <f t="shared" si="162"/>
        <v>2.7947081374169239E-2</v>
      </c>
      <c r="H228">
        <f t="shared" si="163"/>
        <v>-3.1136455686258309</v>
      </c>
      <c r="J228">
        <f t="shared" si="164"/>
        <v>15</v>
      </c>
      <c r="M228">
        <f t="shared" si="165"/>
        <v>1.1323482478051438E-2</v>
      </c>
      <c r="N228">
        <f t="shared" si="166"/>
        <v>-1.5707963250000001</v>
      </c>
      <c r="O228">
        <f t="shared" si="167"/>
        <v>33.418740548138977</v>
      </c>
      <c r="P228">
        <f t="shared" si="168"/>
        <v>1.5408685294560962</v>
      </c>
      <c r="Q228">
        <f t="shared" si="169"/>
        <v>12.868904496833375</v>
      </c>
      <c r="R228">
        <f t="shared" si="170"/>
        <v>1.4930112182755981</v>
      </c>
      <c r="S228">
        <f t="shared" si="171"/>
        <v>0.99951538235877435</v>
      </c>
      <c r="T228">
        <f t="shared" si="172"/>
        <v>-3.1133801202592896E-2</v>
      </c>
      <c r="U228">
        <f t="shared" si="173"/>
        <v>0.90007393178774497</v>
      </c>
      <c r="V228">
        <f t="shared" si="174"/>
        <v>-0.45085717093243954</v>
      </c>
      <c r="X228">
        <f t="shared" si="192"/>
        <v>-5.6104837115830613</v>
      </c>
      <c r="Y228">
        <f t="shared" si="175"/>
        <v>-120.44083355250488</v>
      </c>
      <c r="Z228">
        <f t="shared" si="193"/>
        <v>59.559166447495116</v>
      </c>
      <c r="AC228">
        <v>1</v>
      </c>
      <c r="AD228">
        <f t="shared" si="176"/>
        <v>33.4037755324728</v>
      </c>
      <c r="AE228">
        <f t="shared" si="177"/>
        <v>-2.0358564804842882E-3</v>
      </c>
      <c r="AF228">
        <f t="shared" si="178"/>
        <v>4.2053359212900002E-3</v>
      </c>
      <c r="AG228">
        <f t="shared" si="194"/>
        <v>6341.7782644614153</v>
      </c>
      <c r="AH228">
        <f t="shared" si="195"/>
        <v>-3307.9284599055168</v>
      </c>
      <c r="AJ228">
        <f t="shared" si="179"/>
        <v>21000</v>
      </c>
      <c r="AK228">
        <f t="shared" si="180"/>
        <v>654.02115610671001</v>
      </c>
      <c r="AL228">
        <v>1</v>
      </c>
      <c r="AM228">
        <f t="shared" si="181"/>
        <v>12.829992320676512</v>
      </c>
      <c r="AN228">
        <f t="shared" si="196"/>
        <v>177.47307893310378</v>
      </c>
      <c r="AO228">
        <f t="shared" si="197"/>
        <v>-1622.9570837318279</v>
      </c>
      <c r="AQ228">
        <f t="shared" si="182"/>
        <v>0.26569599064750116</v>
      </c>
      <c r="AR228">
        <f t="shared" si="183"/>
        <v>-51.545022185615217</v>
      </c>
      <c r="AT228">
        <f t="shared" si="209"/>
        <v>-168822.26079581497</v>
      </c>
      <c r="AU228">
        <f t="shared" si="210"/>
        <v>-327766.00466706173</v>
      </c>
      <c r="AV228">
        <f t="shared" si="198"/>
        <v>-2.046426701543596</v>
      </c>
      <c r="AW228">
        <f t="shared" si="199"/>
        <v>-79917.707666328031</v>
      </c>
      <c r="AX228">
        <f t="shared" si="200"/>
        <v>-21762.953995690168</v>
      </c>
      <c r="AY228">
        <f t="shared" si="208"/>
        <v>-2.8757224715225149</v>
      </c>
      <c r="BA228">
        <f t="shared" si="184"/>
        <v>4.4512630152671182</v>
      </c>
      <c r="BB228">
        <f t="shared" si="201"/>
        <v>12.969665130783753</v>
      </c>
      <c r="BC228">
        <f t="shared" si="202"/>
        <v>0.82929576997891896</v>
      </c>
      <c r="BD228">
        <f t="shared" si="185"/>
        <v>-132.48485235786205</v>
      </c>
      <c r="BF228">
        <f t="shared" si="186"/>
        <v>-5.4724052775156329</v>
      </c>
      <c r="BG228">
        <f t="shared" si="187"/>
        <v>-129.138142705935</v>
      </c>
      <c r="BH228">
        <f t="shared" si="203"/>
        <v>50.861857294065004</v>
      </c>
      <c r="BI228">
        <f t="shared" si="204"/>
        <v>50.861857294065004</v>
      </c>
      <c r="BJ228">
        <f t="shared" si="188"/>
        <v>0</v>
      </c>
      <c r="BK228">
        <f t="shared" si="205"/>
        <v>0</v>
      </c>
      <c r="BM228">
        <f t="shared" si="206"/>
        <v>-18.442070408299386</v>
      </c>
      <c r="BN228">
        <f t="shared" si="189"/>
        <v>-176.65329034807294</v>
      </c>
      <c r="BQ228" s="66">
        <f t="shared" si="207"/>
        <v>29.871625931068891</v>
      </c>
      <c r="BR228" s="71"/>
      <c r="BS228" s="71"/>
      <c r="BT228" s="71">
        <v>15135.611999999999</v>
      </c>
      <c r="BU228" s="71">
        <v>-3.8792200000000001</v>
      </c>
      <c r="BV228" s="71">
        <v>-189.453</v>
      </c>
      <c r="BW228" s="75"/>
      <c r="BY228" s="71"/>
      <c r="BZ228" s="71"/>
      <c r="CA228" s="71"/>
      <c r="CC228" s="71"/>
    </row>
    <row r="229" spans="1:81" ht="13" x14ac:dyDescent="0.3">
      <c r="A229">
        <f t="shared" si="190"/>
        <v>97500</v>
      </c>
      <c r="B229">
        <f t="shared" si="191"/>
        <v>97.5</v>
      </c>
      <c r="C229">
        <f t="shared" si="159"/>
        <v>1.0004690046504361</v>
      </c>
      <c r="D229">
        <f t="shared" si="160"/>
        <v>3.0620954240499015E-2</v>
      </c>
      <c r="F229">
        <f t="shared" si="161"/>
        <v>7.8904888570780762E-3</v>
      </c>
      <c r="G229">
        <f t="shared" si="162"/>
        <v>2.7801549395335478E-2</v>
      </c>
      <c r="H229">
        <f t="shared" si="163"/>
        <v>-3.1137911006046646</v>
      </c>
      <c r="J229">
        <f t="shared" si="164"/>
        <v>15</v>
      </c>
      <c r="M229">
        <f t="shared" si="165"/>
        <v>1.1265413337138354E-2</v>
      </c>
      <c r="N229">
        <f t="shared" si="166"/>
        <v>-1.5707963250000001</v>
      </c>
      <c r="O229">
        <f t="shared" si="167"/>
        <v>33.59084824853241</v>
      </c>
      <c r="P229">
        <f t="shared" si="168"/>
        <v>1.5410219144166049</v>
      </c>
      <c r="Q229">
        <f t="shared" si="169"/>
        <v>12.93483952701696</v>
      </c>
      <c r="R229">
        <f t="shared" si="170"/>
        <v>1.4934085214681998</v>
      </c>
      <c r="S229">
        <f t="shared" si="171"/>
        <v>0.99951037710231505</v>
      </c>
      <c r="T229">
        <f t="shared" si="172"/>
        <v>-3.1294180225707811E-2</v>
      </c>
      <c r="U229">
        <f t="shared" si="173"/>
        <v>0.89919206091873705</v>
      </c>
      <c r="V229">
        <f t="shared" si="174"/>
        <v>-0.45287681890881987</v>
      </c>
      <c r="X229">
        <f t="shared" si="192"/>
        <v>-5.6646454694064605</v>
      </c>
      <c r="Y229">
        <f t="shared" si="175"/>
        <v>-120.53353455308726</v>
      </c>
      <c r="Z229">
        <f t="shared" si="193"/>
        <v>59.466465446912736</v>
      </c>
      <c r="AC229">
        <v>1</v>
      </c>
      <c r="AD229">
        <f t="shared" si="176"/>
        <v>33.575959942434004</v>
      </c>
      <c r="AE229">
        <f t="shared" si="177"/>
        <v>-2.0568987849509794E-3</v>
      </c>
      <c r="AF229">
        <f t="shared" si="178"/>
        <v>4.2270129105749996E-3</v>
      </c>
      <c r="AG229">
        <f t="shared" si="194"/>
        <v>6329.3573075832437</v>
      </c>
      <c r="AH229">
        <f t="shared" si="195"/>
        <v>-3316.4903093663834</v>
      </c>
      <c r="AJ229">
        <f t="shared" si="179"/>
        <v>21000</v>
      </c>
      <c r="AK229">
        <f t="shared" si="180"/>
        <v>657.39239917942507</v>
      </c>
      <c r="AL229">
        <v>1</v>
      </c>
      <c r="AM229">
        <f t="shared" si="181"/>
        <v>12.896126301710924</v>
      </c>
      <c r="AN229">
        <f t="shared" si="196"/>
        <v>176.18673387171847</v>
      </c>
      <c r="AO229">
        <f t="shared" si="197"/>
        <v>-1614.7339735161866</v>
      </c>
      <c r="AQ229">
        <f t="shared" si="182"/>
        <v>0.26297796244674698</v>
      </c>
      <c r="AR229">
        <f t="shared" si="183"/>
        <v>-51.280702677115656</v>
      </c>
      <c r="AT229">
        <f t="shared" si="209"/>
        <v>-168407.47199780718</v>
      </c>
      <c r="AU229">
        <f t="shared" si="210"/>
        <v>-325446.05409143714</v>
      </c>
      <c r="AV229">
        <f t="shared" si="198"/>
        <v>-2.0483193979077736</v>
      </c>
      <c r="AW229">
        <f t="shared" si="199"/>
        <v>-79079.549384676357</v>
      </c>
      <c r="AX229">
        <f t="shared" si="200"/>
        <v>-21593.87649552714</v>
      </c>
      <c r="AY229">
        <f t="shared" si="208"/>
        <v>-2.8750260576157882</v>
      </c>
      <c r="BA229">
        <f t="shared" si="184"/>
        <v>4.4701189753814647</v>
      </c>
      <c r="BB229">
        <f t="shared" si="201"/>
        <v>13.006381646817813</v>
      </c>
      <c r="BC229">
        <f t="shared" si="202"/>
        <v>0.8267066597080146</v>
      </c>
      <c r="BD229">
        <f t="shared" si="185"/>
        <v>-132.63319744924834</v>
      </c>
      <c r="BF229">
        <f t="shared" si="186"/>
        <v>-5.5256421872556665</v>
      </c>
      <c r="BG229">
        <f t="shared" si="187"/>
        <v>-129.28583455850239</v>
      </c>
      <c r="BH229">
        <f t="shared" si="203"/>
        <v>50.714165441497613</v>
      </c>
      <c r="BI229">
        <f t="shared" si="204"/>
        <v>50.714165441497613</v>
      </c>
      <c r="BJ229">
        <f t="shared" si="188"/>
        <v>0</v>
      </c>
      <c r="BK229">
        <f t="shared" si="205"/>
        <v>0</v>
      </c>
      <c r="BM229">
        <f t="shared" si="206"/>
        <v>-18.532023834073478</v>
      </c>
      <c r="BN229">
        <f t="shared" si="189"/>
        <v>-176.65263710925404</v>
      </c>
      <c r="BQ229" s="66">
        <f t="shared" si="207"/>
        <v>29.908342447102946</v>
      </c>
      <c r="BR229" s="71"/>
      <c r="BS229" s="71"/>
      <c r="BT229" s="71">
        <v>15488.165999999999</v>
      </c>
      <c r="BU229" s="71">
        <v>-3.9822899999999999</v>
      </c>
      <c r="BV229" s="71">
        <v>-188.48099999999999</v>
      </c>
      <c r="BW229" s="75"/>
      <c r="BY229" s="71"/>
      <c r="BZ229" s="71"/>
      <c r="CA229" s="71"/>
      <c r="CC229" s="71"/>
    </row>
    <row r="230" spans="1:81" ht="13" x14ac:dyDescent="0.3">
      <c r="A230">
        <f t="shared" si="190"/>
        <v>98000</v>
      </c>
      <c r="B230">
        <f t="shared" si="191"/>
        <v>98</v>
      </c>
      <c r="C230">
        <f t="shared" si="159"/>
        <v>1.0004738261466486</v>
      </c>
      <c r="D230">
        <f t="shared" si="160"/>
        <v>3.0777885878787756E-2</v>
      </c>
      <c r="F230">
        <f t="shared" si="161"/>
        <v>7.8095771826980735E-3</v>
      </c>
      <c r="G230">
        <f t="shared" si="162"/>
        <v>2.7657536390626396E-2</v>
      </c>
      <c r="H230">
        <f t="shared" si="163"/>
        <v>-3.113935113609374</v>
      </c>
      <c r="J230">
        <f t="shared" si="164"/>
        <v>15</v>
      </c>
      <c r="M230">
        <f t="shared" si="165"/>
        <v>1.1207936738479484E-2</v>
      </c>
      <c r="N230">
        <f t="shared" si="166"/>
        <v>-1.5707963250000001</v>
      </c>
      <c r="O230">
        <f t="shared" si="167"/>
        <v>33.762956731158837</v>
      </c>
      <c r="P230">
        <f t="shared" si="168"/>
        <v>1.5411737356045307</v>
      </c>
      <c r="Q230">
        <f t="shared" si="169"/>
        <v>13.000776578252445</v>
      </c>
      <c r="R230">
        <f t="shared" si="170"/>
        <v>1.493801794655258</v>
      </c>
      <c r="S230">
        <f t="shared" si="171"/>
        <v>0.99950534618766373</v>
      </c>
      <c r="T230">
        <f t="shared" si="172"/>
        <v>-3.1454557638450995E-2</v>
      </c>
      <c r="U230">
        <f t="shared" si="173"/>
        <v>0.89830826301188949</v>
      </c>
      <c r="V230">
        <f t="shared" si="174"/>
        <v>-0.45489250495043188</v>
      </c>
      <c r="X230">
        <f t="shared" si="192"/>
        <v>-5.7185906832887046</v>
      </c>
      <c r="Y230">
        <f t="shared" si="175"/>
        <v>-120.6262420147763</v>
      </c>
      <c r="Z230">
        <f t="shared" si="193"/>
        <v>59.373757985223705</v>
      </c>
      <c r="AC230">
        <v>1</v>
      </c>
      <c r="AD230">
        <f t="shared" si="176"/>
        <v>33.748144352395208</v>
      </c>
      <c r="AE230">
        <f t="shared" si="177"/>
        <v>-2.0780492760730258E-3</v>
      </c>
      <c r="AF230">
        <f t="shared" si="178"/>
        <v>4.2486898998599998E-3</v>
      </c>
      <c r="AG230">
        <f t="shared" si="194"/>
        <v>6316.9214244604427</v>
      </c>
      <c r="AH230">
        <f t="shared" si="195"/>
        <v>-3324.9953105722566</v>
      </c>
      <c r="AJ230">
        <f t="shared" si="179"/>
        <v>21000</v>
      </c>
      <c r="AK230">
        <f t="shared" si="180"/>
        <v>660.76364225214002</v>
      </c>
      <c r="AL230">
        <v>1</v>
      </c>
      <c r="AM230">
        <f t="shared" si="181"/>
        <v>12.962260282745341</v>
      </c>
      <c r="AN230">
        <f t="shared" si="196"/>
        <v>174.91987217498547</v>
      </c>
      <c r="AO230">
        <f t="shared" si="197"/>
        <v>-1606.593269504566</v>
      </c>
      <c r="AQ230">
        <f t="shared" si="182"/>
        <v>0.26030142905484549</v>
      </c>
      <c r="AR230">
        <f t="shared" si="183"/>
        <v>-51.019080094749718</v>
      </c>
      <c r="AT230">
        <f t="shared" si="209"/>
        <v>-167993.89839073893</v>
      </c>
      <c r="AU230">
        <f t="shared" si="210"/>
        <v>-323149.02113773039</v>
      </c>
      <c r="AV230">
        <f t="shared" si="198"/>
        <v>-2.0502094263887791</v>
      </c>
      <c r="AW230">
        <f t="shared" si="199"/>
        <v>-78254.177506535663</v>
      </c>
      <c r="AX230">
        <f t="shared" si="200"/>
        <v>-21427.592205521101</v>
      </c>
      <c r="AY230">
        <f t="shared" si="208"/>
        <v>-2.874323413807522</v>
      </c>
      <c r="BA230">
        <f t="shared" si="184"/>
        <v>4.4889199933167045</v>
      </c>
      <c r="BB230">
        <f t="shared" si="201"/>
        <v>13.042837299520185</v>
      </c>
      <c r="BC230">
        <f t="shared" si="202"/>
        <v>0.82411398741874287</v>
      </c>
      <c r="BD230">
        <f t="shared" si="185"/>
        <v>-132.78174662925389</v>
      </c>
      <c r="BF230">
        <f t="shared" si="186"/>
        <v>-5.5786724638255061</v>
      </c>
      <c r="BG230">
        <f t="shared" si="187"/>
        <v>-129.43364355532592</v>
      </c>
      <c r="BH230">
        <f t="shared" si="203"/>
        <v>50.566356444674085</v>
      </c>
      <c r="BI230">
        <f t="shared" si="204"/>
        <v>50.566356444674085</v>
      </c>
      <c r="BJ230">
        <f t="shared" si="188"/>
        <v>0</v>
      </c>
      <c r="BK230">
        <f t="shared" si="205"/>
        <v>0</v>
      </c>
      <c r="BM230">
        <f t="shared" si="206"/>
        <v>-18.621509763345692</v>
      </c>
      <c r="BN230">
        <f t="shared" si="189"/>
        <v>-176.65189692607203</v>
      </c>
      <c r="BQ230" s="66">
        <f t="shared" si="207"/>
        <v>29.944798099805322</v>
      </c>
      <c r="BR230" s="71"/>
      <c r="BS230" s="71"/>
      <c r="BT230" s="71">
        <v>15848.932000000001</v>
      </c>
      <c r="BU230" s="71">
        <v>-3.9450400000000001</v>
      </c>
      <c r="BV230" s="71">
        <v>-186.14400000000001</v>
      </c>
      <c r="BW230" s="75"/>
      <c r="BY230" s="71"/>
      <c r="BZ230" s="71"/>
      <c r="CA230" s="71"/>
      <c r="CC230" s="71"/>
    </row>
    <row r="231" spans="1:81" ht="13" x14ac:dyDescent="0.3">
      <c r="A231">
        <f t="shared" si="190"/>
        <v>98500</v>
      </c>
      <c r="B231">
        <f t="shared" si="191"/>
        <v>98.5</v>
      </c>
      <c r="C231">
        <f t="shared" si="159"/>
        <v>1.0004786722818315</v>
      </c>
      <c r="D231">
        <f t="shared" si="160"/>
        <v>3.0934816000645123E-2</v>
      </c>
      <c r="F231">
        <f t="shared" si="161"/>
        <v>7.7299067181040865E-3</v>
      </c>
      <c r="G231">
        <f t="shared" si="162"/>
        <v>2.751501853593526E-2</v>
      </c>
      <c r="H231">
        <f t="shared" si="163"/>
        <v>-3.114077631464065</v>
      </c>
      <c r="J231">
        <f t="shared" si="164"/>
        <v>15</v>
      </c>
      <c r="M231">
        <f t="shared" si="165"/>
        <v>1.1151043658588725E-2</v>
      </c>
      <c r="N231">
        <f t="shared" si="166"/>
        <v>-1.5707963250000001</v>
      </c>
      <c r="O231">
        <f t="shared" si="167"/>
        <v>33.935065984116534</v>
      </c>
      <c r="P231">
        <f t="shared" si="168"/>
        <v>1.5413240168058853</v>
      </c>
      <c r="Q231">
        <f t="shared" si="169"/>
        <v>13.066715619944031</v>
      </c>
      <c r="R231">
        <f t="shared" si="170"/>
        <v>1.4941910987244826</v>
      </c>
      <c r="S231">
        <f t="shared" si="171"/>
        <v>0.99950028961598425</v>
      </c>
      <c r="T231">
        <f t="shared" si="172"/>
        <v>-3.1614933432596692E-2</v>
      </c>
      <c r="U231">
        <f t="shared" si="173"/>
        <v>0.89742256525701813</v>
      </c>
      <c r="V231">
        <f t="shared" si="174"/>
        <v>-0.45690422437281158</v>
      </c>
      <c r="X231">
        <f t="shared" si="192"/>
        <v>-5.7723217933392039</v>
      </c>
      <c r="Y231">
        <f t="shared" si="175"/>
        <v>-120.71895218271627</v>
      </c>
      <c r="Z231">
        <f t="shared" si="193"/>
        <v>59.281047817283735</v>
      </c>
      <c r="AC231">
        <v>1</v>
      </c>
      <c r="AD231">
        <f t="shared" si="176"/>
        <v>33.920328762356405</v>
      </c>
      <c r="AE231">
        <f t="shared" si="177"/>
        <v>-2.0993079538504287E-3</v>
      </c>
      <c r="AF231">
        <f t="shared" si="178"/>
        <v>4.2703668891450001E-3</v>
      </c>
      <c r="AG231">
        <f t="shared" si="194"/>
        <v>6304.4710771070868</v>
      </c>
      <c r="AH231">
        <f t="shared" si="195"/>
        <v>-3333.4433894135454</v>
      </c>
      <c r="AJ231">
        <f t="shared" si="179"/>
        <v>21000</v>
      </c>
      <c r="AK231">
        <f t="shared" si="180"/>
        <v>664.13488532485508</v>
      </c>
      <c r="AL231">
        <v>1</v>
      </c>
      <c r="AM231">
        <f t="shared" si="181"/>
        <v>13.028394263779756</v>
      </c>
      <c r="AN231">
        <f t="shared" si="196"/>
        <v>173.67210312213194</v>
      </c>
      <c r="AO231">
        <f t="shared" si="197"/>
        <v>-1598.5337467700949</v>
      </c>
      <c r="AQ231">
        <f t="shared" si="182"/>
        <v>0.25766555011594949</v>
      </c>
      <c r="AR231">
        <f t="shared" si="183"/>
        <v>-50.760113372842049</v>
      </c>
      <c r="AT231">
        <f t="shared" si="209"/>
        <v>-167581.51936030955</v>
      </c>
      <c r="AU231">
        <f t="shared" si="210"/>
        <v>-320874.58015447296</v>
      </c>
      <c r="AV231">
        <f t="shared" si="198"/>
        <v>-2.052096762623421</v>
      </c>
      <c r="AW231">
        <f t="shared" si="199"/>
        <v>-77441.335718071627</v>
      </c>
      <c r="AX231">
        <f t="shared" si="200"/>
        <v>-21264.037121849869</v>
      </c>
      <c r="AY231">
        <f t="shared" si="208"/>
        <v>-2.8736146118296997</v>
      </c>
      <c r="BA231">
        <f t="shared" si="184"/>
        <v>4.507665887417704</v>
      </c>
      <c r="BB231">
        <f t="shared" si="201"/>
        <v>13.079034364747173</v>
      </c>
      <c r="BC231">
        <f t="shared" si="202"/>
        <v>0.82151784920627868</v>
      </c>
      <c r="BD231">
        <f t="shared" si="185"/>
        <v>-132.93049439203068</v>
      </c>
      <c r="BF231">
        <f t="shared" si="186"/>
        <v>-5.6314986936705838</v>
      </c>
      <c r="BG231">
        <f t="shared" si="187"/>
        <v>-129.58156555601994</v>
      </c>
      <c r="BH231">
        <f t="shared" si="203"/>
        <v>50.418434443980061</v>
      </c>
      <c r="BI231">
        <f t="shared" si="204"/>
        <v>50.418434443980061</v>
      </c>
      <c r="BJ231">
        <f t="shared" si="188"/>
        <v>0</v>
      </c>
      <c r="BK231">
        <f t="shared" si="205"/>
        <v>0</v>
      </c>
      <c r="BM231">
        <f t="shared" si="206"/>
        <v>-18.710533058417759</v>
      </c>
      <c r="BN231">
        <f t="shared" si="189"/>
        <v>-176.65107116398926</v>
      </c>
      <c r="BQ231" s="66">
        <f t="shared" si="207"/>
        <v>29.980995165032311</v>
      </c>
      <c r="BR231" s="71"/>
      <c r="BS231" s="71"/>
      <c r="BT231" s="71">
        <v>16218.101000000001</v>
      </c>
      <c r="BU231" s="71">
        <v>-3.9639700000000002</v>
      </c>
      <c r="BV231" s="71">
        <v>-185.626</v>
      </c>
      <c r="BW231" s="75"/>
      <c r="BY231" s="71"/>
      <c r="BZ231" s="71"/>
      <c r="CA231" s="71"/>
      <c r="CC231" s="71"/>
    </row>
    <row r="232" spans="1:81" ht="13" x14ac:dyDescent="0.3">
      <c r="A232">
        <f t="shared" si="190"/>
        <v>99000</v>
      </c>
      <c r="B232">
        <f t="shared" si="191"/>
        <v>99</v>
      </c>
      <c r="C232">
        <f t="shared" si="159"/>
        <v>1.0004835430556267</v>
      </c>
      <c r="D232">
        <f t="shared" si="160"/>
        <v>3.1091744598363748E-2</v>
      </c>
      <c r="F232">
        <f t="shared" si="161"/>
        <v>7.6514521446956361E-3</v>
      </c>
      <c r="G232">
        <f t="shared" si="162"/>
        <v>2.7373972506057463E-2</v>
      </c>
      <c r="H232">
        <f t="shared" si="163"/>
        <v>-3.1142186774939429</v>
      </c>
      <c r="J232">
        <f t="shared" si="164"/>
        <v>15</v>
      </c>
      <c r="M232">
        <f t="shared" si="165"/>
        <v>1.1094725256272619E-2</v>
      </c>
      <c r="N232">
        <f t="shared" si="166"/>
        <v>-1.5707963250000001</v>
      </c>
      <c r="O232">
        <f t="shared" si="167"/>
        <v>34.107175995743901</v>
      </c>
      <c r="P232">
        <f t="shared" si="168"/>
        <v>1.5414727813268496</v>
      </c>
      <c r="Q232">
        <f t="shared" si="169"/>
        <v>13.132656622109485</v>
      </c>
      <c r="R232">
        <f t="shared" si="170"/>
        <v>1.4945764933455463</v>
      </c>
      <c r="S232">
        <f t="shared" si="171"/>
        <v>0.99949520738844655</v>
      </c>
      <c r="T232">
        <f t="shared" si="172"/>
        <v>-3.1775307599919686E-2</v>
      </c>
      <c r="U232">
        <f t="shared" si="173"/>
        <v>0.89653499474275378</v>
      </c>
      <c r="V232">
        <f t="shared" si="174"/>
        <v>-0.45891197263833677</v>
      </c>
      <c r="X232">
        <f t="shared" si="192"/>
        <v>-5.8258411969233306</v>
      </c>
      <c r="Y232">
        <f t="shared" si="175"/>
        <v>-120.81166137916037</v>
      </c>
      <c r="Z232">
        <f t="shared" si="193"/>
        <v>59.18833862083963</v>
      </c>
      <c r="AC232">
        <v>1</v>
      </c>
      <c r="AD232">
        <f t="shared" si="176"/>
        <v>34.092513172317602</v>
      </c>
      <c r="AE232">
        <f t="shared" si="177"/>
        <v>-2.1206748182831872E-3</v>
      </c>
      <c r="AF232">
        <f t="shared" si="178"/>
        <v>4.2920438784300003E-3</v>
      </c>
      <c r="AG232">
        <f t="shared" si="194"/>
        <v>6292.0067247800407</v>
      </c>
      <c r="AH232">
        <f t="shared" si="195"/>
        <v>-3341.8344788581667</v>
      </c>
      <c r="AJ232">
        <f t="shared" si="179"/>
        <v>21000</v>
      </c>
      <c r="AK232">
        <f t="shared" si="180"/>
        <v>667.50612839757002</v>
      </c>
      <c r="AL232">
        <v>1</v>
      </c>
      <c r="AM232">
        <f t="shared" si="181"/>
        <v>13.094528244814171</v>
      </c>
      <c r="AN232">
        <f t="shared" si="196"/>
        <v>172.44304571880585</v>
      </c>
      <c r="AO232">
        <f t="shared" si="197"/>
        <v>-1590.5542043891146</v>
      </c>
      <c r="AQ232">
        <f t="shared" si="182"/>
        <v>0.25506950644050502</v>
      </c>
      <c r="AR232">
        <f t="shared" si="183"/>
        <v>-50.503762275219998</v>
      </c>
      <c r="AT232">
        <f t="shared" si="209"/>
        <v>-167170.31503357657</v>
      </c>
      <c r="AU232">
        <f t="shared" si="210"/>
        <v>-318622.41193350498</v>
      </c>
      <c r="AV232">
        <f t="shared" si="198"/>
        <v>-2.053981382792208</v>
      </c>
      <c r="AW232">
        <f t="shared" si="199"/>
        <v>-76640.774076204121</v>
      </c>
      <c r="AX232">
        <f t="shared" si="200"/>
        <v>-21103.149056769078</v>
      </c>
      <c r="AY232">
        <f t="shared" si="208"/>
        <v>-2.8728997222543606</v>
      </c>
      <c r="BA232">
        <f t="shared" si="184"/>
        <v>4.5263564780647867</v>
      </c>
      <c r="BB232">
        <f t="shared" si="201"/>
        <v>13.114975085878076</v>
      </c>
      <c r="BC232">
        <f t="shared" si="202"/>
        <v>0.81891833946215264</v>
      </c>
      <c r="BD232">
        <f t="shared" si="185"/>
        <v>-133.07943532934243</v>
      </c>
      <c r="BF232">
        <f t="shared" si="186"/>
        <v>-5.6841234196968227</v>
      </c>
      <c r="BG232">
        <f t="shared" si="187"/>
        <v>-129.72959648922551</v>
      </c>
      <c r="BH232">
        <f t="shared" si="203"/>
        <v>50.270403510774486</v>
      </c>
      <c r="BI232">
        <f t="shared" si="204"/>
        <v>50.270403510774486</v>
      </c>
      <c r="BJ232">
        <f t="shared" si="188"/>
        <v>0</v>
      </c>
      <c r="BK232">
        <f t="shared" si="205"/>
        <v>0</v>
      </c>
      <c r="BM232">
        <f t="shared" si="206"/>
        <v>-18.799098505574904</v>
      </c>
      <c r="BN232">
        <f t="shared" si="189"/>
        <v>-176.65016115988308</v>
      </c>
      <c r="BQ232" s="66">
        <f t="shared" si="207"/>
        <v>30.016935886163214</v>
      </c>
      <c r="BR232" s="71"/>
      <c r="BS232" s="71"/>
      <c r="BT232" s="71">
        <v>16595.868999999999</v>
      </c>
      <c r="BU232" s="71">
        <v>-3.91065</v>
      </c>
      <c r="BV232" s="71">
        <v>-184.43100000000001</v>
      </c>
      <c r="BW232" s="75"/>
      <c r="BY232" s="71"/>
      <c r="BZ232" s="71"/>
      <c r="CA232" s="71"/>
      <c r="CC232" s="71"/>
    </row>
    <row r="233" spans="1:81" ht="13" x14ac:dyDescent="0.3">
      <c r="A233">
        <f t="shared" si="190"/>
        <v>99500</v>
      </c>
      <c r="B233">
        <f t="shared" si="191"/>
        <v>99.5</v>
      </c>
      <c r="C233">
        <f t="shared" si="159"/>
        <v>1.0004884384676747</v>
      </c>
      <c r="D233">
        <f t="shared" si="160"/>
        <v>3.124867166423673E-2</v>
      </c>
      <c r="F233">
        <f t="shared" si="161"/>
        <v>7.5741887876702762E-3</v>
      </c>
      <c r="G233">
        <f t="shared" si="162"/>
        <v>2.7234375461619595E-2</v>
      </c>
      <c r="H233">
        <f t="shared" si="163"/>
        <v>-3.1143582745383807</v>
      </c>
      <c r="J233">
        <f t="shared" si="164"/>
        <v>15</v>
      </c>
      <c r="M233">
        <f t="shared" si="165"/>
        <v>1.1038972868050145E-2</v>
      </c>
      <c r="N233">
        <f t="shared" si="166"/>
        <v>-1.5707963250000001</v>
      </c>
      <c r="O233">
        <f t="shared" si="167"/>
        <v>34.27928675461353</v>
      </c>
      <c r="P233">
        <f t="shared" si="168"/>
        <v>1.5416200520058105</v>
      </c>
      <c r="Q233">
        <f t="shared" si="169"/>
        <v>13.198599555364874</v>
      </c>
      <c r="R233">
        <f t="shared" si="170"/>
        <v>1.4949580370003328</v>
      </c>
      <c r="S233">
        <f t="shared" si="171"/>
        <v>0.9994900995062258</v>
      </c>
      <c r="T233">
        <f t="shared" si="172"/>
        <v>-3.1935680132195256E-2</v>
      </c>
      <c r="U233">
        <f t="shared" si="173"/>
        <v>0.89564557845527137</v>
      </c>
      <c r="V233">
        <f t="shared" si="174"/>
        <v>-0.46091574535534457</v>
      </c>
      <c r="X233">
        <f t="shared" si="192"/>
        <v>-5.87915124961693</v>
      </c>
      <c r="Y233">
        <f t="shared" si="175"/>
        <v>-120.90436600174668</v>
      </c>
      <c r="Z233">
        <f t="shared" si="193"/>
        <v>59.095633998253319</v>
      </c>
      <c r="AC233">
        <v>1</v>
      </c>
      <c r="AD233">
        <f t="shared" si="176"/>
        <v>34.264697582278799</v>
      </c>
      <c r="AE233">
        <f t="shared" si="177"/>
        <v>-2.1421498693713014E-3</v>
      </c>
      <c r="AF233">
        <f t="shared" si="178"/>
        <v>4.3137208677149997E-3</v>
      </c>
      <c r="AG233">
        <f t="shared" si="194"/>
        <v>6279.5288239601323</v>
      </c>
      <c r="AH233">
        <f t="shared" si="195"/>
        <v>-3350.1685188116157</v>
      </c>
      <c r="AJ233">
        <f t="shared" si="179"/>
        <v>21000</v>
      </c>
      <c r="AK233">
        <f t="shared" si="180"/>
        <v>670.87737147028497</v>
      </c>
      <c r="AL233">
        <v>1</v>
      </c>
      <c r="AM233">
        <f t="shared" si="181"/>
        <v>13.160662225848585</v>
      </c>
      <c r="AN233">
        <f t="shared" si="196"/>
        <v>171.23232840853387</v>
      </c>
      <c r="AO233">
        <f t="shared" si="197"/>
        <v>-1582.6534648600064</v>
      </c>
      <c r="AQ233">
        <f t="shared" si="182"/>
        <v>0.25251249936871878</v>
      </c>
      <c r="AR233">
        <f t="shared" si="183"/>
        <v>-50.249987374375031</v>
      </c>
      <c r="AT233">
        <f t="shared" si="209"/>
        <v>-166760.26625411632</v>
      </c>
      <c r="AU233">
        <f t="shared" si="210"/>
        <v>-316392.20354701224</v>
      </c>
      <c r="AV233">
        <f t="shared" si="198"/>
        <v>-2.055863263608515</v>
      </c>
      <c r="AW233">
        <f t="shared" si="199"/>
        <v>-75852.248819856337</v>
      </c>
      <c r="AX233">
        <f t="shared" si="200"/>
        <v>-20944.867577642228</v>
      </c>
      <c r="AY233">
        <f t="shared" si="208"/>
        <v>-2.8721788145245961</v>
      </c>
      <c r="BA233">
        <f t="shared" si="184"/>
        <v>4.5449915876727793</v>
      </c>
      <c r="BB233">
        <f t="shared" si="201"/>
        <v>13.150661674457094</v>
      </c>
      <c r="BC233">
        <f t="shared" si="202"/>
        <v>0.8163155509160811</v>
      </c>
      <c r="BD233">
        <f t="shared" si="185"/>
        <v>-133.22856412816773</v>
      </c>
      <c r="BF233">
        <f t="shared" si="186"/>
        <v>-5.7365491422152273</v>
      </c>
      <c r="BG233">
        <f t="shared" si="187"/>
        <v>-129.87773235096256</v>
      </c>
      <c r="BH233">
        <f t="shared" si="203"/>
        <v>50.12226764903744</v>
      </c>
      <c r="BI233">
        <f t="shared" si="204"/>
        <v>50.12226764903744</v>
      </c>
      <c r="BJ233">
        <f t="shared" si="188"/>
        <v>0</v>
      </c>
      <c r="BK233">
        <f t="shared" si="205"/>
        <v>0</v>
      </c>
      <c r="BM233">
        <f t="shared" si="206"/>
        <v>-18.887210816672319</v>
      </c>
      <c r="BN233">
        <f t="shared" si="189"/>
        <v>-176.64916822279483</v>
      </c>
      <c r="BQ233" s="66">
        <f t="shared" si="207"/>
        <v>30.052622474742229</v>
      </c>
      <c r="BR233" s="71"/>
      <c r="BS233" s="71"/>
      <c r="BT233" s="71">
        <v>16982.437000000002</v>
      </c>
      <c r="BU233" s="71">
        <v>-3.9488799999999999</v>
      </c>
      <c r="BV233" s="71">
        <v>-182.72200000000001</v>
      </c>
      <c r="BW233" s="75"/>
      <c r="BY233" s="71"/>
      <c r="BZ233" s="71"/>
      <c r="CA233" s="71"/>
      <c r="CC233" s="71"/>
    </row>
    <row r="234" spans="1:81" ht="13" x14ac:dyDescent="0.3">
      <c r="A234">
        <f t="shared" si="190"/>
        <v>100000</v>
      </c>
      <c r="B234">
        <f t="shared" si="191"/>
        <v>100</v>
      </c>
      <c r="C234">
        <f t="shared" si="159"/>
        <v>1.0004933585176132</v>
      </c>
      <c r="D234">
        <f t="shared" si="160"/>
        <v>3.1405597190557598E-2</v>
      </c>
      <c r="F234">
        <f t="shared" si="161"/>
        <v>7.4980925964338906E-3</v>
      </c>
      <c r="G234">
        <f t="shared" si="162"/>
        <v>2.7096205036419616E-2</v>
      </c>
      <c r="H234">
        <f t="shared" si="163"/>
        <v>-3.1144964449635806</v>
      </c>
      <c r="J234">
        <f t="shared" si="164"/>
        <v>15</v>
      </c>
      <c r="M234">
        <f t="shared" si="165"/>
        <v>1.0983778003709895E-2</v>
      </c>
      <c r="N234">
        <f t="shared" si="166"/>
        <v>-1.5707963250000001</v>
      </c>
      <c r="O234">
        <f t="shared" si="167"/>
        <v>34.451398249526299</v>
      </c>
      <c r="P234">
        <f t="shared" si="168"/>
        <v>1.541765851225035</v>
      </c>
      <c r="Q234">
        <f t="shared" si="169"/>
        <v>13.264544390909721</v>
      </c>
      <c r="R234">
        <f t="shared" si="170"/>
        <v>1.4953357870122881</v>
      </c>
      <c r="S234">
        <f t="shared" si="171"/>
        <v>0.99948496597050385</v>
      </c>
      <c r="T234">
        <f t="shared" si="172"/>
        <v>-3.2096051021199161E-2</v>
      </c>
      <c r="U234">
        <f t="shared" si="173"/>
        <v>0.89475434327704406</v>
      </c>
      <c r="V234">
        <f t="shared" si="174"/>
        <v>-0.46291553827724385</v>
      </c>
      <c r="X234">
        <f t="shared" si="192"/>
        <v>-5.9322542661347306</v>
      </c>
      <c r="Y234">
        <f t="shared" si="175"/>
        <v>-120.9970625218217</v>
      </c>
      <c r="Z234">
        <f t="shared" si="193"/>
        <v>59.002937478178296</v>
      </c>
      <c r="AC234">
        <v>1</v>
      </c>
      <c r="AD234">
        <f t="shared" si="176"/>
        <v>34.436881992240004</v>
      </c>
      <c r="AE234">
        <f t="shared" si="177"/>
        <v>-2.1637331071147712E-3</v>
      </c>
      <c r="AF234">
        <f t="shared" si="178"/>
        <v>4.335397857E-3</v>
      </c>
      <c r="AG234">
        <f t="shared" si="194"/>
        <v>6267.0378283339687</v>
      </c>
      <c r="AH234">
        <f t="shared" si="195"/>
        <v>-3358.4454559799506</v>
      </c>
      <c r="AJ234">
        <f t="shared" si="179"/>
        <v>21000</v>
      </c>
      <c r="AK234">
        <f t="shared" si="180"/>
        <v>674.24861454300003</v>
      </c>
      <c r="AL234">
        <v>1</v>
      </c>
      <c r="AM234">
        <f t="shared" si="181"/>
        <v>13.226796206883</v>
      </c>
      <c r="AN234">
        <f t="shared" si="196"/>
        <v>170.03958879409697</v>
      </c>
      <c r="AO234">
        <f t="shared" si="197"/>
        <v>-1574.8303735387067</v>
      </c>
      <c r="AQ234">
        <f t="shared" si="182"/>
        <v>0.24999375015624609</v>
      </c>
      <c r="AR234">
        <f t="shared" si="183"/>
        <v>-49.998750031249216</v>
      </c>
      <c r="AT234">
        <f t="shared" si="209"/>
        <v>-166351.35455805008</v>
      </c>
      <c r="AU234">
        <f t="shared" si="210"/>
        <v>-314183.64818948868</v>
      </c>
      <c r="AV234">
        <f t="shared" si="198"/>
        <v>-2.0577423823080441</v>
      </c>
      <c r="AW234">
        <f t="shared" si="199"/>
        <v>-75075.522187683775</v>
      </c>
      <c r="AX234">
        <f t="shared" si="200"/>
        <v>-20789.133948324434</v>
      </c>
      <c r="AY234">
        <f t="shared" si="208"/>
        <v>-2.8714519569845831</v>
      </c>
      <c r="BA234">
        <f t="shared" si="184"/>
        <v>4.5635710406901442</v>
      </c>
      <c r="BB234">
        <f t="shared" si="201"/>
        <v>13.186096310819806</v>
      </c>
      <c r="BC234">
        <f t="shared" si="202"/>
        <v>0.81370957467653904</v>
      </c>
      <c r="BD234">
        <f t="shared" si="185"/>
        <v>-133.37787556837549</v>
      </c>
      <c r="BF234">
        <f t="shared" si="186"/>
        <v>-5.7887783198604819</v>
      </c>
      <c r="BG234">
        <f t="shared" si="187"/>
        <v>-130.02596920303051</v>
      </c>
      <c r="BH234">
        <f t="shared" si="203"/>
        <v>49.974030796969487</v>
      </c>
      <c r="BI234">
        <f t="shared" si="204"/>
        <v>49.974030796969487</v>
      </c>
      <c r="BJ234">
        <f t="shared" si="188"/>
        <v>0</v>
      </c>
      <c r="BK234">
        <f t="shared" si="205"/>
        <v>0</v>
      </c>
      <c r="BM234">
        <f t="shared" si="206"/>
        <v>-18.974874630680286</v>
      </c>
      <c r="BN234">
        <f t="shared" si="189"/>
        <v>-176.64809363465505</v>
      </c>
      <c r="BQ234" s="66">
        <f t="shared" si="207"/>
        <v>30.088057111104941</v>
      </c>
      <c r="BR234" s="71"/>
      <c r="BS234" s="71"/>
      <c r="BT234" s="71">
        <v>17378.008000000002</v>
      </c>
      <c r="BU234" s="71">
        <v>-3.8028900000000001</v>
      </c>
      <c r="BV234" s="71">
        <v>-181.726</v>
      </c>
      <c r="BW234" s="75"/>
      <c r="BY234" s="71"/>
      <c r="BZ234" s="71"/>
      <c r="CA234" s="71"/>
      <c r="CC234" s="71"/>
    </row>
    <row r="235" spans="1:81" ht="13" x14ac:dyDescent="0.3">
      <c r="A235">
        <f>A234+5000</f>
        <v>105000</v>
      </c>
      <c r="B235">
        <f t="shared" si="191"/>
        <v>105</v>
      </c>
      <c r="C235">
        <f t="shared" si="159"/>
        <v>1.000543914020136</v>
      </c>
      <c r="D235">
        <f t="shared" si="160"/>
        <v>3.2974766083306503E-2</v>
      </c>
      <c r="F235">
        <f t="shared" si="161"/>
        <v>6.7964440607286543E-3</v>
      </c>
      <c r="G235">
        <f t="shared" si="162"/>
        <v>2.5788359143406218E-2</v>
      </c>
      <c r="H235">
        <f t="shared" si="163"/>
        <v>-3.1158042908565942</v>
      </c>
      <c r="J235">
        <f t="shared" si="164"/>
        <v>15</v>
      </c>
      <c r="M235">
        <f t="shared" si="165"/>
        <v>1.0460740955914186E-2</v>
      </c>
      <c r="N235">
        <f t="shared" si="166"/>
        <v>-1.5707963250000001</v>
      </c>
      <c r="O235">
        <f t="shared" si="167"/>
        <v>36.172551369589328</v>
      </c>
      <c r="P235">
        <f t="shared" si="168"/>
        <v>1.5431475328116671</v>
      </c>
      <c r="Q235">
        <f t="shared" si="169"/>
        <v>13.924091425762834</v>
      </c>
      <c r="R235">
        <f t="shared" si="170"/>
        <v>1.4989164742706895</v>
      </c>
      <c r="S235">
        <f t="shared" si="171"/>
        <v>0.99943221993487241</v>
      </c>
      <c r="T235">
        <f t="shared" si="172"/>
        <v>-3.3699667722333577E-2</v>
      </c>
      <c r="U235">
        <f t="shared" si="173"/>
        <v>0.88574779013962079</v>
      </c>
      <c r="V235">
        <f t="shared" si="174"/>
        <v>-0.48269374643681273</v>
      </c>
      <c r="X235">
        <f t="shared" si="192"/>
        <v>-6.4523792003423424</v>
      </c>
      <c r="Y235">
        <f t="shared" si="175"/>
        <v>-121.92285534950368</v>
      </c>
      <c r="Z235">
        <f t="shared" si="193"/>
        <v>58.077144650496322</v>
      </c>
      <c r="AC235">
        <v>1</v>
      </c>
      <c r="AD235">
        <f t="shared" si="176"/>
        <v>36.158726091852003</v>
      </c>
      <c r="AE235">
        <f t="shared" si="177"/>
        <v>-2.3855157505940357E-3</v>
      </c>
      <c r="AF235">
        <f t="shared" si="178"/>
        <v>4.55216774985E-3</v>
      </c>
      <c r="AG235">
        <f t="shared" si="194"/>
        <v>6141.5054376482922</v>
      </c>
      <c r="AH235">
        <f t="shared" si="195"/>
        <v>-3438.0670515458551</v>
      </c>
      <c r="AJ235">
        <f t="shared" si="179"/>
        <v>21000</v>
      </c>
      <c r="AK235">
        <f t="shared" si="180"/>
        <v>707.96104527015007</v>
      </c>
      <c r="AL235">
        <v>1</v>
      </c>
      <c r="AM235">
        <f t="shared" si="181"/>
        <v>13.888136017227151</v>
      </c>
      <c r="AN235">
        <f t="shared" si="196"/>
        <v>159.02727501330401</v>
      </c>
      <c r="AO235">
        <f t="shared" si="197"/>
        <v>-1500.6313805636044</v>
      </c>
      <c r="AQ235">
        <f t="shared" si="182"/>
        <v>0.22675222784063853</v>
      </c>
      <c r="AR235">
        <f t="shared" si="183"/>
        <v>-47.617967846534093</v>
      </c>
      <c r="AT235">
        <f t="shared" si="209"/>
        <v>-162321.16627445666</v>
      </c>
      <c r="AU235">
        <f t="shared" si="210"/>
        <v>-293225.59782265418</v>
      </c>
      <c r="AV235">
        <f t="shared" si="198"/>
        <v>-2.0763769984457774</v>
      </c>
      <c r="AW235">
        <f t="shared" si="199"/>
        <v>-67908.827282154758</v>
      </c>
      <c r="AX235">
        <f t="shared" si="200"/>
        <v>-19360.113754563539</v>
      </c>
      <c r="AY235">
        <f t="shared" si="208"/>
        <v>-2.8638704476732841</v>
      </c>
      <c r="BA235">
        <f t="shared" si="184"/>
        <v>4.7462672897301204</v>
      </c>
      <c r="BB235">
        <f t="shared" si="201"/>
        <v>13.527043844024053</v>
      </c>
      <c r="BC235">
        <f t="shared" si="202"/>
        <v>0.78749344922750675</v>
      </c>
      <c r="BD235">
        <f t="shared" si="185"/>
        <v>-134.87994891350689</v>
      </c>
      <c r="BF235">
        <f t="shared" si="186"/>
        <v>-6.3007729477507413</v>
      </c>
      <c r="BG235">
        <f t="shared" si="187"/>
        <v>-131.51306984317031</v>
      </c>
      <c r="BH235">
        <f t="shared" si="203"/>
        <v>48.486930156829686</v>
      </c>
      <c r="BI235">
        <f t="shared" si="204"/>
        <v>48.486930156829686</v>
      </c>
      <c r="BJ235">
        <f t="shared" si="188"/>
        <v>0</v>
      </c>
      <c r="BK235">
        <f t="shared" si="205"/>
        <v>0</v>
      </c>
      <c r="BM235">
        <f t="shared" si="206"/>
        <v>-19.827816791774794</v>
      </c>
      <c r="BN235">
        <f t="shared" si="189"/>
        <v>-176.63312092966342</v>
      </c>
      <c r="BQ235" s="66">
        <f t="shared" si="207"/>
        <v>30.429004644309188</v>
      </c>
      <c r="BR235" s="71"/>
      <c r="BS235" s="71"/>
      <c r="BT235" s="71">
        <v>17782.794000000002</v>
      </c>
      <c r="BU235" s="71">
        <v>-3.8474200000000001</v>
      </c>
      <c r="BV235" s="71">
        <v>-180.351</v>
      </c>
      <c r="BW235" s="75"/>
      <c r="BY235" s="71"/>
      <c r="BZ235" s="71"/>
      <c r="CA235" s="71"/>
      <c r="CC235" s="71"/>
    </row>
    <row r="236" spans="1:81" ht="13" x14ac:dyDescent="0.3">
      <c r="A236">
        <f t="shared" ref="A236:A299" si="211">A235+5000</f>
        <v>110000</v>
      </c>
      <c r="B236">
        <f t="shared" si="191"/>
        <v>110</v>
      </c>
      <c r="C236">
        <f t="shared" si="159"/>
        <v>1.0005969329004576</v>
      </c>
      <c r="D236">
        <f t="shared" si="160"/>
        <v>3.4543772547181523E-2</v>
      </c>
      <c r="F236">
        <f t="shared" si="161"/>
        <v>6.1890410110545732E-3</v>
      </c>
      <c r="G236">
        <f t="shared" si="162"/>
        <v>2.4601658245848684E-2</v>
      </c>
      <c r="H236">
        <f t="shared" si="163"/>
        <v>-3.1169909917541516</v>
      </c>
      <c r="J236">
        <f t="shared" si="164"/>
        <v>15</v>
      </c>
      <c r="M236">
        <f t="shared" si="165"/>
        <v>9.9852527306453585E-3</v>
      </c>
      <c r="N236">
        <f t="shared" si="166"/>
        <v>-1.5707963250000001</v>
      </c>
      <c r="O236">
        <f t="shared" si="167"/>
        <v>37.893767271550495</v>
      </c>
      <c r="P236">
        <f t="shared" si="168"/>
        <v>1.544403698756512</v>
      </c>
      <c r="Q236">
        <f t="shared" si="169"/>
        <v>14.583800837130271</v>
      </c>
      <c r="R236">
        <f t="shared" si="170"/>
        <v>1.502173249927979</v>
      </c>
      <c r="S236">
        <f t="shared" si="171"/>
        <v>0.9993769098926063</v>
      </c>
      <c r="T236">
        <f t="shared" si="172"/>
        <v>-3.5303111053496872E-2</v>
      </c>
      <c r="U236">
        <f t="shared" si="173"/>
        <v>0.8765881050722425</v>
      </c>
      <c r="V236">
        <f t="shared" si="174"/>
        <v>-0.50207034595093114</v>
      </c>
      <c r="X236">
        <f t="shared" si="192"/>
        <v>-6.9540751816009241</v>
      </c>
      <c r="Y236">
        <f t="shared" si="175"/>
        <v>-122.84444625716932</v>
      </c>
      <c r="Z236">
        <f t="shared" si="193"/>
        <v>57.155553742830676</v>
      </c>
      <c r="AC236">
        <v>1</v>
      </c>
      <c r="AD236">
        <f t="shared" si="176"/>
        <v>37.880570191464003</v>
      </c>
      <c r="AE236">
        <f t="shared" si="177"/>
        <v>-2.6181170596088731E-3</v>
      </c>
      <c r="AF236">
        <f t="shared" si="178"/>
        <v>4.7689376427E-3</v>
      </c>
      <c r="AG236">
        <f t="shared" si="194"/>
        <v>6015.1412777054493</v>
      </c>
      <c r="AH236">
        <f t="shared" si="195"/>
        <v>-3511.9653998318681</v>
      </c>
      <c r="AJ236">
        <f t="shared" si="179"/>
        <v>21000</v>
      </c>
      <c r="AK236">
        <f t="shared" si="180"/>
        <v>741.67347599729999</v>
      </c>
      <c r="AL236">
        <v>1</v>
      </c>
      <c r="AM236">
        <f t="shared" si="181"/>
        <v>14.5494758275713</v>
      </c>
      <c r="AN236">
        <f t="shared" si="196"/>
        <v>149.47280939856219</v>
      </c>
      <c r="AO236">
        <f t="shared" si="197"/>
        <v>-1433.0775512262528</v>
      </c>
      <c r="AQ236">
        <f t="shared" si="182"/>
        <v>0.20660730150203507</v>
      </c>
      <c r="AR236">
        <f t="shared" si="183"/>
        <v>-45.45360633044772</v>
      </c>
      <c r="AT236">
        <f t="shared" si="209"/>
        <v>-158388.72062257092</v>
      </c>
      <c r="AU236">
        <f t="shared" si="210"/>
        <v>-274135.46135307755</v>
      </c>
      <c r="AV236">
        <f t="shared" si="198"/>
        <v>-2.0947138775431533</v>
      </c>
      <c r="AW236">
        <f t="shared" si="199"/>
        <v>-61698.925733188007</v>
      </c>
      <c r="AX236">
        <f t="shared" si="200"/>
        <v>-18131.943650506742</v>
      </c>
      <c r="AY236">
        <f t="shared" si="208"/>
        <v>-2.8557619906795781</v>
      </c>
      <c r="BA236">
        <f t="shared" si="184"/>
        <v>4.9232198502404447</v>
      </c>
      <c r="BB236">
        <f t="shared" si="201"/>
        <v>13.844984599324206</v>
      </c>
      <c r="BC236">
        <f t="shared" si="202"/>
        <v>0.76104811313642484</v>
      </c>
      <c r="BD236">
        <f t="shared" si="185"/>
        <v>-136.39515506106227</v>
      </c>
      <c r="BF236">
        <f t="shared" si="186"/>
        <v>-6.7955396629520397</v>
      </c>
      <c r="BG236">
        <f t="shared" si="187"/>
        <v>-133.00637149526628</v>
      </c>
      <c r="BH236">
        <f t="shared" si="203"/>
        <v>46.993628504733721</v>
      </c>
      <c r="BI236">
        <f t="shared" si="204"/>
        <v>46.993628504733721</v>
      </c>
      <c r="BJ236">
        <f t="shared" si="188"/>
        <v>0</v>
      </c>
      <c r="BK236">
        <f t="shared" si="205"/>
        <v>0</v>
      </c>
      <c r="BM236">
        <f t="shared" si="206"/>
        <v>-20.640524262276244</v>
      </c>
      <c r="BN236">
        <f t="shared" si="189"/>
        <v>-176.61121643420404</v>
      </c>
      <c r="BQ236" s="66">
        <f t="shared" si="207"/>
        <v>30.746945399609341</v>
      </c>
      <c r="BR236" s="71"/>
      <c r="BS236" s="71"/>
      <c r="BT236" s="71">
        <v>18197.008999999998</v>
      </c>
      <c r="BU236" s="71">
        <v>-3.8303199999999999</v>
      </c>
      <c r="BV236" s="71">
        <v>-179.43</v>
      </c>
      <c r="BY236" s="71"/>
      <c r="BZ236" s="71"/>
      <c r="CA236" s="71"/>
      <c r="CC236" s="71"/>
    </row>
    <row r="237" spans="1:81" ht="13" x14ac:dyDescent="0.3">
      <c r="A237">
        <f t="shared" si="211"/>
        <v>115000</v>
      </c>
      <c r="B237">
        <f t="shared" si="191"/>
        <v>115</v>
      </c>
      <c r="C237">
        <f t="shared" si="159"/>
        <v>1.0006524147670164</v>
      </c>
      <c r="D237">
        <f t="shared" si="160"/>
        <v>3.6112608883537393E-2</v>
      </c>
      <c r="F237">
        <f t="shared" si="161"/>
        <v>5.6597030153502127E-3</v>
      </c>
      <c r="G237">
        <f t="shared" si="162"/>
        <v>2.3519931401150322E-2</v>
      </c>
      <c r="H237">
        <f t="shared" si="163"/>
        <v>-3.1180727185988499</v>
      </c>
      <c r="J237">
        <f t="shared" si="164"/>
        <v>15</v>
      </c>
      <c r="M237">
        <f t="shared" si="165"/>
        <v>9.5511113075738216E-3</v>
      </c>
      <c r="N237">
        <f t="shared" si="166"/>
        <v>-1.5707963250000001</v>
      </c>
      <c r="O237">
        <f t="shared" si="167"/>
        <v>39.615037772063538</v>
      </c>
      <c r="P237">
        <f t="shared" si="168"/>
        <v>1.5455507057452074</v>
      </c>
      <c r="Q237">
        <f t="shared" si="169"/>
        <v>15.243651543204905</v>
      </c>
      <c r="R237">
        <f t="shared" si="170"/>
        <v>1.505148103334901</v>
      </c>
      <c r="S237">
        <f t="shared" si="171"/>
        <v>0.99931903712251469</v>
      </c>
      <c r="T237">
        <f t="shared" si="172"/>
        <v>-3.6906372799178369E-2</v>
      </c>
      <c r="U237">
        <f t="shared" si="173"/>
        <v>0.86730029277872911</v>
      </c>
      <c r="V237">
        <f t="shared" si="174"/>
        <v>-0.52104333946581438</v>
      </c>
      <c r="X237">
        <f t="shared" si="192"/>
        <v>-7.4391040652471974</v>
      </c>
      <c r="Y237">
        <f t="shared" si="175"/>
        <v>-123.7593043203852</v>
      </c>
      <c r="Z237">
        <f t="shared" si="193"/>
        <v>56.240695679614802</v>
      </c>
      <c r="AC237">
        <v>1</v>
      </c>
      <c r="AD237">
        <f t="shared" si="176"/>
        <v>39.602414291076002</v>
      </c>
      <c r="AE237">
        <f t="shared" si="177"/>
        <v>-2.8615370341592856E-3</v>
      </c>
      <c r="AF237">
        <f t="shared" si="178"/>
        <v>4.98570753555E-3</v>
      </c>
      <c r="AG237">
        <f t="shared" si="194"/>
        <v>5888.3507516350255</v>
      </c>
      <c r="AH237">
        <f t="shared" si="195"/>
        <v>-3580.1806701752698</v>
      </c>
      <c r="AJ237">
        <f t="shared" si="179"/>
        <v>21000</v>
      </c>
      <c r="AK237">
        <f t="shared" si="180"/>
        <v>775.38590672445002</v>
      </c>
      <c r="AL237">
        <v>1</v>
      </c>
      <c r="AM237">
        <f t="shared" si="181"/>
        <v>15.21081563791545</v>
      </c>
      <c r="AN237">
        <f t="shared" si="196"/>
        <v>141.13011822817839</v>
      </c>
      <c r="AO237">
        <f t="shared" si="197"/>
        <v>-1371.3183026015824</v>
      </c>
      <c r="AQ237">
        <f t="shared" si="182"/>
        <v>0.18903234343396155</v>
      </c>
      <c r="AR237">
        <f t="shared" si="183"/>
        <v>-43.477438989811155</v>
      </c>
      <c r="AT237">
        <f t="shared" si="209"/>
        <v>-154543.99791850382</v>
      </c>
      <c r="AU237">
        <f t="shared" si="210"/>
        <v>-256687.18049682066</v>
      </c>
      <c r="AV237">
        <f t="shared" si="198"/>
        <v>-2.1127374886196426</v>
      </c>
      <c r="AW237">
        <f t="shared" si="199"/>
        <v>-56284.277904720388</v>
      </c>
      <c r="AX237">
        <f t="shared" si="200"/>
        <v>-17066.748242745285</v>
      </c>
      <c r="AY237">
        <f t="shared" si="208"/>
        <v>-2.8471806208626145</v>
      </c>
      <c r="BA237">
        <f t="shared" si="184"/>
        <v>5.0942866480602049</v>
      </c>
      <c r="BB237">
        <f t="shared" si="201"/>
        <v>14.141667568611227</v>
      </c>
      <c r="BC237">
        <f t="shared" si="202"/>
        <v>0.73444313224297186</v>
      </c>
      <c r="BD237">
        <f t="shared" si="185"/>
        <v>-137.91950818202514</v>
      </c>
      <c r="BF237">
        <f t="shared" si="186"/>
        <v>-7.274969439009757</v>
      </c>
      <c r="BG237">
        <f t="shared" si="187"/>
        <v>-134.50281529816453</v>
      </c>
      <c r="BH237">
        <f t="shared" si="203"/>
        <v>45.497184701835465</v>
      </c>
      <c r="BI237">
        <f t="shared" si="204"/>
        <v>45.497184701835465</v>
      </c>
      <c r="BJ237">
        <f t="shared" si="188"/>
        <v>0</v>
      </c>
      <c r="BK237">
        <f t="shared" si="205"/>
        <v>0</v>
      </c>
      <c r="BM237">
        <f t="shared" si="206"/>
        <v>-21.416637007620984</v>
      </c>
      <c r="BN237">
        <f t="shared" si="189"/>
        <v>-176.58330711613939</v>
      </c>
      <c r="BQ237" s="66">
        <f t="shared" si="207"/>
        <v>31.043628368896364</v>
      </c>
      <c r="BR237" s="71"/>
      <c r="BS237" s="71"/>
      <c r="BT237" s="71">
        <v>18620.870999999999</v>
      </c>
      <c r="BU237" s="71">
        <v>-3.77474</v>
      </c>
      <c r="BV237" s="71">
        <v>-178.09100000000001</v>
      </c>
      <c r="BY237" s="71"/>
      <c r="BZ237" s="71"/>
      <c r="CA237" s="71"/>
      <c r="CC237" s="71"/>
    </row>
    <row r="238" spans="1:81" ht="13" x14ac:dyDescent="0.3">
      <c r="A238">
        <f t="shared" si="211"/>
        <v>120000</v>
      </c>
      <c r="B238">
        <f t="shared" si="191"/>
        <v>120</v>
      </c>
      <c r="C238">
        <f t="shared" si="159"/>
        <v>1.0007103592101507</v>
      </c>
      <c r="D238">
        <f t="shared" si="160"/>
        <v>3.7681267398748032E-2</v>
      </c>
      <c r="F238">
        <f t="shared" si="161"/>
        <v>5.1955838257339284E-3</v>
      </c>
      <c r="G238">
        <f t="shared" si="162"/>
        <v>2.2529775763227324E-2</v>
      </c>
      <c r="H238">
        <f t="shared" si="163"/>
        <v>-3.1190628742367728</v>
      </c>
      <c r="J238">
        <f t="shared" si="164"/>
        <v>15</v>
      </c>
      <c r="M238">
        <f t="shared" si="165"/>
        <v>9.1531483364249121E-3</v>
      </c>
      <c r="N238">
        <f t="shared" si="166"/>
        <v>-1.5707963250000001</v>
      </c>
      <c r="O238">
        <f t="shared" si="167"/>
        <v>41.336356050580314</v>
      </c>
      <c r="P238">
        <f t="shared" si="168"/>
        <v>1.5466021872622029</v>
      </c>
      <c r="Q238">
        <f t="shared" si="169"/>
        <v>15.903625956797304</v>
      </c>
      <c r="R238">
        <f t="shared" si="170"/>
        <v>1.5078760761596974</v>
      </c>
      <c r="S238">
        <f t="shared" si="171"/>
        <v>0.9992586029622551</v>
      </c>
      <c r="T238">
        <f t="shared" si="172"/>
        <v>-3.8509444749462052E-2</v>
      </c>
      <c r="U238">
        <f t="shared" si="173"/>
        <v>0.85790811506136211</v>
      </c>
      <c r="V238">
        <f t="shared" si="174"/>
        <v>-0.53961197372684688</v>
      </c>
      <c r="X238">
        <f t="shared" si="192"/>
        <v>-7.9089694920703462</v>
      </c>
      <c r="Y238">
        <f t="shared" si="175"/>
        <v>-124.6653653969549</v>
      </c>
      <c r="Z238">
        <f t="shared" si="193"/>
        <v>55.334634603045103</v>
      </c>
      <c r="AC238">
        <v>1</v>
      </c>
      <c r="AD238">
        <f t="shared" si="176"/>
        <v>41.324258390688001</v>
      </c>
      <c r="AE238">
        <f t="shared" si="177"/>
        <v>-3.1157756742452702E-3</v>
      </c>
      <c r="AF238">
        <f t="shared" si="178"/>
        <v>5.2024774284E-3</v>
      </c>
      <c r="AG238">
        <f t="shared" si="194"/>
        <v>5761.5089057895357</v>
      </c>
      <c r="AH238">
        <f t="shared" si="195"/>
        <v>-3642.7970243851678</v>
      </c>
      <c r="AJ238">
        <f t="shared" si="179"/>
        <v>21000</v>
      </c>
      <c r="AK238">
        <f t="shared" si="180"/>
        <v>809.09833745159995</v>
      </c>
      <c r="AL238">
        <v>1</v>
      </c>
      <c r="AM238">
        <f t="shared" si="181"/>
        <v>15.872155448259601</v>
      </c>
      <c r="AN238">
        <f t="shared" si="196"/>
        <v>133.80287420729948</v>
      </c>
      <c r="AO238">
        <f t="shared" si="197"/>
        <v>-1314.6416813905828</v>
      </c>
      <c r="AQ238">
        <f t="shared" si="182"/>
        <v>0.1736080970816479</v>
      </c>
      <c r="AR238">
        <f t="shared" si="183"/>
        <v>-41.66594329959549</v>
      </c>
      <c r="AT238">
        <f t="shared" si="209"/>
        <v>-150780.32967251446</v>
      </c>
      <c r="AU238">
        <f t="shared" si="210"/>
        <v>-240691.12244819943</v>
      </c>
      <c r="AV238">
        <f t="shared" si="198"/>
        <v>-2.1304357975001738</v>
      </c>
      <c r="AW238">
        <f t="shared" si="199"/>
        <v>-51535.955616224041</v>
      </c>
      <c r="AX238">
        <f t="shared" si="200"/>
        <v>-16135.185094650773</v>
      </c>
      <c r="AY238">
        <f t="shared" si="208"/>
        <v>-2.8381740290825763</v>
      </c>
      <c r="BA238">
        <f t="shared" si="184"/>
        <v>5.2593458495216394</v>
      </c>
      <c r="BB238">
        <f t="shared" si="201"/>
        <v>14.418634610793532</v>
      </c>
      <c r="BC238">
        <f t="shared" si="202"/>
        <v>0.70773823158240257</v>
      </c>
      <c r="BD238">
        <f t="shared" si="185"/>
        <v>-139.44958628394028</v>
      </c>
      <c r="BF238">
        <f t="shared" si="186"/>
        <v>-7.7406851741003289</v>
      </c>
      <c r="BG238">
        <f t="shared" si="187"/>
        <v>-135.99974762673702</v>
      </c>
      <c r="BH238">
        <f t="shared" si="203"/>
        <v>44.000252373262981</v>
      </c>
      <c r="BI238">
        <f t="shared" si="204"/>
        <v>44.000252373262981</v>
      </c>
      <c r="BJ238">
        <f t="shared" si="188"/>
        <v>0</v>
      </c>
      <c r="BK238">
        <f t="shared" si="205"/>
        <v>0</v>
      </c>
      <c r="BM238">
        <f t="shared" si="206"/>
        <v>-22.159319784893864</v>
      </c>
      <c r="BN238">
        <f t="shared" si="189"/>
        <v>-176.55016134279674</v>
      </c>
      <c r="BQ238" s="66">
        <f t="shared" si="207"/>
        <v>31.320595411078671</v>
      </c>
      <c r="BR238" s="71"/>
      <c r="BS238" s="71"/>
      <c r="BT238" s="71">
        <v>19054.607</v>
      </c>
      <c r="BU238" s="71">
        <v>-3.7312500000000002</v>
      </c>
      <c r="BV238" s="71">
        <v>-176.916</v>
      </c>
      <c r="BY238" s="71"/>
      <c r="BZ238" s="71"/>
      <c r="CA238" s="71"/>
      <c r="CC238" s="71"/>
    </row>
    <row r="239" spans="1:81" ht="13" x14ac:dyDescent="0.3">
      <c r="A239">
        <f t="shared" si="211"/>
        <v>125000</v>
      </c>
      <c r="B239">
        <f t="shared" si="191"/>
        <v>125</v>
      </c>
      <c r="C239">
        <f t="shared" si="159"/>
        <v>1.0007707658021121</v>
      </c>
      <c r="D239">
        <f t="shared" si="160"/>
        <v>3.9249740404431833E-2</v>
      </c>
      <c r="F239">
        <f t="shared" si="161"/>
        <v>4.7863785342658104E-3</v>
      </c>
      <c r="G239">
        <f t="shared" si="162"/>
        <v>2.1619986315681815E-2</v>
      </c>
      <c r="H239">
        <f t="shared" si="163"/>
        <v>-3.1199726636843184</v>
      </c>
      <c r="J239">
        <f t="shared" si="164"/>
        <v>15</v>
      </c>
      <c r="M239">
        <f t="shared" si="165"/>
        <v>8.7870224029679162E-3</v>
      </c>
      <c r="N239">
        <f t="shared" si="166"/>
        <v>-1.5707963250000001</v>
      </c>
      <c r="O239">
        <f t="shared" si="167"/>
        <v>43.0577163770376</v>
      </c>
      <c r="P239">
        <f t="shared" si="168"/>
        <v>1.5475695975741968</v>
      </c>
      <c r="Q239">
        <f t="shared" si="169"/>
        <v>16.563709290683438</v>
      </c>
      <c r="R239">
        <f t="shared" si="170"/>
        <v>1.5103866405832418</v>
      </c>
      <c r="S239">
        <f t="shared" si="171"/>
        <v>0.99919560880824698</v>
      </c>
      <c r="T239">
        <f t="shared" si="172"/>
        <v>-4.0112318700277518E-2</v>
      </c>
      <c r="U239">
        <f t="shared" si="173"/>
        <v>0.84843403288953423</v>
      </c>
      <c r="V239">
        <f t="shared" si="174"/>
        <v>-0.55777664220300804</v>
      </c>
      <c r="X239">
        <f t="shared" si="192"/>
        <v>-8.3649632959398819</v>
      </c>
      <c r="Y239">
        <f t="shared" si="175"/>
        <v>-125.56094908887441</v>
      </c>
      <c r="Z239">
        <f t="shared" si="193"/>
        <v>54.439050911125591</v>
      </c>
      <c r="AC239">
        <v>1</v>
      </c>
      <c r="AD239">
        <f t="shared" si="176"/>
        <v>43.046102490300001</v>
      </c>
      <c r="AE239">
        <f t="shared" si="177"/>
        <v>-3.3808329798668308E-3</v>
      </c>
      <c r="AF239">
        <f t="shared" si="178"/>
        <v>5.41924732125E-3</v>
      </c>
      <c r="AG239">
        <f t="shared" si="194"/>
        <v>5634.9601291208573</v>
      </c>
      <c r="AH239">
        <f t="shared" si="195"/>
        <v>-3699.9343001274078</v>
      </c>
      <c r="AJ239">
        <f t="shared" si="179"/>
        <v>21000</v>
      </c>
      <c r="AK239">
        <f t="shared" si="180"/>
        <v>842.81076817874998</v>
      </c>
      <c r="AL239">
        <v>1</v>
      </c>
      <c r="AM239">
        <f t="shared" si="181"/>
        <v>16.53349525860375</v>
      </c>
      <c r="AN239">
        <f t="shared" si="196"/>
        <v>127.33291260408858</v>
      </c>
      <c r="AO239">
        <f t="shared" si="197"/>
        <v>-1262.4473386251541</v>
      </c>
      <c r="AQ239">
        <f t="shared" si="182"/>
        <v>0.15999744004095934</v>
      </c>
      <c r="AR239">
        <f t="shared" si="183"/>
        <v>-39.999360010239833</v>
      </c>
      <c r="AT239">
        <f t="shared" si="209"/>
        <v>-147093.42488963873</v>
      </c>
      <c r="AU239">
        <f t="shared" si="210"/>
        <v>-225986.77886439284</v>
      </c>
      <c r="AV239">
        <f t="shared" si="198"/>
        <v>-2.1477997195517329</v>
      </c>
      <c r="AW239">
        <f t="shared" si="199"/>
        <v>-47350.057159618729</v>
      </c>
      <c r="AX239">
        <f t="shared" si="200"/>
        <v>-15314.24754628677</v>
      </c>
      <c r="AY239">
        <f t="shared" si="208"/>
        <v>-2.8287848895222543</v>
      </c>
      <c r="BA239">
        <f t="shared" si="184"/>
        <v>5.418295791400781</v>
      </c>
      <c r="BB239">
        <f t="shared" si="201"/>
        <v>14.677254200235641</v>
      </c>
      <c r="BC239">
        <f t="shared" si="202"/>
        <v>0.68098516997052139</v>
      </c>
      <c r="BD239">
        <f t="shared" si="185"/>
        <v>-140.98242380510604</v>
      </c>
      <c r="BF239">
        <f t="shared" si="186"/>
        <v>-8.1940875680063776</v>
      </c>
      <c r="BG239">
        <f t="shared" si="187"/>
        <v>-137.49484535994367</v>
      </c>
      <c r="BH239">
        <f t="shared" si="203"/>
        <v>42.505154640056332</v>
      </c>
      <c r="BI239">
        <f t="shared" si="204"/>
        <v>42.505154640056332</v>
      </c>
      <c r="BJ239">
        <f t="shared" si="188"/>
        <v>0</v>
      </c>
      <c r="BK239">
        <f t="shared" si="205"/>
        <v>0</v>
      </c>
      <c r="BM239">
        <f t="shared" si="206"/>
        <v>-22.871341768242019</v>
      </c>
      <c r="BN239">
        <f t="shared" si="189"/>
        <v>-176.51242155483763</v>
      </c>
      <c r="BQ239" s="66">
        <f t="shared" si="207"/>
        <v>31.579215000520779</v>
      </c>
      <c r="BR239" s="71"/>
      <c r="BS239" s="71"/>
      <c r="BT239" s="71">
        <v>19498.446</v>
      </c>
      <c r="BU239" s="71">
        <v>-3.7243200000000001</v>
      </c>
      <c r="BV239" s="71">
        <v>-175.511</v>
      </c>
      <c r="BY239" s="71"/>
      <c r="BZ239" s="71"/>
      <c r="CA239" s="71"/>
      <c r="CC239" s="71"/>
    </row>
    <row r="240" spans="1:81" ht="13" x14ac:dyDescent="0.3">
      <c r="A240">
        <f t="shared" si="211"/>
        <v>130000</v>
      </c>
      <c r="B240">
        <f t="shared" si="191"/>
        <v>130</v>
      </c>
      <c r="C240">
        <f t="shared" si="159"/>
        <v>1.0008336340970823</v>
      </c>
      <c r="D240">
        <f t="shared" si="160"/>
        <v>4.0818020217676478E-2</v>
      </c>
      <c r="F240">
        <f t="shared" si="161"/>
        <v>4.4237425460464568E-3</v>
      </c>
      <c r="G240">
        <f t="shared" si="162"/>
        <v>2.0781121480668716E-2</v>
      </c>
      <c r="H240">
        <f t="shared" si="163"/>
        <v>-3.1208115285193316</v>
      </c>
      <c r="J240">
        <f t="shared" si="164"/>
        <v>15</v>
      </c>
      <c r="M240">
        <f t="shared" si="165"/>
        <v>8.4490600028537654E-3</v>
      </c>
      <c r="N240">
        <f t="shared" si="166"/>
        <v>-1.5707963250000001</v>
      </c>
      <c r="O240">
        <f t="shared" si="167"/>
        <v>44.779113902322962</v>
      </c>
      <c r="P240">
        <f t="shared" si="168"/>
        <v>1.548462630345425</v>
      </c>
      <c r="Q240">
        <f t="shared" si="169"/>
        <v>17.22388902217849</v>
      </c>
      <c r="R240">
        <f t="shared" si="170"/>
        <v>1.5127047623092589</v>
      </c>
      <c r="S240">
        <f t="shared" si="171"/>
        <v>0.99913005611558237</v>
      </c>
      <c r="T240">
        <f t="shared" si="172"/>
        <v>-4.1714986453650391E-2</v>
      </c>
      <c r="U240">
        <f t="shared" si="173"/>
        <v>0.83889916925820063</v>
      </c>
      <c r="V240">
        <f t="shared" si="174"/>
        <v>-0.57553878747051945</v>
      </c>
      <c r="X240">
        <f t="shared" si="192"/>
        <v>-8.8082021761277893</v>
      </c>
      <c r="Y240">
        <f t="shared" si="175"/>
        <v>-126.44469314721795</v>
      </c>
      <c r="Z240">
        <f t="shared" si="193"/>
        <v>53.555306852782053</v>
      </c>
      <c r="AC240">
        <v>1</v>
      </c>
      <c r="AD240">
        <f t="shared" si="176"/>
        <v>44.767946589912007</v>
      </c>
      <c r="AE240">
        <f t="shared" si="177"/>
        <v>-3.6567089510239634E-3</v>
      </c>
      <c r="AF240">
        <f t="shared" si="178"/>
        <v>5.6360172141000009E-3</v>
      </c>
      <c r="AG240">
        <f t="shared" si="194"/>
        <v>5509.0182919743265</v>
      </c>
      <c r="AH240">
        <f t="shared" si="195"/>
        <v>-3751.7409362621738</v>
      </c>
      <c r="AJ240">
        <f t="shared" si="179"/>
        <v>21000</v>
      </c>
      <c r="AK240">
        <f t="shared" si="180"/>
        <v>876.52319890590013</v>
      </c>
      <c r="AL240">
        <v>1</v>
      </c>
      <c r="AM240">
        <f t="shared" si="181"/>
        <v>17.194835068947899</v>
      </c>
      <c r="AN240">
        <f t="shared" si="196"/>
        <v>121.59167305403999</v>
      </c>
      <c r="AO240">
        <f t="shared" si="197"/>
        <v>-1214.225565015754</v>
      </c>
      <c r="AQ240">
        <f t="shared" si="182"/>
        <v>0.14792680581648202</v>
      </c>
      <c r="AR240">
        <f t="shared" si="183"/>
        <v>-38.460969512285324</v>
      </c>
      <c r="AT240">
        <f t="shared" si="209"/>
        <v>-143480.66228845593</v>
      </c>
      <c r="AU240">
        <f t="shared" si="210"/>
        <v>-212437.16762319897</v>
      </c>
      <c r="AV240">
        <f t="shared" si="198"/>
        <v>-2.1648226758338209</v>
      </c>
      <c r="AW240">
        <f t="shared" si="199"/>
        <v>-43642.101809017338</v>
      </c>
      <c r="AX240">
        <f t="shared" si="200"/>
        <v>-14585.697511304017</v>
      </c>
      <c r="AY240">
        <f t="shared" si="208"/>
        <v>-2.8190518502883481</v>
      </c>
      <c r="BA240">
        <f t="shared" si="184"/>
        <v>5.5710548499554644</v>
      </c>
      <c r="BB240">
        <f t="shared" si="201"/>
        <v>14.918748686746657</v>
      </c>
      <c r="BC240">
        <f t="shared" si="202"/>
        <v>0.65422917445452722</v>
      </c>
      <c r="BD240">
        <f t="shared" si="185"/>
        <v>-142.51542942659518</v>
      </c>
      <c r="BF240">
        <f t="shared" si="186"/>
        <v>-8.6363914175058554</v>
      </c>
      <c r="BG240">
        <f t="shared" si="187"/>
        <v>-138.98605858161878</v>
      </c>
      <c r="BH240">
        <f t="shared" si="203"/>
        <v>41.013941418381222</v>
      </c>
      <c r="BI240">
        <f t="shared" si="204"/>
        <v>41.013941418381222</v>
      </c>
      <c r="BJ240">
        <f t="shared" si="188"/>
        <v>0</v>
      </c>
      <c r="BK240">
        <f t="shared" si="205"/>
        <v>0</v>
      </c>
      <c r="BM240">
        <f t="shared" si="206"/>
        <v>-23.555140104252512</v>
      </c>
      <c r="BN240">
        <f t="shared" si="189"/>
        <v>-176.47062915502357</v>
      </c>
      <c r="BQ240" s="66">
        <f t="shared" si="207"/>
        <v>31.820709487031795</v>
      </c>
      <c r="BR240" s="71"/>
      <c r="BS240" s="71"/>
      <c r="BT240" s="71">
        <v>19952.623</v>
      </c>
      <c r="BU240" s="71">
        <v>-3.67421</v>
      </c>
      <c r="BV240" s="71">
        <v>-174.244</v>
      </c>
      <c r="BY240" s="71"/>
      <c r="BZ240" s="71"/>
      <c r="CA240" s="71"/>
      <c r="CC240" s="71"/>
    </row>
    <row r="241" spans="1:81" ht="13" x14ac:dyDescent="0.3">
      <c r="A241">
        <f t="shared" si="211"/>
        <v>135000</v>
      </c>
      <c r="B241">
        <f t="shared" si="191"/>
        <v>135</v>
      </c>
      <c r="C241">
        <f t="shared" si="159"/>
        <v>1.0008989636311889</v>
      </c>
      <c r="D241">
        <f t="shared" si="160"/>
        <v>4.2386099161263409E-2</v>
      </c>
      <c r="F241">
        <f t="shared" si="161"/>
        <v>4.1008600069698782E-3</v>
      </c>
      <c r="G241">
        <f t="shared" si="162"/>
        <v>2.0005168164474674E-2</v>
      </c>
      <c r="H241">
        <f t="shared" si="163"/>
        <v>-3.1215874818355256</v>
      </c>
      <c r="J241">
        <f t="shared" si="164"/>
        <v>15</v>
      </c>
      <c r="M241">
        <f t="shared" si="165"/>
        <v>8.1361318545999217E-3</v>
      </c>
      <c r="N241">
        <f t="shared" si="166"/>
        <v>-1.5707963250000001</v>
      </c>
      <c r="O241">
        <f t="shared" si="167"/>
        <v>46.500544495261046</v>
      </c>
      <c r="P241">
        <f t="shared" si="168"/>
        <v>1.549289544341111</v>
      </c>
      <c r="Q241">
        <f t="shared" si="169"/>
        <v>17.884154475956098</v>
      </c>
      <c r="R241">
        <f t="shared" si="170"/>
        <v>1.5148517293090793</v>
      </c>
      <c r="S241">
        <f t="shared" si="171"/>
        <v>0.99906194639793289</v>
      </c>
      <c r="T241">
        <f t="shared" si="172"/>
        <v>-4.3317439817952372E-2</v>
      </c>
      <c r="U241">
        <f t="shared" si="173"/>
        <v>0.82932329067681831</v>
      </c>
      <c r="V241">
        <f t="shared" si="174"/>
        <v>-0.59290080465364592</v>
      </c>
      <c r="X241">
        <f t="shared" si="192"/>
        <v>-9.2396569818730505</v>
      </c>
      <c r="Y241">
        <f t="shared" si="175"/>
        <v>-127.31550098617038</v>
      </c>
      <c r="Z241">
        <f t="shared" si="193"/>
        <v>52.684499013829623</v>
      </c>
      <c r="AC241">
        <v>1</v>
      </c>
      <c r="AD241">
        <f t="shared" si="176"/>
        <v>46.489790689524007</v>
      </c>
      <c r="AE241">
        <f t="shared" si="177"/>
        <v>-3.9434035877166703E-3</v>
      </c>
      <c r="AF241">
        <f t="shared" si="178"/>
        <v>5.85278710695E-3</v>
      </c>
      <c r="AG241">
        <f t="shared" si="194"/>
        <v>5383.9672598866764</v>
      </c>
      <c r="AH241">
        <f t="shared" si="195"/>
        <v>-3798.3879137492308</v>
      </c>
      <c r="AJ241">
        <f t="shared" si="179"/>
        <v>21000</v>
      </c>
      <c r="AK241">
        <f t="shared" si="180"/>
        <v>910.23562963305017</v>
      </c>
      <c r="AL241">
        <v>1</v>
      </c>
      <c r="AM241">
        <f t="shared" si="181"/>
        <v>17.856174879292048</v>
      </c>
      <c r="AN241">
        <f t="shared" si="196"/>
        <v>116.47379733130646</v>
      </c>
      <c r="AO241">
        <f t="shared" si="197"/>
        <v>-1169.5408643699773</v>
      </c>
      <c r="AQ241">
        <f t="shared" si="182"/>
        <v>0.13717232959767356</v>
      </c>
      <c r="AR241">
        <f t="shared" si="183"/>
        <v>-37.03652899137186</v>
      </c>
      <c r="AT241">
        <f t="shared" si="209"/>
        <v>-139940.57275653363</v>
      </c>
      <c r="AU241">
        <f t="shared" si="210"/>
        <v>-199924.49322823444</v>
      </c>
      <c r="AV241">
        <f t="shared" si="198"/>
        <v>-2.1815002271335731</v>
      </c>
      <c r="AW241">
        <f t="shared" si="199"/>
        <v>-40342.835272092641</v>
      </c>
      <c r="AX241">
        <f t="shared" si="200"/>
        <v>-13934.930852586773</v>
      </c>
      <c r="AY241">
        <f t="shared" si="208"/>
        <v>-2.8090102758124331</v>
      </c>
      <c r="BA241">
        <f t="shared" si="184"/>
        <v>5.7175612283641053</v>
      </c>
      <c r="BB241">
        <f t="shared" si="201"/>
        <v>15.144216481748128</v>
      </c>
      <c r="BC241">
        <f t="shared" si="202"/>
        <v>0.62751004867886007</v>
      </c>
      <c r="BD241">
        <f t="shared" si="185"/>
        <v>-144.0463225675694</v>
      </c>
      <c r="BF241">
        <f t="shared" si="186"/>
        <v>-9.0686546694163255</v>
      </c>
      <c r="BG241">
        <f t="shared" si="187"/>
        <v>-140.4715662672474</v>
      </c>
      <c r="BH241">
        <f t="shared" si="203"/>
        <v>39.528433732752603</v>
      </c>
      <c r="BI241">
        <f t="shared" si="204"/>
        <v>39.528433732752603</v>
      </c>
      <c r="BJ241">
        <f t="shared" si="188"/>
        <v>0</v>
      </c>
      <c r="BK241">
        <f t="shared" si="205"/>
        <v>0</v>
      </c>
      <c r="BM241">
        <f t="shared" si="206"/>
        <v>-24.212871151164453</v>
      </c>
      <c r="BN241">
        <f t="shared" si="189"/>
        <v>-176.42524369967799</v>
      </c>
      <c r="BQ241" s="66">
        <f t="shared" si="207"/>
        <v>32.046177282033263</v>
      </c>
      <c r="BR241" s="71"/>
      <c r="BS241" s="71"/>
      <c r="BT241" s="71">
        <v>20417.379000000001</v>
      </c>
      <c r="BU241" s="71">
        <v>-3.6440899999999998</v>
      </c>
      <c r="BV241" s="71">
        <v>-173.369</v>
      </c>
      <c r="BY241" s="71"/>
      <c r="BZ241" s="71"/>
      <c r="CA241" s="71"/>
      <c r="CC241" s="71"/>
    </row>
    <row r="242" spans="1:81" ht="13" x14ac:dyDescent="0.3">
      <c r="A242">
        <f t="shared" si="211"/>
        <v>140000</v>
      </c>
      <c r="B242">
        <f t="shared" si="191"/>
        <v>140</v>
      </c>
      <c r="C242">
        <f t="shared" si="159"/>
        <v>1.0009667539225229</v>
      </c>
      <c r="D242">
        <f t="shared" si="160"/>
        <v>4.3953969563891825E-2</v>
      </c>
      <c r="F242">
        <f t="shared" si="161"/>
        <v>3.8121192654994389E-3</v>
      </c>
      <c r="G242">
        <f t="shared" si="162"/>
        <v>1.9285280585594901E-2</v>
      </c>
      <c r="H242">
        <f t="shared" si="163"/>
        <v>-3.1223073694144055</v>
      </c>
      <c r="J242">
        <f t="shared" si="164"/>
        <v>15</v>
      </c>
      <c r="M242">
        <f t="shared" si="165"/>
        <v>7.8455557169356399E-3</v>
      </c>
      <c r="N242">
        <f t="shared" si="166"/>
        <v>-1.5707963250000001</v>
      </c>
      <c r="O242">
        <f t="shared" si="167"/>
        <v>48.222004614501763</v>
      </c>
      <c r="P242">
        <f t="shared" si="168"/>
        <v>1.550057419416301</v>
      </c>
      <c r="Q242">
        <f t="shared" si="169"/>
        <v>18.544496495750227</v>
      </c>
      <c r="R242">
        <f t="shared" si="170"/>
        <v>1.5168458043407496</v>
      </c>
      <c r="S242">
        <f t="shared" si="171"/>
        <v>0.99899128122745318</v>
      </c>
      <c r="T242">
        <f t="shared" si="172"/>
        <v>-4.4919670608150698E-2</v>
      </c>
      <c r="U242">
        <f t="shared" si="173"/>
        <v>0.81972480507236811</v>
      </c>
      <c r="V242">
        <f t="shared" si="174"/>
        <v>-0.60986594701726393</v>
      </c>
      <c r="X242">
        <f t="shared" si="192"/>
        <v>-9.6601763173139936</v>
      </c>
      <c r="Y242">
        <f t="shared" si="175"/>
        <v>-128.17249918425864</v>
      </c>
      <c r="Z242">
        <f t="shared" si="193"/>
        <v>51.827500815741359</v>
      </c>
      <c r="AC242">
        <v>1</v>
      </c>
      <c r="AD242">
        <f t="shared" si="176"/>
        <v>48.211634789135999</v>
      </c>
      <c r="AE242">
        <f t="shared" si="177"/>
        <v>-4.240916889944951E-3</v>
      </c>
      <c r="AF242">
        <f t="shared" si="178"/>
        <v>6.0695569998E-3</v>
      </c>
      <c r="AG242">
        <f t="shared" si="194"/>
        <v>5260.0617195368295</v>
      </c>
      <c r="AH242">
        <f t="shared" si="195"/>
        <v>-3840.0635481806394</v>
      </c>
      <c r="AJ242">
        <f t="shared" si="179"/>
        <v>21000</v>
      </c>
      <c r="AK242">
        <f t="shared" si="180"/>
        <v>943.94806036020009</v>
      </c>
      <c r="AL242">
        <v>1</v>
      </c>
      <c r="AM242">
        <f t="shared" si="181"/>
        <v>18.517514689636201</v>
      </c>
      <c r="AN242">
        <f t="shared" si="196"/>
        <v>111.89228457346161</v>
      </c>
      <c r="AO242">
        <f t="shared" si="197"/>
        <v>-1128.0189628858293</v>
      </c>
      <c r="AQ242">
        <f t="shared" si="182"/>
        <v>0.12754939350263389</v>
      </c>
      <c r="AR242">
        <f t="shared" si="183"/>
        <v>-35.713830180737489</v>
      </c>
      <c r="AT242">
        <f t="shared" si="209"/>
        <v>-136472.45976085027</v>
      </c>
      <c r="AU242">
        <f t="shared" si="210"/>
        <v>-188346.74876831836</v>
      </c>
      <c r="AV242">
        <f t="shared" si="198"/>
        <v>-2.1978297678038565</v>
      </c>
      <c r="AW242">
        <f t="shared" si="199"/>
        <v>-37395.054669502882</v>
      </c>
      <c r="AX242">
        <f t="shared" si="200"/>
        <v>-13350.144594700449</v>
      </c>
      <c r="AY242">
        <f t="shared" si="208"/>
        <v>-2.7986928048487005</v>
      </c>
      <c r="BA242">
        <f t="shared" si="184"/>
        <v>5.8577726493786439</v>
      </c>
      <c r="BB242">
        <f t="shared" si="201"/>
        <v>15.354650238559362</v>
      </c>
      <c r="BC242">
        <f t="shared" si="202"/>
        <v>0.60086303704484401</v>
      </c>
      <c r="BD242">
        <f t="shared" si="185"/>
        <v>-145.5730838725791</v>
      </c>
      <c r="BF242">
        <f t="shared" si="186"/>
        <v>-9.4918019295450264</v>
      </c>
      <c r="BG242">
        <f t="shared" si="187"/>
        <v>-141.94974173530119</v>
      </c>
      <c r="BH242">
        <f t="shared" si="203"/>
        <v>38.050258264698812</v>
      </c>
      <c r="BI242">
        <f t="shared" si="204"/>
        <v>38.050258264698812</v>
      </c>
      <c r="BJ242">
        <f t="shared" si="188"/>
        <v>0</v>
      </c>
      <c r="BK242">
        <f t="shared" si="205"/>
        <v>0</v>
      </c>
      <c r="BM242">
        <f t="shared" si="206"/>
        <v>-24.846452168104388</v>
      </c>
      <c r="BN242">
        <f t="shared" si="189"/>
        <v>-176.37665786272208</v>
      </c>
      <c r="BQ242" s="66">
        <f t="shared" si="207"/>
        <v>32.256611038844497</v>
      </c>
      <c r="BR242" s="71"/>
      <c r="BS242" s="71"/>
      <c r="BT242" s="71">
        <v>20892.960999999999</v>
      </c>
      <c r="BU242" s="71">
        <v>-3.5620099999999999</v>
      </c>
      <c r="BV242" s="71">
        <v>-172.084</v>
      </c>
      <c r="BY242" s="71"/>
      <c r="BZ242" s="71"/>
      <c r="CA242" s="71"/>
      <c r="CC242" s="71"/>
    </row>
    <row r="243" spans="1:81" ht="13" x14ac:dyDescent="0.3">
      <c r="A243">
        <f t="shared" si="211"/>
        <v>145000</v>
      </c>
      <c r="B243">
        <f t="shared" si="191"/>
        <v>145</v>
      </c>
      <c r="C243">
        <f t="shared" si="159"/>
        <v>1.0010370044711567</v>
      </c>
      <c r="D243">
        <f t="shared" si="160"/>
        <v>4.5521623760402301E-2</v>
      </c>
      <c r="F243">
        <f t="shared" si="161"/>
        <v>3.5528660413291398E-3</v>
      </c>
      <c r="G243">
        <f t="shared" si="162"/>
        <v>1.8615574545003035E-2</v>
      </c>
      <c r="H243">
        <f t="shared" si="163"/>
        <v>-3.122977075454997</v>
      </c>
      <c r="J243">
        <f t="shared" si="164"/>
        <v>15</v>
      </c>
      <c r="M243">
        <f t="shared" si="165"/>
        <v>7.5750193129033756E-3</v>
      </c>
      <c r="N243">
        <f t="shared" si="166"/>
        <v>-1.5707963250000001</v>
      </c>
      <c r="O243">
        <f t="shared" si="167"/>
        <v>49.943491206893441</v>
      </c>
      <c r="P243">
        <f t="shared" si="168"/>
        <v>1.5507723595971075</v>
      </c>
      <c r="Q243">
        <f t="shared" si="169"/>
        <v>19.204907183618896</v>
      </c>
      <c r="R243">
        <f t="shared" si="170"/>
        <v>1.5187027434252822</v>
      </c>
      <c r="S243">
        <f t="shared" si="171"/>
        <v>0.99891806223467983</v>
      </c>
      <c r="T243">
        <f t="shared" si="172"/>
        <v>-4.6521670646057195E-2</v>
      </c>
      <c r="U243">
        <f t="shared" si="173"/>
        <v>0.81012077390103931</v>
      </c>
      <c r="V243">
        <f t="shared" si="174"/>
        <v>-0.62643823461008374</v>
      </c>
      <c r="X243">
        <f t="shared" si="192"/>
        <v>-10.070505728283434</v>
      </c>
      <c r="Y243">
        <f t="shared" si="175"/>
        <v>-129.01500269524195</v>
      </c>
      <c r="Z243">
        <f t="shared" si="193"/>
        <v>50.984997304758053</v>
      </c>
      <c r="AC243">
        <v>1</v>
      </c>
      <c r="AD243">
        <f t="shared" si="176"/>
        <v>49.933478888748006</v>
      </c>
      <c r="AE243">
        <f t="shared" si="177"/>
        <v>-4.5492488577088064E-3</v>
      </c>
      <c r="AF243">
        <f t="shared" si="178"/>
        <v>6.28632689265E-3</v>
      </c>
      <c r="AG243">
        <f t="shared" si="194"/>
        <v>5137.528257128979</v>
      </c>
      <c r="AH243">
        <f t="shared" si="195"/>
        <v>-3876.9690108999016</v>
      </c>
      <c r="AJ243">
        <f t="shared" si="179"/>
        <v>21000</v>
      </c>
      <c r="AK243">
        <f t="shared" si="180"/>
        <v>977.66049108735012</v>
      </c>
      <c r="AL243">
        <v>1</v>
      </c>
      <c r="AM243">
        <f t="shared" si="181"/>
        <v>19.17885449998035</v>
      </c>
      <c r="AN243">
        <f t="shared" si="196"/>
        <v>107.77478591629074</v>
      </c>
      <c r="AO243">
        <f t="shared" si="197"/>
        <v>-1089.3364467677211</v>
      </c>
      <c r="AQ243">
        <f t="shared" si="182"/>
        <v>0.11890465036087561</v>
      </c>
      <c r="AR243">
        <f t="shared" si="183"/>
        <v>-34.482348604653929</v>
      </c>
      <c r="AT243">
        <f t="shared" si="209"/>
        <v>-133076.1209621577</v>
      </c>
      <c r="AU243">
        <f t="shared" si="210"/>
        <v>-177615.0299732826</v>
      </c>
      <c r="AV243">
        <f t="shared" si="198"/>
        <v>-2.2138102664079664</v>
      </c>
      <c r="AW243">
        <f t="shared" si="199"/>
        <v>-34751.179564591424</v>
      </c>
      <c r="AX243">
        <f t="shared" si="200"/>
        <v>-12821.71788704903</v>
      </c>
      <c r="AY243">
        <f t="shared" si="208"/>
        <v>-2.7881297706574339</v>
      </c>
      <c r="BA243">
        <f t="shared" si="184"/>
        <v>5.9916659459224535</v>
      </c>
      <c r="BB243">
        <f t="shared" si="201"/>
        <v>15.550951841869818</v>
      </c>
      <c r="BC243">
        <f t="shared" si="202"/>
        <v>0.57431950424946754</v>
      </c>
      <c r="BD243">
        <f t="shared" si="185"/>
        <v>-147.09391627685909</v>
      </c>
      <c r="BF243">
        <f t="shared" si="186"/>
        <v>-9.9066436779768718</v>
      </c>
      <c r="BG243">
        <f t="shared" si="187"/>
        <v>-143.41912549996667</v>
      </c>
      <c r="BH243">
        <f t="shared" si="203"/>
        <v>36.580874500033332</v>
      </c>
      <c r="BI243">
        <f t="shared" si="204"/>
        <v>36.580874500033332</v>
      </c>
      <c r="BJ243">
        <f t="shared" si="188"/>
        <v>0</v>
      </c>
      <c r="BK243">
        <f t="shared" si="205"/>
        <v>0</v>
      </c>
      <c r="BM243">
        <f t="shared" si="206"/>
        <v>-25.457595519846691</v>
      </c>
      <c r="BN243">
        <f t="shared" si="189"/>
        <v>-176.32520922310761</v>
      </c>
      <c r="BQ243" s="66">
        <f t="shared" si="207"/>
        <v>32.452912642154949</v>
      </c>
      <c r="BR243" s="71"/>
      <c r="BS243" s="71"/>
      <c r="BT243" s="71">
        <v>21379.620999999999</v>
      </c>
      <c r="BU243" s="71">
        <v>-3.5589</v>
      </c>
      <c r="BV243" s="71">
        <v>-170.62899999999999</v>
      </c>
      <c r="BY243" s="71"/>
      <c r="BZ243" s="71"/>
      <c r="CA243" s="71"/>
      <c r="CC243" s="71"/>
    </row>
    <row r="244" spans="1:81" ht="13" x14ac:dyDescent="0.3">
      <c r="A244">
        <f t="shared" si="211"/>
        <v>150000</v>
      </c>
      <c r="B244">
        <f t="shared" si="191"/>
        <v>150</v>
      </c>
      <c r="C244">
        <f t="shared" si="159"/>
        <v>1.0011097147591619</v>
      </c>
      <c r="D244">
        <f t="shared" si="160"/>
        <v>4.7089054091999927E-2</v>
      </c>
      <c r="F244">
        <f t="shared" si="161"/>
        <v>3.3192137220379482E-3</v>
      </c>
      <c r="G244">
        <f t="shared" si="162"/>
        <v>1.7990963842069062E-2</v>
      </c>
      <c r="H244">
        <f t="shared" si="163"/>
        <v>-3.1236016861579312</v>
      </c>
      <c r="J244">
        <f t="shared" si="164"/>
        <v>15</v>
      </c>
      <c r="M244">
        <f t="shared" si="165"/>
        <v>7.3225186691399293E-3</v>
      </c>
      <c r="N244">
        <f t="shared" si="166"/>
        <v>-1.5707963250000001</v>
      </c>
      <c r="O244">
        <f t="shared" si="167"/>
        <v>51.665001626166564</v>
      </c>
      <c r="P244">
        <f t="shared" si="168"/>
        <v>1.5514396555853858</v>
      </c>
      <c r="Q244">
        <f t="shared" si="169"/>
        <v>19.865379691096589</v>
      </c>
      <c r="R244">
        <f t="shared" si="170"/>
        <v>1.5204362113144996</v>
      </c>
      <c r="S244">
        <f t="shared" si="171"/>
        <v>0.99884229110842737</v>
      </c>
      <c r="T244">
        <f t="shared" si="172"/>
        <v>-4.8123431760576714E-2</v>
      </c>
      <c r="U244">
        <f t="shared" si="173"/>
        <v>0.80052693632889249</v>
      </c>
      <c r="V244">
        <f t="shared" si="174"/>
        <v>-0.64262236667359562</v>
      </c>
      <c r="X244">
        <f t="shared" si="192"/>
        <v>-10.471303415409047</v>
      </c>
      <c r="Y244">
        <f t="shared" si="175"/>
        <v>-129.84248608680673</v>
      </c>
      <c r="Z244">
        <f t="shared" si="193"/>
        <v>50.15751391319327</v>
      </c>
      <c r="AC244">
        <v>1</v>
      </c>
      <c r="AD244">
        <f t="shared" si="176"/>
        <v>51.655322988359998</v>
      </c>
      <c r="AE244">
        <f t="shared" si="177"/>
        <v>-4.8683994910082348E-3</v>
      </c>
      <c r="AF244">
        <f t="shared" si="178"/>
        <v>6.5030967855E-3</v>
      </c>
      <c r="AG244">
        <f t="shared" si="194"/>
        <v>5016.5666337603225</v>
      </c>
      <c r="AH244">
        <f t="shared" si="195"/>
        <v>-3909.314482769611</v>
      </c>
      <c r="AJ244">
        <f t="shared" si="179"/>
        <v>21000</v>
      </c>
      <c r="AK244">
        <f t="shared" si="180"/>
        <v>1011.3729218145</v>
      </c>
      <c r="AL244">
        <v>1</v>
      </c>
      <c r="AM244">
        <f t="shared" si="181"/>
        <v>19.840194310324499</v>
      </c>
      <c r="AN244">
        <f t="shared" si="196"/>
        <v>104.06074251754072</v>
      </c>
      <c r="AO244">
        <f t="shared" si="197"/>
        <v>-1053.2124298101542</v>
      </c>
      <c r="AQ244">
        <f t="shared" si="182"/>
        <v>0.11110987655692714</v>
      </c>
      <c r="AR244">
        <f t="shared" si="183"/>
        <v>-33.332962967078146</v>
      </c>
      <c r="AT244">
        <f t="shared" si="209"/>
        <v>-129751.64478140499</v>
      </c>
      <c r="AU244">
        <f t="shared" si="210"/>
        <v>-167651.39327461543</v>
      </c>
      <c r="AV244">
        <f t="shared" si="198"/>
        <v>-2.2294420436902662</v>
      </c>
      <c r="AW244">
        <f t="shared" si="199"/>
        <v>-32371.375337789512</v>
      </c>
      <c r="AX244">
        <f t="shared" si="200"/>
        <v>-12341.746426613921</v>
      </c>
      <c r="AY244">
        <f t="shared" si="208"/>
        <v>-2.7773495177961722</v>
      </c>
      <c r="BA244">
        <f t="shared" si="184"/>
        <v>6.11923654714621</v>
      </c>
      <c r="BB244">
        <f t="shared" si="201"/>
        <v>15.733944834923921</v>
      </c>
      <c r="BC244">
        <f t="shared" si="202"/>
        <v>0.54790747410590601</v>
      </c>
      <c r="BD244">
        <f t="shared" si="185"/>
        <v>-148.60721413418668</v>
      </c>
      <c r="BF244">
        <f t="shared" si="186"/>
        <v>-10.31389212324475</v>
      </c>
      <c r="BG244">
        <f t="shared" si="187"/>
        <v>-144.87840377166802</v>
      </c>
      <c r="BH244">
        <f t="shared" si="203"/>
        <v>35.121596228331981</v>
      </c>
      <c r="BI244">
        <f t="shared" si="204"/>
        <v>35.121596228331981</v>
      </c>
      <c r="BJ244">
        <f t="shared" si="188"/>
        <v>0</v>
      </c>
      <c r="BK244">
        <f t="shared" si="205"/>
        <v>0</v>
      </c>
      <c r="BM244">
        <f t="shared" si="206"/>
        <v>-26.04783695816867</v>
      </c>
      <c r="BN244">
        <f t="shared" si="189"/>
        <v>-176.27118963748134</v>
      </c>
      <c r="BQ244" s="66">
        <f t="shared" si="207"/>
        <v>32.635905635209056</v>
      </c>
      <c r="BR244" s="71"/>
      <c r="BS244" s="71"/>
      <c r="BT244" s="71">
        <v>21877.616000000002</v>
      </c>
      <c r="BU244" s="71">
        <v>-3.49654</v>
      </c>
      <c r="BV244" s="71">
        <v>-169.465</v>
      </c>
      <c r="BY244" s="71"/>
      <c r="BZ244" s="71"/>
      <c r="CA244" s="71"/>
      <c r="CC244" s="71"/>
    </row>
    <row r="245" spans="1:81" ht="13" x14ac:dyDescent="0.3">
      <c r="A245">
        <f t="shared" si="211"/>
        <v>155000</v>
      </c>
      <c r="B245">
        <f t="shared" si="191"/>
        <v>155</v>
      </c>
      <c r="C245">
        <f t="shared" si="159"/>
        <v>1.0011848842506277</v>
      </c>
      <c r="D245">
        <f t="shared" si="160"/>
        <v>4.8656252906476995E-2</v>
      </c>
      <c r="F245">
        <f t="shared" si="161"/>
        <v>3.1078961483204412E-3</v>
      </c>
      <c r="G245">
        <f t="shared" si="162"/>
        <v>1.7407029071489388E-2</v>
      </c>
      <c r="H245">
        <f t="shared" si="163"/>
        <v>-3.124185620928511</v>
      </c>
      <c r="J245">
        <f t="shared" si="164"/>
        <v>15</v>
      </c>
      <c r="M245">
        <f t="shared" si="165"/>
        <v>7.0863083894902546E-3</v>
      </c>
      <c r="N245">
        <f t="shared" si="166"/>
        <v>-1.5707963250000001</v>
      </c>
      <c r="O245">
        <f t="shared" si="167"/>
        <v>53.386533567345253</v>
      </c>
      <c r="P245">
        <f t="shared" si="168"/>
        <v>1.5520639158395602</v>
      </c>
      <c r="Q245">
        <f t="shared" si="169"/>
        <v>20.525908050581855</v>
      </c>
      <c r="R245">
        <f t="shared" si="170"/>
        <v>1.522058117042576</v>
      </c>
      <c r="S245">
        <f t="shared" si="171"/>
        <v>0.99876396959568026</v>
      </c>
      <c r="T245">
        <f t="shared" si="172"/>
        <v>-4.9724945787955104E-2</v>
      </c>
      <c r="U245">
        <f t="shared" si="173"/>
        <v>0.79095774344961634</v>
      </c>
      <c r="V245">
        <f t="shared" si="174"/>
        <v>-0.65842363836292317</v>
      </c>
      <c r="X245">
        <f t="shared" si="192"/>
        <v>-10.863153189515725</v>
      </c>
      <c r="Y245">
        <f t="shared" si="175"/>
        <v>-130.65455955034136</v>
      </c>
      <c r="Z245">
        <f t="shared" si="193"/>
        <v>49.345440449658639</v>
      </c>
      <c r="AC245">
        <v>1</v>
      </c>
      <c r="AD245">
        <f t="shared" si="176"/>
        <v>53.377167087972012</v>
      </c>
      <c r="AE245">
        <f t="shared" si="177"/>
        <v>-5.1983687898432378E-3</v>
      </c>
      <c r="AF245">
        <f t="shared" si="178"/>
        <v>6.71986667835E-3</v>
      </c>
      <c r="AG245">
        <f t="shared" si="194"/>
        <v>4897.351207360166</v>
      </c>
      <c r="AH245">
        <f t="shared" si="195"/>
        <v>-3937.3158629002378</v>
      </c>
      <c r="AJ245">
        <f t="shared" si="179"/>
        <v>21000</v>
      </c>
      <c r="AK245">
        <f t="shared" si="180"/>
        <v>1045.0853525416501</v>
      </c>
      <c r="AL245">
        <v>1</v>
      </c>
      <c r="AM245">
        <f t="shared" si="181"/>
        <v>20.501534120668651</v>
      </c>
      <c r="AN245">
        <f t="shared" si="196"/>
        <v>100.69915467373539</v>
      </c>
      <c r="AO245">
        <f t="shared" si="197"/>
        <v>-1019.4018029244262</v>
      </c>
      <c r="AQ245">
        <f t="shared" si="182"/>
        <v>0.10405718983153141</v>
      </c>
      <c r="AR245">
        <f t="shared" si="183"/>
        <v>-32.257728847774736</v>
      </c>
      <c r="AT245">
        <f t="shared" si="209"/>
        <v>-126499.26288922211</v>
      </c>
      <c r="AU245">
        <f t="shared" si="210"/>
        <v>-158387.13334351897</v>
      </c>
      <c r="AV245">
        <f t="shared" si="198"/>
        <v>-2.2447265808505348</v>
      </c>
      <c r="AW245">
        <f t="shared" si="199"/>
        <v>-30222.089954315761</v>
      </c>
      <c r="AX245">
        <f t="shared" si="200"/>
        <v>-11903.688465688068</v>
      </c>
      <c r="AY245">
        <f t="shared" si="208"/>
        <v>-2.7663786412100069</v>
      </c>
      <c r="BA245">
        <f t="shared" si="184"/>
        <v>6.2404978613707272</v>
      </c>
      <c r="BB245">
        <f t="shared" si="201"/>
        <v>15.904384773843905</v>
      </c>
      <c r="BC245">
        <f t="shared" si="202"/>
        <v>0.52165206035947209</v>
      </c>
      <c r="BD245">
        <f t="shared" si="185"/>
        <v>-150.11153853294604</v>
      </c>
      <c r="BF245">
        <f t="shared" si="186"/>
        <v>-10.714174398967831</v>
      </c>
      <c r="BG245">
        <f t="shared" si="187"/>
        <v>-146.32639129050074</v>
      </c>
      <c r="BH245">
        <f t="shared" si="203"/>
        <v>33.673608709499263</v>
      </c>
      <c r="BI245">
        <f t="shared" si="204"/>
        <v>33.673608709499263</v>
      </c>
      <c r="BJ245">
        <f t="shared" si="188"/>
        <v>0</v>
      </c>
      <c r="BK245">
        <f t="shared" si="205"/>
        <v>0</v>
      </c>
      <c r="BM245">
        <f t="shared" si="206"/>
        <v>-26.618559172811732</v>
      </c>
      <c r="BN245">
        <f t="shared" si="189"/>
        <v>-176.2148527575547</v>
      </c>
      <c r="BQ245" s="66">
        <f t="shared" si="207"/>
        <v>32.80634557412904</v>
      </c>
      <c r="BR245" s="71"/>
      <c r="BS245" s="71"/>
      <c r="BT245" s="71">
        <v>22387.210999999999</v>
      </c>
      <c r="BU245" s="71">
        <v>-3.4356</v>
      </c>
      <c r="BV245" s="71">
        <v>-168.34299999999999</v>
      </c>
      <c r="BY245" s="71"/>
      <c r="BZ245" s="71"/>
      <c r="CA245" s="71"/>
      <c r="CC245" s="71"/>
    </row>
    <row r="246" spans="1:81" ht="13" x14ac:dyDescent="0.3">
      <c r="A246">
        <f t="shared" si="211"/>
        <v>160000</v>
      </c>
      <c r="B246">
        <f t="shared" si="191"/>
        <v>160</v>
      </c>
      <c r="C246">
        <f t="shared" si="159"/>
        <v>1.0012625123916827</v>
      </c>
      <c r="D246">
        <f t="shared" si="160"/>
        <v>5.0223212558435155E-2</v>
      </c>
      <c r="F246">
        <f t="shared" si="161"/>
        <v>2.9161523409176509E-3</v>
      </c>
      <c r="G246">
        <f t="shared" si="162"/>
        <v>1.6859911544870994E-2</v>
      </c>
      <c r="H246">
        <f t="shared" si="163"/>
        <v>-3.1247327384551293</v>
      </c>
      <c r="J246">
        <f t="shared" si="164"/>
        <v>15</v>
      </c>
      <c r="M246">
        <f t="shared" si="165"/>
        <v>6.8648612523186841E-3</v>
      </c>
      <c r="N246">
        <f t="shared" si="166"/>
        <v>-1.5707963250000001</v>
      </c>
      <c r="O246">
        <f t="shared" si="167"/>
        <v>55.108085013448864</v>
      </c>
      <c r="P246">
        <f t="shared" si="168"/>
        <v>1.5526491730987375</v>
      </c>
      <c r="Q246">
        <f t="shared" si="169"/>
        <v>21.186487038202944</v>
      </c>
      <c r="R246">
        <f t="shared" si="170"/>
        <v>1.5235788869251208</v>
      </c>
      <c r="S246">
        <f t="shared" si="171"/>
        <v>0.99868309950148104</v>
      </c>
      <c r="T246">
        <f t="shared" si="172"/>
        <v>-5.1326204572026572E-2</v>
      </c>
      <c r="U246">
        <f t="shared" si="173"/>
        <v>0.78142640064575397</v>
      </c>
      <c r="V246">
        <f t="shared" si="174"/>
        <v>-0.67384786217369752</v>
      </c>
      <c r="X246">
        <f t="shared" si="192"/>
        <v>-11.24657521844123</v>
      </c>
      <c r="Y246">
        <f t="shared" si="175"/>
        <v>-131.45094873179713</v>
      </c>
      <c r="Z246">
        <f t="shared" si="193"/>
        <v>48.549051268202874</v>
      </c>
      <c r="AC246">
        <v>1</v>
      </c>
      <c r="AD246">
        <f t="shared" si="176"/>
        <v>55.099011187584004</v>
      </c>
      <c r="AE246">
        <f t="shared" si="177"/>
        <v>-5.5391567542138146E-3</v>
      </c>
      <c r="AF246">
        <f t="shared" si="178"/>
        <v>6.9366365712E-3</v>
      </c>
      <c r="AG246">
        <f t="shared" si="194"/>
        <v>4780.0324562538708</v>
      </c>
      <c r="AH246">
        <f t="shared" si="195"/>
        <v>-3961.1919672283548</v>
      </c>
      <c r="AJ246">
        <f t="shared" si="179"/>
        <v>21000</v>
      </c>
      <c r="AK246">
        <f t="shared" si="180"/>
        <v>1078.7977832688</v>
      </c>
      <c r="AL246">
        <v>1</v>
      </c>
      <c r="AM246">
        <f t="shared" si="181"/>
        <v>21.1628739310128</v>
      </c>
      <c r="AN246">
        <f t="shared" si="196"/>
        <v>97.646827970680789</v>
      </c>
      <c r="AO246">
        <f t="shared" si="197"/>
        <v>-987.68972683801212</v>
      </c>
      <c r="AQ246">
        <f t="shared" si="182"/>
        <v>9.7655296334996727E-2</v>
      </c>
      <c r="AR246">
        <f t="shared" si="183"/>
        <v>-31.249694827198955</v>
      </c>
      <c r="AT246">
        <f t="shared" si="209"/>
        <v>-123319.2446418316</v>
      </c>
      <c r="AU246">
        <f t="shared" si="210"/>
        <v>-149761.3868974392</v>
      </c>
      <c r="AV246">
        <f t="shared" si="198"/>
        <v>-2.2596663528372196</v>
      </c>
      <c r="AW246">
        <f t="shared" si="199"/>
        <v>-28274.903270244246</v>
      </c>
      <c r="AX246">
        <f t="shared" si="200"/>
        <v>-11502.092923006872</v>
      </c>
      <c r="AY246">
        <f t="shared" si="208"/>
        <v>-2.7552421669606169</v>
      </c>
      <c r="BA246">
        <f t="shared" si="184"/>
        <v>6.3554805605569067</v>
      </c>
      <c r="BB246">
        <f t="shared" si="201"/>
        <v>16.062967893732655</v>
      </c>
      <c r="BC246">
        <f t="shared" si="202"/>
        <v>0.49557581412339724</v>
      </c>
      <c r="BD246">
        <f t="shared" si="185"/>
        <v>-151.60559738952423</v>
      </c>
      <c r="BF246">
        <f t="shared" si="186"/>
        <v>-11.10804363943471</v>
      </c>
      <c r="BG246">
        <f t="shared" si="187"/>
        <v>-147.76201749746053</v>
      </c>
      <c r="BH246">
        <f t="shared" si="203"/>
        <v>32.237982502539467</v>
      </c>
      <c r="BI246">
        <f t="shared" si="204"/>
        <v>32.237982502539467</v>
      </c>
      <c r="BJ246">
        <f t="shared" si="188"/>
        <v>0</v>
      </c>
      <c r="BK246">
        <f t="shared" si="205"/>
        <v>0</v>
      </c>
      <c r="BM246">
        <f t="shared" si="206"/>
        <v>-27.171011533167363</v>
      </c>
      <c r="BN246">
        <f t="shared" si="189"/>
        <v>-176.15642010793633</v>
      </c>
      <c r="BQ246" s="66">
        <f t="shared" si="207"/>
        <v>32.964928694017786</v>
      </c>
      <c r="BR246" s="71"/>
      <c r="BS246" s="71"/>
      <c r="BT246" s="71">
        <v>22908.677</v>
      </c>
      <c r="BU246" s="71">
        <v>-3.37297</v>
      </c>
      <c r="BV246" s="71">
        <v>-167.03899999999999</v>
      </c>
      <c r="BY246" s="71"/>
      <c r="BZ246" s="71"/>
      <c r="CA246" s="71"/>
      <c r="CC246" s="71"/>
    </row>
    <row r="247" spans="1:81" ht="13" x14ac:dyDescent="0.3">
      <c r="A247">
        <f t="shared" si="211"/>
        <v>165000</v>
      </c>
      <c r="B247">
        <f t="shared" si="191"/>
        <v>165</v>
      </c>
      <c r="C247">
        <f t="shared" si="159"/>
        <v>1.0013425986105133</v>
      </c>
      <c r="D247">
        <f t="shared" si="160"/>
        <v>5.1789925409507151E-2</v>
      </c>
      <c r="F247">
        <f t="shared" si="161"/>
        <v>2.7416354811087306E-3</v>
      </c>
      <c r="G247">
        <f t="shared" si="162"/>
        <v>1.6346226885195429E-2</v>
      </c>
      <c r="H247">
        <f t="shared" si="163"/>
        <v>-3.1252464231148047</v>
      </c>
      <c r="J247">
        <f t="shared" si="164"/>
        <v>15</v>
      </c>
      <c r="M247">
        <f t="shared" si="165"/>
        <v>6.6568351537635729E-3</v>
      </c>
      <c r="N247">
        <f t="shared" si="166"/>
        <v>-1.5707963250000001</v>
      </c>
      <c r="O247">
        <f t="shared" si="167"/>
        <v>56.829654191878291</v>
      </c>
      <c r="P247">
        <f t="shared" si="168"/>
        <v>1.5531989715542678</v>
      </c>
      <c r="Q247">
        <f t="shared" si="169"/>
        <v>21.847112061515904</v>
      </c>
      <c r="R247">
        <f t="shared" si="170"/>
        <v>1.5250076881907544</v>
      </c>
      <c r="S247">
        <f t="shared" si="171"/>
        <v>0.99859968268881638</v>
      </c>
      <c r="T247">
        <f t="shared" si="172"/>
        <v>-5.2927199964460464E-2</v>
      </c>
      <c r="U247">
        <f t="shared" si="173"/>
        <v>0.77194491635828988</v>
      </c>
      <c r="V247">
        <f t="shared" si="174"/>
        <v>-0.68890129433474412</v>
      </c>
      <c r="X247">
        <f t="shared" si="192"/>
        <v>-11.622034990892251</v>
      </c>
      <c r="Y247">
        <f t="shared" si="175"/>
        <v>-132.23147765726605</v>
      </c>
      <c r="Z247">
        <f t="shared" si="193"/>
        <v>47.768522342733945</v>
      </c>
      <c r="AC247">
        <v>1</v>
      </c>
      <c r="AD247">
        <f t="shared" si="176"/>
        <v>56.820855287196004</v>
      </c>
      <c r="AE247">
        <f t="shared" si="177"/>
        <v>-5.8907633841199644E-3</v>
      </c>
      <c r="AF247">
        <f t="shared" si="178"/>
        <v>7.15340646405E-3</v>
      </c>
      <c r="AG247">
        <f t="shared" si="194"/>
        <v>4664.7385650322558</v>
      </c>
      <c r="AH247">
        <f t="shared" si="195"/>
        <v>-3981.1621607841098</v>
      </c>
      <c r="AJ247">
        <f t="shared" si="179"/>
        <v>21000</v>
      </c>
      <c r="AK247">
        <f t="shared" si="180"/>
        <v>1112.5102139959502</v>
      </c>
      <c r="AL247">
        <v>1</v>
      </c>
      <c r="AM247">
        <f t="shared" si="181"/>
        <v>21.824213741356949</v>
      </c>
      <c r="AN247">
        <f t="shared" si="196"/>
        <v>94.866983432956147</v>
      </c>
      <c r="AO247">
        <f t="shared" si="197"/>
        <v>-957.88710944265347</v>
      </c>
      <c r="AQ247">
        <f t="shared" si="182"/>
        <v>9.1826521335892239E-2</v>
      </c>
      <c r="AR247">
        <f t="shared" si="183"/>
        <v>-30.302752040844435</v>
      </c>
      <c r="AT247">
        <f t="shared" si="209"/>
        <v>-120211.82307726504</v>
      </c>
      <c r="AU247">
        <f t="shared" si="210"/>
        <v>-141719.99234363582</v>
      </c>
      <c r="AV247">
        <f t="shared" si="198"/>
        <v>-2.2742646826154065</v>
      </c>
      <c r="AW247">
        <f t="shared" si="199"/>
        <v>-26505.614865850435</v>
      </c>
      <c r="AX247">
        <f t="shared" si="200"/>
        <v>-11132.388577228099</v>
      </c>
      <c r="AY247">
        <f t="shared" si="208"/>
        <v>-2.7439636892522064</v>
      </c>
      <c r="BA247">
        <f t="shared" si="184"/>
        <v>6.4642317735485255</v>
      </c>
      <c r="BB247">
        <f t="shared" si="201"/>
        <v>16.210338391495881</v>
      </c>
      <c r="BC247">
        <f t="shared" si="202"/>
        <v>0.46969900663679987</v>
      </c>
      <c r="BD247">
        <f t="shared" si="185"/>
        <v>-153.08822924747295</v>
      </c>
      <c r="BF247">
        <f t="shared" si="186"/>
        <v>-11.495988347154922</v>
      </c>
      <c r="BG247">
        <f t="shared" si="187"/>
        <v>-149.18431528426498</v>
      </c>
      <c r="BH247">
        <f t="shared" si="203"/>
        <v>30.815684715735017</v>
      </c>
      <c r="BI247">
        <f t="shared" si="204"/>
        <v>30.815684715735017</v>
      </c>
      <c r="BJ247">
        <f t="shared" si="188"/>
        <v>0</v>
      </c>
      <c r="BK247">
        <f t="shared" si="205"/>
        <v>0</v>
      </c>
      <c r="BM247">
        <f t="shared" si="206"/>
        <v>-27.706326738650802</v>
      </c>
      <c r="BN247">
        <f t="shared" si="189"/>
        <v>-176.09608603679206</v>
      </c>
      <c r="BQ247" s="66">
        <f t="shared" si="207"/>
        <v>33.11229919178102</v>
      </c>
      <c r="BR247" s="71"/>
      <c r="BS247" s="71"/>
      <c r="BT247" s="71">
        <v>23442.288</v>
      </c>
      <c r="BU247" s="71">
        <v>-3.29522</v>
      </c>
      <c r="BV247" s="71">
        <v>-165.876</v>
      </c>
      <c r="BY247" s="71"/>
      <c r="BZ247" s="71"/>
      <c r="CA247" s="71"/>
      <c r="CC247" s="71"/>
    </row>
    <row r="248" spans="1:81" ht="13" x14ac:dyDescent="0.3">
      <c r="A248">
        <f t="shared" si="211"/>
        <v>170000</v>
      </c>
      <c r="B248">
        <f t="shared" si="191"/>
        <v>170</v>
      </c>
      <c r="C248">
        <f t="shared" si="159"/>
        <v>1.0014251423173857</v>
      </c>
      <c r="D248">
        <f t="shared" si="160"/>
        <v>5.3356383828577963E-2</v>
      </c>
      <c r="F248">
        <f t="shared" si="161"/>
        <v>2.5823404790061033E-3</v>
      </c>
      <c r="G248">
        <f t="shared" si="162"/>
        <v>1.5862994156379779E-2</v>
      </c>
      <c r="H248">
        <f t="shared" si="163"/>
        <v>-3.1257296558436205</v>
      </c>
      <c r="J248">
        <f t="shared" si="164"/>
        <v>15</v>
      </c>
      <c r="M248">
        <f t="shared" si="165"/>
        <v>6.4610458845352318E-3</v>
      </c>
      <c r="N248">
        <f t="shared" si="166"/>
        <v>-1.5707963250000001</v>
      </c>
      <c r="O248">
        <f t="shared" si="167"/>
        <v>58.551239538494571</v>
      </c>
      <c r="P248">
        <f t="shared" si="168"/>
        <v>1.5537164386496223</v>
      </c>
      <c r="Q248">
        <f t="shared" si="169"/>
        <v>22.507779066945233</v>
      </c>
      <c r="R248">
        <f t="shared" si="170"/>
        <v>1.5263526133488836</v>
      </c>
      <c r="S248">
        <f t="shared" si="171"/>
        <v>0.99851372107849667</v>
      </c>
      <c r="T248">
        <f t="shared" si="172"/>
        <v>-5.4527923825007464E-2</v>
      </c>
      <c r="U248">
        <f t="shared" si="173"/>
        <v>0.76252415569948795</v>
      </c>
      <c r="V248">
        <f t="shared" si="174"/>
        <v>-0.70359056630994854</v>
      </c>
      <c r="X248">
        <f t="shared" si="192"/>
        <v>-11.989950830503172</v>
      </c>
      <c r="Y248">
        <f t="shared" si="175"/>
        <v>-132.99605419157979</v>
      </c>
      <c r="Z248">
        <f t="shared" si="193"/>
        <v>47.003945808420212</v>
      </c>
      <c r="AC248">
        <v>1</v>
      </c>
      <c r="AD248">
        <f t="shared" si="176"/>
        <v>58.54269938680801</v>
      </c>
      <c r="AE248">
        <f t="shared" si="177"/>
        <v>-6.2531886795616906E-3</v>
      </c>
      <c r="AF248">
        <f t="shared" si="178"/>
        <v>7.3701763569000009E-3</v>
      </c>
      <c r="AG248">
        <f t="shared" si="194"/>
        <v>4551.5770389772179</v>
      </c>
      <c r="AH248">
        <f t="shared" si="195"/>
        <v>-3997.444374136704</v>
      </c>
      <c r="AJ248">
        <f t="shared" si="179"/>
        <v>21000</v>
      </c>
      <c r="AK248">
        <f t="shared" si="180"/>
        <v>1146.2226447231001</v>
      </c>
      <c r="AL248">
        <v>1</v>
      </c>
      <c r="AM248">
        <f t="shared" si="181"/>
        <v>22.485553551701102</v>
      </c>
      <c r="AN248">
        <f t="shared" si="196"/>
        <v>92.328147881502332</v>
      </c>
      <c r="AO248">
        <f t="shared" si="197"/>
        <v>-929.82686879579921</v>
      </c>
      <c r="AQ248">
        <f t="shared" si="182"/>
        <v>8.6504442003096857E-2</v>
      </c>
      <c r="AR248">
        <f t="shared" si="183"/>
        <v>-29.411510281052934</v>
      </c>
      <c r="AT248">
        <f t="shared" si="209"/>
        <v>-117177.14467586805</v>
      </c>
      <c r="AU248">
        <f t="shared" si="210"/>
        <v>-134214.55157190602</v>
      </c>
      <c r="AV248">
        <f t="shared" si="198"/>
        <v>-2.2885256132603882</v>
      </c>
      <c r="AW248">
        <f t="shared" si="199"/>
        <v>-24893.515534507966</v>
      </c>
      <c r="AX248">
        <f t="shared" si="200"/>
        <v>-10790.719175730161</v>
      </c>
      <c r="AY248">
        <f t="shared" si="208"/>
        <v>-2.7325654749205879</v>
      </c>
      <c r="BA248">
        <f t="shared" si="184"/>
        <v>6.5668141973960434</v>
      </c>
      <c r="BB248">
        <f t="shared" si="201"/>
        <v>16.347094569128821</v>
      </c>
      <c r="BC248">
        <f t="shared" si="202"/>
        <v>0.44403986166019971</v>
      </c>
      <c r="BD248">
        <f t="shared" si="185"/>
        <v>-154.55838996222633</v>
      </c>
      <c r="BF248">
        <f t="shared" si="186"/>
        <v>-11.878440373189118</v>
      </c>
      <c r="BG248">
        <f t="shared" si="187"/>
        <v>-150.59241173863572</v>
      </c>
      <c r="BH248">
        <f t="shared" si="203"/>
        <v>29.407588261364282</v>
      </c>
      <c r="BI248">
        <f t="shared" si="204"/>
        <v>29.407588261364282</v>
      </c>
      <c r="BJ248">
        <f t="shared" si="188"/>
        <v>0</v>
      </c>
      <c r="BK248">
        <f t="shared" si="205"/>
        <v>0</v>
      </c>
      <c r="BM248">
        <f t="shared" si="206"/>
        <v>-28.225534942317939</v>
      </c>
      <c r="BN248">
        <f t="shared" si="189"/>
        <v>-176.03402177640936</v>
      </c>
      <c r="BQ248" s="66">
        <f t="shared" si="207"/>
        <v>33.249055369413952</v>
      </c>
      <c r="BR248" s="71"/>
      <c r="BS248" s="71"/>
      <c r="BT248" s="71">
        <v>23988.329000000002</v>
      </c>
      <c r="BU248" s="71">
        <v>-3.2437399999999998</v>
      </c>
      <c r="BV248" s="71">
        <v>-164.703</v>
      </c>
      <c r="BY248" s="71"/>
      <c r="BZ248" s="71"/>
      <c r="CA248" s="71"/>
      <c r="CC248" s="71"/>
    </row>
    <row r="249" spans="1:81" ht="13" x14ac:dyDescent="0.3">
      <c r="A249">
        <f t="shared" si="211"/>
        <v>175000</v>
      </c>
      <c r="B249">
        <f t="shared" si="191"/>
        <v>175</v>
      </c>
      <c r="C249">
        <f t="shared" si="159"/>
        <v>1.0015101429046667</v>
      </c>
      <c r="D249">
        <f t="shared" si="160"/>
        <v>5.4922580192005493E-2</v>
      </c>
      <c r="F249">
        <f t="shared" si="161"/>
        <v>2.4365459115923195E-3</v>
      </c>
      <c r="G249">
        <f t="shared" si="162"/>
        <v>1.5407577357642572E-2</v>
      </c>
      <c r="H249">
        <f t="shared" si="163"/>
        <v>-3.1261850726423575</v>
      </c>
      <c r="J249">
        <f t="shared" si="164"/>
        <v>15</v>
      </c>
      <c r="M249">
        <f t="shared" si="165"/>
        <v>6.2764445735485116E-3</v>
      </c>
      <c r="N249">
        <f t="shared" si="166"/>
        <v>-1.5707963250000001</v>
      </c>
      <c r="O249">
        <f t="shared" si="167"/>
        <v>60.272839667852118</v>
      </c>
      <c r="P249">
        <f t="shared" si="168"/>
        <v>1.5542043445804039</v>
      </c>
      <c r="Q249">
        <f t="shared" si="169"/>
        <v>23.168484463035011</v>
      </c>
      <c r="R249">
        <f t="shared" si="170"/>
        <v>1.5276208331027172</v>
      </c>
      <c r="S249">
        <f t="shared" si="171"/>
        <v>0.99842521664903483</v>
      </c>
      <c r="T249">
        <f t="shared" si="172"/>
        <v>-5.6128368021745201E-2</v>
      </c>
      <c r="U249">
        <f t="shared" si="173"/>
        <v>0.75317389751815556</v>
      </c>
      <c r="V249">
        <f t="shared" si="174"/>
        <v>-0.71792262145368457</v>
      </c>
      <c r="X249">
        <f t="shared" si="192"/>
        <v>-12.350700223248332</v>
      </c>
      <c r="Y249">
        <f t="shared" si="175"/>
        <v>-133.7446575906902</v>
      </c>
      <c r="Z249">
        <f t="shared" si="193"/>
        <v>46.255342409309804</v>
      </c>
      <c r="AC249">
        <v>1</v>
      </c>
      <c r="AD249">
        <f t="shared" si="176"/>
        <v>60.264543486420003</v>
      </c>
      <c r="AE249">
        <f t="shared" si="177"/>
        <v>-6.6264326405389854E-3</v>
      </c>
      <c r="AF249">
        <f t="shared" si="178"/>
        <v>7.5869462497500009E-3</v>
      </c>
      <c r="AG249">
        <f t="shared" si="194"/>
        <v>4440.6363186427398</v>
      </c>
      <c r="AH249">
        <f t="shared" si="195"/>
        <v>-4010.2534596999012</v>
      </c>
      <c r="AJ249">
        <f t="shared" si="179"/>
        <v>21000</v>
      </c>
      <c r="AK249">
        <f t="shared" si="180"/>
        <v>1179.93507545025</v>
      </c>
      <c r="AL249">
        <v>1</v>
      </c>
      <c r="AM249">
        <f t="shared" si="181"/>
        <v>23.146893362045251</v>
      </c>
      <c r="AN249">
        <f t="shared" si="196"/>
        <v>90.003261786325652</v>
      </c>
      <c r="AO249">
        <f t="shared" si="197"/>
        <v>-903.36082735407206</v>
      </c>
      <c r="AQ249">
        <f t="shared" si="182"/>
        <v>8.1631986677659779E-2</v>
      </c>
      <c r="AR249">
        <f t="shared" si="183"/>
        <v>-28.571195337180921</v>
      </c>
      <c r="AT249">
        <f t="shared" si="209"/>
        <v>-114215.23698388771</v>
      </c>
      <c r="AU249">
        <f t="shared" si="210"/>
        <v>-127201.65263831796</v>
      </c>
      <c r="AV249">
        <f t="shared" si="198"/>
        <v>-2.3024537953804312</v>
      </c>
      <c r="AW249">
        <f t="shared" si="199"/>
        <v>-23420.801352907318</v>
      </c>
      <c r="AX249">
        <f t="shared" si="200"/>
        <v>-10473.813393391891</v>
      </c>
      <c r="AY249">
        <f t="shared" si="208"/>
        <v>-2.7210685439183071</v>
      </c>
      <c r="BA249">
        <f t="shared" si="184"/>
        <v>6.6633051376347971</v>
      </c>
      <c r="BB249">
        <f t="shared" si="201"/>
        <v>16.473794033805422</v>
      </c>
      <c r="BC249">
        <f t="shared" si="202"/>
        <v>0.41861474853787595</v>
      </c>
      <c r="BD249">
        <f t="shared" si="185"/>
        <v>-156.01514163944276</v>
      </c>
      <c r="BF249">
        <f t="shared" si="186"/>
        <v>-12.255781761493274</v>
      </c>
      <c r="BG249">
        <f t="shared" si="187"/>
        <v>-151.98552043475325</v>
      </c>
      <c r="BH249">
        <f t="shared" si="203"/>
        <v>28.014479565246745</v>
      </c>
      <c r="BI249">
        <f t="shared" si="204"/>
        <v>28.014479565246745</v>
      </c>
      <c r="BJ249">
        <f t="shared" si="188"/>
        <v>0</v>
      </c>
      <c r="BK249">
        <f t="shared" si="205"/>
        <v>0</v>
      </c>
      <c r="BM249">
        <f t="shared" si="206"/>
        <v>-28.729575795298693</v>
      </c>
      <c r="BN249">
        <f t="shared" si="189"/>
        <v>-175.97037879531049</v>
      </c>
      <c r="BQ249" s="66">
        <f t="shared" si="207"/>
        <v>33.375754834090557</v>
      </c>
      <c r="BR249" s="71"/>
      <c r="BS249" s="71"/>
      <c r="BT249" s="71">
        <v>24547.089</v>
      </c>
      <c r="BU249" s="71">
        <v>-3.1709299999999998</v>
      </c>
      <c r="BV249" s="71">
        <v>-163.65100000000001</v>
      </c>
      <c r="BY249" s="71"/>
      <c r="BZ249" s="71"/>
      <c r="CA249" s="71"/>
      <c r="CC249" s="71"/>
    </row>
    <row r="250" spans="1:81" ht="13" x14ac:dyDescent="0.3">
      <c r="A250">
        <f t="shared" si="211"/>
        <v>180000</v>
      </c>
      <c r="B250">
        <f t="shared" si="191"/>
        <v>180</v>
      </c>
      <c r="C250">
        <f t="shared" si="159"/>
        <v>1.0015975997468469</v>
      </c>
      <c r="D250">
        <f t="shared" si="160"/>
        <v>5.6488506883840633E-2</v>
      </c>
      <c r="F250">
        <f t="shared" si="161"/>
        <v>2.3027671602228448E-3</v>
      </c>
      <c r="G250">
        <f t="shared" si="162"/>
        <v>1.4977636832170611E-2</v>
      </c>
      <c r="H250">
        <f t="shared" si="163"/>
        <v>-3.1266150131678296</v>
      </c>
      <c r="J250">
        <f t="shared" si="164"/>
        <v>15</v>
      </c>
      <c r="M250">
        <f t="shared" si="165"/>
        <v>6.1020988909499417E-3</v>
      </c>
      <c r="N250">
        <f t="shared" si="166"/>
        <v>-1.5707963250000001</v>
      </c>
      <c r="O250">
        <f t="shared" si="167"/>
        <v>61.994453348390635</v>
      </c>
      <c r="P250">
        <f t="shared" si="168"/>
        <v>1.5546651518842849</v>
      </c>
      <c r="Q250">
        <f t="shared" si="169"/>
        <v>23.829225056448294</v>
      </c>
      <c r="R250">
        <f t="shared" si="170"/>
        <v>1.5288187238916486</v>
      </c>
      <c r="S250">
        <f t="shared" si="171"/>
        <v>0.99833417143651937</v>
      </c>
      <c r="T250">
        <f t="shared" si="172"/>
        <v>-5.7728524431323126E-2</v>
      </c>
      <c r="U250">
        <f t="shared" si="173"/>
        <v>0.74390289369930396</v>
      </c>
      <c r="V250">
        <f t="shared" si="174"/>
        <v>-0.731904656781736</v>
      </c>
      <c r="X250">
        <f t="shared" si="192"/>
        <v>-12.704625167794457</v>
      </c>
      <c r="Y250">
        <f t="shared" si="175"/>
        <v>-134.47732780053474</v>
      </c>
      <c r="Z250">
        <f t="shared" si="193"/>
        <v>45.522672199465262</v>
      </c>
      <c r="AC250">
        <v>1</v>
      </c>
      <c r="AD250">
        <f t="shared" si="176"/>
        <v>61.986387586032002</v>
      </c>
      <c r="AE250">
        <f t="shared" si="177"/>
        <v>-7.0104952670518592E-3</v>
      </c>
      <c r="AF250">
        <f t="shared" si="178"/>
        <v>7.8037161426000009E-3</v>
      </c>
      <c r="AG250">
        <f t="shared" si="194"/>
        <v>4331.9873711983628</v>
      </c>
      <c r="AH250">
        <f t="shared" si="195"/>
        <v>-4019.7998478533927</v>
      </c>
      <c r="AJ250">
        <f t="shared" si="179"/>
        <v>21000</v>
      </c>
      <c r="AK250">
        <f t="shared" si="180"/>
        <v>1213.6475061774001</v>
      </c>
      <c r="AL250">
        <v>1</v>
      </c>
      <c r="AM250">
        <f t="shared" si="181"/>
        <v>23.8082331723894</v>
      </c>
      <c r="AN250">
        <f t="shared" si="196"/>
        <v>87.868957251815118</v>
      </c>
      <c r="AO250">
        <f t="shared" si="197"/>
        <v>-878.35711668853071</v>
      </c>
      <c r="AQ250">
        <f t="shared" si="182"/>
        <v>7.7159898457573636E-2</v>
      </c>
      <c r="AR250">
        <f t="shared" si="183"/>
        <v>-27.777563444726507</v>
      </c>
      <c r="AT250">
        <f t="shared" si="209"/>
        <v>-111325.98960316842</v>
      </c>
      <c r="AU250">
        <f t="shared" si="210"/>
        <v>-120642.22139329666</v>
      </c>
      <c r="AV250">
        <f t="shared" si="198"/>
        <v>-2.3160543878539235</v>
      </c>
      <c r="AW250">
        <f t="shared" si="199"/>
        <v>-22072.099308266916</v>
      </c>
      <c r="AX250">
        <f t="shared" si="200"/>
        <v>-10178.881483951889</v>
      </c>
      <c r="AY250">
        <f t="shared" si="208"/>
        <v>-2.7094927323231954</v>
      </c>
      <c r="BA250">
        <f t="shared" si="184"/>
        <v>6.75379548949478</v>
      </c>
      <c r="BB250">
        <f t="shared" si="201"/>
        <v>16.590958114058235</v>
      </c>
      <c r="BC250">
        <f t="shared" si="202"/>
        <v>0.39343834446927195</v>
      </c>
      <c r="BD250">
        <f t="shared" si="185"/>
        <v>-157.45764333753806</v>
      </c>
      <c r="BF250">
        <f t="shared" si="186"/>
        <v>-12.628350655538277</v>
      </c>
      <c r="BG250">
        <f t="shared" si="187"/>
        <v>-153.36293491985634</v>
      </c>
      <c r="BH250">
        <f t="shared" si="203"/>
        <v>26.637065080143657</v>
      </c>
      <c r="BI250">
        <f t="shared" si="204"/>
        <v>26.637065080143657</v>
      </c>
      <c r="BJ250">
        <f t="shared" si="188"/>
        <v>0</v>
      </c>
      <c r="BK250">
        <f t="shared" si="205"/>
        <v>0</v>
      </c>
      <c r="BM250">
        <f t="shared" si="206"/>
        <v>-29.219308769596513</v>
      </c>
      <c r="BN250">
        <f t="shared" si="189"/>
        <v>-175.90529158231828</v>
      </c>
      <c r="BQ250" s="66">
        <f t="shared" si="207"/>
        <v>33.49291891434337</v>
      </c>
      <c r="BR250" s="71"/>
      <c r="BS250" s="71"/>
      <c r="BT250" s="71">
        <v>25118.864000000001</v>
      </c>
      <c r="BU250" s="71">
        <v>-3.1069800000000001</v>
      </c>
      <c r="BV250" s="71">
        <v>-162.52199999999999</v>
      </c>
      <c r="BY250" s="71"/>
      <c r="BZ250" s="71"/>
      <c r="CA250" s="71"/>
      <c r="CC250" s="71"/>
    </row>
    <row r="251" spans="1:81" ht="13" x14ac:dyDescent="0.3">
      <c r="A251">
        <f t="shared" si="211"/>
        <v>185000</v>
      </c>
      <c r="B251">
        <f t="shared" si="191"/>
        <v>185</v>
      </c>
      <c r="C251">
        <f t="shared" si="159"/>
        <v>1.0016875122005631</v>
      </c>
      <c r="D251">
        <f t="shared" si="160"/>
        <v>5.8054156296046808E-2</v>
      </c>
      <c r="F251">
        <f t="shared" si="161"/>
        <v>2.1797183435141826E-3</v>
      </c>
      <c r="G251">
        <f t="shared" si="162"/>
        <v>1.4571088680292445E-2</v>
      </c>
      <c r="H251">
        <f t="shared" si="163"/>
        <v>-3.1270215613197077</v>
      </c>
      <c r="J251">
        <f t="shared" si="164"/>
        <v>15</v>
      </c>
      <c r="M251">
        <f t="shared" si="165"/>
        <v>5.9371772993026461E-3</v>
      </c>
      <c r="N251">
        <f t="shared" si="166"/>
        <v>-1.5707963250000001</v>
      </c>
      <c r="O251">
        <f t="shared" si="167"/>
        <v>63.716079481648073</v>
      </c>
      <c r="P251">
        <f t="shared" si="168"/>
        <v>1.5551010569943791</v>
      </c>
      <c r="Q251">
        <f t="shared" si="169"/>
        <v>24.48999799831196</v>
      </c>
      <c r="R251">
        <f t="shared" si="170"/>
        <v>1.5299519748391042</v>
      </c>
      <c r="S251">
        <f t="shared" si="171"/>
        <v>0.99824058753448563</v>
      </c>
      <c r="T251">
        <f t="shared" si="172"/>
        <v>-5.9328384939206877E-2</v>
      </c>
      <c r="U251">
        <f t="shared" si="173"/>
        <v>0.73471892964703889</v>
      </c>
      <c r="V251">
        <f t="shared" si="174"/>
        <v>-0.74554406975250709</v>
      </c>
      <c r="X251">
        <f t="shared" si="192"/>
        <v>-13.052036716999888</v>
      </c>
      <c r="Y251">
        <f t="shared" si="175"/>
        <v>-135.19415622478633</v>
      </c>
      <c r="Z251">
        <f t="shared" si="193"/>
        <v>44.805843775213674</v>
      </c>
      <c r="AC251">
        <v>1</v>
      </c>
      <c r="AD251">
        <f t="shared" si="176"/>
        <v>63.708231685644009</v>
      </c>
      <c r="AE251">
        <f t="shared" si="177"/>
        <v>-7.4053765591003042E-3</v>
      </c>
      <c r="AF251">
        <f t="shared" si="178"/>
        <v>8.0204860354499991E-3</v>
      </c>
      <c r="AG251">
        <f t="shared" si="194"/>
        <v>4225.6852397316707</v>
      </c>
      <c r="AH251">
        <f t="shared" si="195"/>
        <v>-4026.2884665234915</v>
      </c>
      <c r="AJ251">
        <f t="shared" si="179"/>
        <v>21000</v>
      </c>
      <c r="AK251">
        <f t="shared" si="180"/>
        <v>1247.3599369045501</v>
      </c>
      <c r="AL251">
        <v>1</v>
      </c>
      <c r="AM251">
        <f t="shared" si="181"/>
        <v>24.469572982733553</v>
      </c>
      <c r="AN251">
        <f t="shared" si="196"/>
        <v>85.904970060824283</v>
      </c>
      <c r="AO251">
        <f t="shared" si="197"/>
        <v>-854.69799757833027</v>
      </c>
      <c r="AQ251">
        <f t="shared" si="182"/>
        <v>7.3045485423773385E-2</v>
      </c>
      <c r="AR251">
        <f t="shared" si="183"/>
        <v>-27.026829606796152</v>
      </c>
      <c r="AT251">
        <f t="shared" si="209"/>
        <v>-108509.1451029547</v>
      </c>
      <c r="AU251">
        <f t="shared" si="210"/>
        <v>-114500.97714167477</v>
      </c>
      <c r="AV251">
        <f t="shared" si="198"/>
        <v>-2.329332970225912</v>
      </c>
      <c r="AW251">
        <f t="shared" si="199"/>
        <v>-20834.080849791662</v>
      </c>
      <c r="AX251">
        <f t="shared" si="200"/>
        <v>-9903.5325510817529</v>
      </c>
      <c r="AY251">
        <f t="shared" si="208"/>
        <v>-2.6978567428572386</v>
      </c>
      <c r="BA251">
        <f t="shared" si="184"/>
        <v>6.8383886726977483</v>
      </c>
      <c r="BB251">
        <f t="shared" si="201"/>
        <v>16.699075622135823</v>
      </c>
      <c r="BC251">
        <f t="shared" si="202"/>
        <v>0.36852377263132663</v>
      </c>
      <c r="BD251">
        <f t="shared" si="185"/>
        <v>-158.88514315385899</v>
      </c>
      <c r="BF251">
        <f t="shared" si="186"/>
        <v>-12.996446424797048</v>
      </c>
      <c r="BG251">
        <f t="shared" si="187"/>
        <v>-154.72402312585629</v>
      </c>
      <c r="BH251">
        <f t="shared" si="203"/>
        <v>25.275976874143709</v>
      </c>
      <c r="BI251">
        <f t="shared" si="204"/>
        <v>25.275976874143709</v>
      </c>
      <c r="BJ251">
        <f t="shared" si="188"/>
        <v>0</v>
      </c>
      <c r="BK251">
        <f t="shared" si="205"/>
        <v>0</v>
      </c>
      <c r="BM251">
        <f t="shared" si="206"/>
        <v>-29.695522046932869</v>
      </c>
      <c r="BN251">
        <f t="shared" si="189"/>
        <v>-175.8388799719973</v>
      </c>
      <c r="BQ251" s="66">
        <f t="shared" si="207"/>
        <v>33.601036422420961</v>
      </c>
      <c r="BR251" s="71"/>
      <c r="BS251" s="71"/>
      <c r="BT251" s="71">
        <v>25703.957999999999</v>
      </c>
      <c r="BU251" s="71">
        <v>-3.0172699999999999</v>
      </c>
      <c r="BV251" s="71">
        <v>-161.32599999999999</v>
      </c>
      <c r="BY251" s="71"/>
      <c r="BZ251" s="71"/>
      <c r="CA251" s="71"/>
      <c r="CC251" s="71"/>
    </row>
    <row r="252" spans="1:81" ht="13" x14ac:dyDescent="0.3">
      <c r="A252">
        <f t="shared" si="211"/>
        <v>190000</v>
      </c>
      <c r="B252">
        <f t="shared" si="191"/>
        <v>190</v>
      </c>
      <c r="C252">
        <f t="shared" si="159"/>
        <v>1.001779879604622</v>
      </c>
      <c r="D252">
        <f t="shared" si="160"/>
        <v>5.961952082871895E-2</v>
      </c>
      <c r="F252">
        <f t="shared" si="161"/>
        <v>2.0662812072516582E-3</v>
      </c>
      <c r="G252">
        <f t="shared" si="162"/>
        <v>1.4186070677241897E-2</v>
      </c>
      <c r="H252">
        <f t="shared" si="163"/>
        <v>-3.1274065793227583</v>
      </c>
      <c r="J252">
        <f t="shared" si="164"/>
        <v>15</v>
      </c>
      <c r="M252">
        <f t="shared" si="165"/>
        <v>5.7809357914262605E-3</v>
      </c>
      <c r="N252">
        <f t="shared" si="166"/>
        <v>-1.5707963250000001</v>
      </c>
      <c r="O252">
        <f t="shared" si="167"/>
        <v>65.437717084754297</v>
      </c>
      <c r="P252">
        <f t="shared" si="168"/>
        <v>1.5555140252354529</v>
      </c>
      <c r="Q252">
        <f t="shared" si="169"/>
        <v>25.150800739007828</v>
      </c>
      <c r="R252">
        <f t="shared" si="170"/>
        <v>1.5310256778818458</v>
      </c>
      <c r="S252">
        <f t="shared" si="171"/>
        <v>0.99814446709378191</v>
      </c>
      <c r="T252">
        <f t="shared" si="172"/>
        <v>-6.09279414399218E-2</v>
      </c>
      <c r="U252">
        <f t="shared" si="173"/>
        <v>0.72562888505724699</v>
      </c>
      <c r="V252">
        <f t="shared" si="174"/>
        <v>-0.75884840990007452</v>
      </c>
      <c r="X252">
        <f t="shared" si="192"/>
        <v>-13.393218846508034</v>
      </c>
      <c r="Y252">
        <f t="shared" si="175"/>
        <v>-135.89527773723708</v>
      </c>
      <c r="Z252">
        <f t="shared" si="193"/>
        <v>44.10472226276292</v>
      </c>
      <c r="AC252">
        <v>1</v>
      </c>
      <c r="AD252">
        <f t="shared" si="176"/>
        <v>65.430075785256008</v>
      </c>
      <c r="AE252">
        <f t="shared" si="177"/>
        <v>-7.8110765166843248E-3</v>
      </c>
      <c r="AF252">
        <f t="shared" si="178"/>
        <v>8.2372559283E-3</v>
      </c>
      <c r="AG252">
        <f t="shared" si="194"/>
        <v>4121.7705358320654</v>
      </c>
      <c r="AH252">
        <f t="shared" si="195"/>
        <v>-4029.9178911696235</v>
      </c>
      <c r="AJ252">
        <f t="shared" si="179"/>
        <v>21000</v>
      </c>
      <c r="AK252">
        <f t="shared" si="180"/>
        <v>1281.0723676317002</v>
      </c>
      <c r="AL252">
        <v>1</v>
      </c>
      <c r="AM252">
        <f t="shared" si="181"/>
        <v>25.130912793077702</v>
      </c>
      <c r="AN252">
        <f t="shared" si="196"/>
        <v>84.093658081595336</v>
      </c>
      <c r="AO252">
        <f t="shared" si="197"/>
        <v>-832.27802006776608</v>
      </c>
      <c r="AQ252">
        <f t="shared" si="182"/>
        <v>6.92515979806234E-2</v>
      </c>
      <c r="AR252">
        <f t="shared" si="183"/>
        <v>-26.315607232636893</v>
      </c>
      <c r="AT252">
        <f t="shared" si="209"/>
        <v>-105764.29720768034</v>
      </c>
      <c r="AU252">
        <f t="shared" si="210"/>
        <v>-108745.97277770613</v>
      </c>
      <c r="AV252">
        <f t="shared" si="198"/>
        <v>-2.3422954653817651</v>
      </c>
      <c r="AW252">
        <f t="shared" si="199"/>
        <v>-19695.145217922345</v>
      </c>
      <c r="AX252">
        <f t="shared" si="200"/>
        <v>-9645.7078762374149</v>
      </c>
      <c r="AY252">
        <f t="shared" si="208"/>
        <v>-2.6861781867108117</v>
      </c>
      <c r="BA252">
        <f t="shared" si="184"/>
        <v>6.9171995327871274</v>
      </c>
      <c r="BB252">
        <f t="shared" si="201"/>
        <v>16.798606069417371</v>
      </c>
      <c r="BC252">
        <f t="shared" si="202"/>
        <v>0.34388272132904651</v>
      </c>
      <c r="BD252">
        <f t="shared" si="185"/>
        <v>-160.29697139785821</v>
      </c>
      <c r="BF252">
        <f t="shared" si="186"/>
        <v>-13.360334137235201</v>
      </c>
      <c r="BG252">
        <f t="shared" si="187"/>
        <v>-156.06822249526803</v>
      </c>
      <c r="BH252">
        <f t="shared" si="203"/>
        <v>23.931777504731969</v>
      </c>
      <c r="BI252">
        <f t="shared" si="204"/>
        <v>23.931777504731969</v>
      </c>
      <c r="BJ252">
        <f t="shared" si="188"/>
        <v>0</v>
      </c>
      <c r="BK252">
        <f t="shared" si="205"/>
        <v>0</v>
      </c>
      <c r="BM252">
        <f t="shared" si="206"/>
        <v>-30.158940206652574</v>
      </c>
      <c r="BN252">
        <f t="shared" si="189"/>
        <v>-175.77125109740982</v>
      </c>
      <c r="BQ252" s="66">
        <f t="shared" si="207"/>
        <v>33.700566869702506</v>
      </c>
      <c r="BR252" s="71"/>
      <c r="BS252" s="71"/>
      <c r="BT252" s="71">
        <v>26302.68</v>
      </c>
      <c r="BU252" s="71">
        <v>-2.9494799999999999</v>
      </c>
      <c r="BV252" s="71">
        <v>-160.22999999999999</v>
      </c>
      <c r="BY252" s="71"/>
      <c r="BZ252" s="71"/>
      <c r="CA252" s="71"/>
      <c r="CC252" s="71"/>
    </row>
    <row r="253" spans="1:81" ht="13" x14ac:dyDescent="0.3">
      <c r="A253">
        <f t="shared" si="211"/>
        <v>195000</v>
      </c>
      <c r="B253">
        <f t="shared" si="191"/>
        <v>195</v>
      </c>
      <c r="C253">
        <f t="shared" si="159"/>
        <v>1.0018747012800242</v>
      </c>
      <c r="D253">
        <f t="shared" si="160"/>
        <v>6.1184592890301849E-2</v>
      </c>
      <c r="F253">
        <f t="shared" si="161"/>
        <v>1.9614795544465108E-3</v>
      </c>
      <c r="G253">
        <f t="shared" si="162"/>
        <v>1.3820913508944427E-2</v>
      </c>
      <c r="H253">
        <f t="shared" si="163"/>
        <v>-3.1277717364910558</v>
      </c>
      <c r="J253">
        <f t="shared" si="164"/>
        <v>15</v>
      </c>
      <c r="M253">
        <f t="shared" si="165"/>
        <v>5.6327066685691769E-3</v>
      </c>
      <c r="N253">
        <f t="shared" si="166"/>
        <v>-1.5707963250000001</v>
      </c>
      <c r="O253">
        <f t="shared" si="167"/>
        <v>67.159365275616864</v>
      </c>
      <c r="P253">
        <f t="shared" si="168"/>
        <v>1.555905820439129</v>
      </c>
      <c r="Q253">
        <f t="shared" si="169"/>
        <v>25.811630989899136</v>
      </c>
      <c r="R253">
        <f t="shared" si="170"/>
        <v>1.5320444040860783</v>
      </c>
      <c r="S253">
        <f t="shared" si="171"/>
        <v>0.9980458123224335</v>
      </c>
      <c r="T253">
        <f t="shared" si="172"/>
        <v>-6.2527185837295968E-2</v>
      </c>
      <c r="U253">
        <f t="shared" si="173"/>
        <v>0.7166387942329856</v>
      </c>
      <c r="V253">
        <f t="shared" si="174"/>
        <v>-0.77182533511978557</v>
      </c>
      <c r="X253">
        <f t="shared" si="192"/>
        <v>-13.72843176102039</v>
      </c>
      <c r="Y253">
        <f t="shared" si="175"/>
        <v>-136.58086375580012</v>
      </c>
      <c r="Z253">
        <f t="shared" si="193"/>
        <v>43.419136244199876</v>
      </c>
      <c r="AC253">
        <v>1</v>
      </c>
      <c r="AD253">
        <f t="shared" si="176"/>
        <v>67.151919884868008</v>
      </c>
      <c r="AE253">
        <f t="shared" si="177"/>
        <v>-8.2275951398039174E-3</v>
      </c>
      <c r="AF253">
        <f t="shared" si="178"/>
        <v>8.4540258211499991E-3</v>
      </c>
      <c r="AG253">
        <f t="shared" si="194"/>
        <v>4020.2708644227487</v>
      </c>
      <c r="AH253">
        <f t="shared" si="195"/>
        <v>-4030.8796951585837</v>
      </c>
      <c r="AJ253">
        <f t="shared" si="179"/>
        <v>21000</v>
      </c>
      <c r="AK253">
        <f t="shared" si="180"/>
        <v>1314.7847983588501</v>
      </c>
      <c r="AL253">
        <v>1</v>
      </c>
      <c r="AM253">
        <f t="shared" si="181"/>
        <v>25.792252603421847</v>
      </c>
      <c r="AN253">
        <f t="shared" si="196"/>
        <v>82.419604613174101</v>
      </c>
      <c r="AO253">
        <f t="shared" si="197"/>
        <v>-811.00246329828906</v>
      </c>
      <c r="AQ253">
        <f t="shared" si="182"/>
        <v>6.5745787338676268E-2</v>
      </c>
      <c r="AR253">
        <f t="shared" si="183"/>
        <v>-25.640857062083747</v>
      </c>
      <c r="AT253">
        <f t="shared" si="209"/>
        <v>-103090.89422472073</v>
      </c>
      <c r="AU253">
        <f t="shared" si="210"/>
        <v>-103348.20394474926</v>
      </c>
      <c r="AV253">
        <f t="shared" si="198"/>
        <v>-2.3549480713256599</v>
      </c>
      <c r="AW253">
        <f t="shared" si="199"/>
        <v>-18645.158512228609</v>
      </c>
      <c r="AX253">
        <f t="shared" si="200"/>
        <v>-9403.6268448675019</v>
      </c>
      <c r="AY253">
        <f t="shared" si="208"/>
        <v>-2.674473619540068</v>
      </c>
      <c r="BA253">
        <f t="shared" si="184"/>
        <v>6.9903532218775313</v>
      </c>
      <c r="BB253">
        <f t="shared" si="201"/>
        <v>16.889982423172661</v>
      </c>
      <c r="BC253">
        <f t="shared" si="202"/>
        <v>0.31952554821440815</v>
      </c>
      <c r="BD253">
        <f t="shared" si="185"/>
        <v>-161.69253461979119</v>
      </c>
      <c r="BF253">
        <f t="shared" si="186"/>
        <v>-13.720248479446241</v>
      </c>
      <c r="BG253">
        <f t="shared" si="187"/>
        <v>-157.39503565796227</v>
      </c>
      <c r="BH253">
        <f t="shared" si="203"/>
        <v>22.604964342037732</v>
      </c>
      <c r="BI253">
        <f t="shared" si="204"/>
        <v>22.604964342037732</v>
      </c>
      <c r="BJ253">
        <f t="shared" si="188"/>
        <v>0</v>
      </c>
      <c r="BK253">
        <f t="shared" si="205"/>
        <v>0</v>
      </c>
      <c r="BM253">
        <f t="shared" si="206"/>
        <v>-30.610230902618902</v>
      </c>
      <c r="BN253">
        <f t="shared" si="189"/>
        <v>-175.70250103817111</v>
      </c>
      <c r="BQ253" s="66">
        <f t="shared" si="207"/>
        <v>33.7919432234578</v>
      </c>
      <c r="BR253" s="71"/>
      <c r="BS253" s="71"/>
      <c r="BT253" s="71">
        <v>26915.348000000002</v>
      </c>
      <c r="BU253" s="71">
        <v>-2.8411300000000002</v>
      </c>
      <c r="BV253" s="71">
        <v>-159.27600000000001</v>
      </c>
      <c r="BY253" s="71"/>
      <c r="BZ253" s="71"/>
      <c r="CA253" s="71"/>
      <c r="CC253" s="71"/>
    </row>
    <row r="254" spans="1:81" ht="13" x14ac:dyDescent="0.3">
      <c r="A254">
        <f t="shared" si="211"/>
        <v>200000</v>
      </c>
      <c r="B254">
        <f t="shared" si="191"/>
        <v>200</v>
      </c>
      <c r="C254">
        <f t="shared" si="159"/>
        <v>1.0019719765299895</v>
      </c>
      <c r="D254">
        <f t="shared" si="160"/>
        <v>6.2749364897807955E-2</v>
      </c>
      <c r="F254">
        <f t="shared" si="161"/>
        <v>1.8644581154050003E-3</v>
      </c>
      <c r="G254">
        <f t="shared" si="162"/>
        <v>1.3474116380730037E-2</v>
      </c>
      <c r="H254">
        <f t="shared" si="163"/>
        <v>-3.1281185336192703</v>
      </c>
      <c r="J254">
        <f t="shared" si="164"/>
        <v>15</v>
      </c>
      <c r="M254">
        <f t="shared" si="165"/>
        <v>5.4918890018549474E-3</v>
      </c>
      <c r="N254">
        <f t="shared" si="166"/>
        <v>-1.5707963250000001</v>
      </c>
      <c r="O254">
        <f t="shared" si="167"/>
        <v>68.881023260328064</v>
      </c>
      <c r="P254">
        <f t="shared" si="168"/>
        <v>1.5562780301191812</v>
      </c>
      <c r="Q254">
        <f t="shared" si="169"/>
        <v>26.472486690782532</v>
      </c>
      <c r="R254">
        <f t="shared" si="170"/>
        <v>1.533012268557522</v>
      </c>
      <c r="S254">
        <f t="shared" si="171"/>
        <v>0.997944625485502</v>
      </c>
      <c r="T254">
        <f t="shared" si="172"/>
        <v>-6.4126110044702339E-2</v>
      </c>
      <c r="U254">
        <f t="shared" si="173"/>
        <v>0.70775390532913784</v>
      </c>
      <c r="V254">
        <f t="shared" si="174"/>
        <v>-0.78448257237710484</v>
      </c>
      <c r="X254">
        <f t="shared" si="192"/>
        <v>-14.057914728736041</v>
      </c>
      <c r="Y254">
        <f t="shared" si="175"/>
        <v>-137.25111622730014</v>
      </c>
      <c r="Z254">
        <f t="shared" si="193"/>
        <v>42.748883772699855</v>
      </c>
      <c r="AC254">
        <v>1</v>
      </c>
      <c r="AD254">
        <f t="shared" si="176"/>
        <v>68.873763984480007</v>
      </c>
      <c r="AE254">
        <f t="shared" si="177"/>
        <v>-8.6549324284590848E-3</v>
      </c>
      <c r="AF254">
        <f t="shared" si="178"/>
        <v>8.670795714E-3</v>
      </c>
      <c r="AG254">
        <f t="shared" si="194"/>
        <v>3921.2021729734415</v>
      </c>
      <c r="AH254">
        <f t="shared" si="195"/>
        <v>-4029.3579733404467</v>
      </c>
      <c r="AJ254">
        <f t="shared" si="179"/>
        <v>21000</v>
      </c>
      <c r="AK254">
        <f t="shared" si="180"/>
        <v>1348.4972290860001</v>
      </c>
      <c r="AL254">
        <v>1</v>
      </c>
      <c r="AM254">
        <f t="shared" si="181"/>
        <v>26.453592413766</v>
      </c>
      <c r="AN254">
        <f t="shared" si="196"/>
        <v>80.869289978119625</v>
      </c>
      <c r="AO254">
        <f t="shared" si="197"/>
        <v>-790.78600678582779</v>
      </c>
      <c r="AQ254">
        <f t="shared" si="182"/>
        <v>6.2499609377441388E-2</v>
      </c>
      <c r="AR254">
        <f t="shared" si="183"/>
        <v>-24.999843750976556</v>
      </c>
      <c r="AT254">
        <f t="shared" si="209"/>
        <v>-100488.24614616191</v>
      </c>
      <c r="AU254">
        <f t="shared" si="210"/>
        <v>-98281.274939701441</v>
      </c>
      <c r="AV254">
        <f t="shared" si="198"/>
        <v>-2.3672972010560307</v>
      </c>
      <c r="AW254">
        <f t="shared" si="199"/>
        <v>-17675.237558824894</v>
      </c>
      <c r="AX254">
        <f t="shared" si="200"/>
        <v>-9175.742828048471</v>
      </c>
      <c r="AY254">
        <f t="shared" si="208"/>
        <v>-2.6627585737810069</v>
      </c>
      <c r="BA254">
        <f t="shared" si="184"/>
        <v>7.057984071346425</v>
      </c>
      <c r="BB254">
        <f t="shared" si="201"/>
        <v>16.973613477945264</v>
      </c>
      <c r="BC254">
        <f t="shared" si="202"/>
        <v>0.29546137272497619</v>
      </c>
      <c r="BD254">
        <f t="shared" si="185"/>
        <v>-163.07131031437328</v>
      </c>
      <c r="BF254">
        <f t="shared" si="186"/>
        <v>-14.076397206881081</v>
      </c>
      <c r="BG254">
        <f t="shared" si="187"/>
        <v>-158.70402653232824</v>
      </c>
      <c r="BH254">
        <f t="shared" si="203"/>
        <v>21.295973467671757</v>
      </c>
      <c r="BI254">
        <f t="shared" si="204"/>
        <v>21.295973467671757</v>
      </c>
      <c r="BJ254">
        <f t="shared" si="188"/>
        <v>0</v>
      </c>
      <c r="BK254">
        <f t="shared" si="205"/>
        <v>0</v>
      </c>
      <c r="BM254">
        <f t="shared" si="206"/>
        <v>-31.050010684826344</v>
      </c>
      <c r="BN254">
        <f t="shared" si="189"/>
        <v>-175.63271621795496</v>
      </c>
      <c r="BQ254" s="66">
        <f t="shared" si="207"/>
        <v>33.875574278230403</v>
      </c>
      <c r="BR254" s="71"/>
      <c r="BS254" s="71"/>
      <c r="BT254" s="71">
        <v>27542.287</v>
      </c>
      <c r="BU254" s="71">
        <v>-2.7366600000000001</v>
      </c>
      <c r="BV254" s="71">
        <v>-158.108</v>
      </c>
      <c r="BY254" s="71"/>
      <c r="BZ254" s="71"/>
      <c r="CA254" s="71"/>
      <c r="CC254" s="71"/>
    </row>
    <row r="255" spans="1:81" ht="13" x14ac:dyDescent="0.3">
      <c r="A255">
        <f t="shared" si="211"/>
        <v>205000</v>
      </c>
      <c r="B255">
        <f t="shared" si="191"/>
        <v>205</v>
      </c>
      <c r="C255">
        <f t="shared" si="159"/>
        <v>1.0020717046399819</v>
      </c>
      <c r="D255">
        <f t="shared" si="160"/>
        <v>6.4313829277034412E-2</v>
      </c>
      <c r="F255">
        <f t="shared" si="161"/>
        <v>1.7744649976040589E-3</v>
      </c>
      <c r="G255">
        <f t="shared" si="162"/>
        <v>1.3144326241357916E-2</v>
      </c>
      <c r="H255">
        <f t="shared" si="163"/>
        <v>-3.1284483237586422</v>
      </c>
      <c r="J255">
        <f t="shared" si="164"/>
        <v>15</v>
      </c>
      <c r="M255">
        <f t="shared" si="165"/>
        <v>5.3579404896145827E-3</v>
      </c>
      <c r="N255">
        <f t="shared" si="166"/>
        <v>-1.5707963250000001</v>
      </c>
      <c r="O255">
        <f t="shared" si="167"/>
        <v>70.602690322414176</v>
      </c>
      <c r="P255">
        <f t="shared" si="168"/>
        <v>1.5566320869645034</v>
      </c>
      <c r="Q255">
        <f t="shared" si="169"/>
        <v>27.13336598209089</v>
      </c>
      <c r="R255">
        <f t="shared" si="170"/>
        <v>1.5339329858850697</v>
      </c>
      <c r="S255">
        <f t="shared" si="171"/>
        <v>0.99784090890494226</v>
      </c>
      <c r="T255">
        <f t="shared" si="172"/>
        <v>-6.5724705985300239E-2</v>
      </c>
      <c r="U255">
        <f t="shared" si="173"/>
        <v>0.69897873803317168</v>
      </c>
      <c r="V255">
        <f t="shared" si="174"/>
        <v>-0.79682788258976234</v>
      </c>
      <c r="X255">
        <f t="shared" si="192"/>
        <v>-14.381888518400391</v>
      </c>
      <c r="Y255">
        <f t="shared" si="175"/>
        <v>-137.90626239760186</v>
      </c>
      <c r="Z255">
        <f t="shared" si="193"/>
        <v>42.093737602398136</v>
      </c>
      <c r="AC255">
        <v>1</v>
      </c>
      <c r="AD255">
        <f t="shared" si="176"/>
        <v>70.595608084092007</v>
      </c>
      <c r="AE255">
        <f t="shared" si="177"/>
        <v>-9.0930883826498277E-3</v>
      </c>
      <c r="AF255">
        <f t="shared" si="178"/>
        <v>8.8875656068500009E-3</v>
      </c>
      <c r="AG255">
        <f t="shared" si="194"/>
        <v>3824.5700199319153</v>
      </c>
      <c r="AH255">
        <f t="shared" si="195"/>
        <v>-4025.5290143004786</v>
      </c>
      <c r="AJ255">
        <f t="shared" si="179"/>
        <v>21000</v>
      </c>
      <c r="AK255">
        <f t="shared" si="180"/>
        <v>1382.2096598131502</v>
      </c>
      <c r="AL255">
        <v>1</v>
      </c>
      <c r="AM255">
        <f t="shared" si="181"/>
        <v>27.114932224110152</v>
      </c>
      <c r="AN255">
        <f t="shared" si="196"/>
        <v>79.430818271020712</v>
      </c>
      <c r="AO255">
        <f t="shared" si="197"/>
        <v>-771.551594111187</v>
      </c>
      <c r="AQ255">
        <f t="shared" si="182"/>
        <v>5.9488045877180984E-2</v>
      </c>
      <c r="AR255">
        <f t="shared" si="183"/>
        <v>-24.390098809644201</v>
      </c>
      <c r="AT255">
        <f t="shared" si="209"/>
        <v>-97955.5342230721</v>
      </c>
      <c r="AU255">
        <f t="shared" si="210"/>
        <v>-93521.111545224936</v>
      </c>
      <c r="AV255">
        <f t="shared" si="198"/>
        <v>-2.3793494296612465</v>
      </c>
      <c r="AW255">
        <f t="shared" si="199"/>
        <v>-16777.569996016951</v>
      </c>
      <c r="AX255">
        <f t="shared" si="200"/>
        <v>-8960.7069840318145</v>
      </c>
      <c r="AY255">
        <f t="shared" si="208"/>
        <v>-2.6510475888569141</v>
      </c>
      <c r="BA255">
        <f t="shared" si="184"/>
        <v>7.1202344683667844</v>
      </c>
      <c r="BB255">
        <f t="shared" si="201"/>
        <v>17.049885902628308</v>
      </c>
      <c r="BC255">
        <f t="shared" si="202"/>
        <v>0.27169815919566753</v>
      </c>
      <c r="BD255">
        <f t="shared" si="185"/>
        <v>-164.43284215882662</v>
      </c>
      <c r="BF255">
        <f t="shared" si="186"/>
        <v>-14.428964191501919</v>
      </c>
      <c r="BG255">
        <f t="shared" si="187"/>
        <v>-159.99481675368358</v>
      </c>
      <c r="BH255">
        <f t="shared" si="203"/>
        <v>20.00518324631642</v>
      </c>
      <c r="BI255">
        <f t="shared" si="204"/>
        <v>20.00518324631642</v>
      </c>
      <c r="BJ255">
        <f t="shared" si="188"/>
        <v>0</v>
      </c>
      <c r="BK255">
        <f t="shared" si="205"/>
        <v>0</v>
      </c>
      <c r="BM255">
        <f t="shared" si="206"/>
        <v>-31.47885009413023</v>
      </c>
      <c r="BN255">
        <f t="shared" si="189"/>
        <v>-175.56197459485696</v>
      </c>
      <c r="BQ255" s="66">
        <f t="shared" si="207"/>
        <v>33.951846702913443</v>
      </c>
      <c r="BR255" s="71"/>
      <c r="BS255" s="71"/>
      <c r="BT255" s="71">
        <v>28183.829000000002</v>
      </c>
      <c r="BU255" s="71">
        <v>-2.6523400000000001</v>
      </c>
      <c r="BV255" s="71">
        <v>-157.06299999999999</v>
      </c>
      <c r="BY255" s="71"/>
      <c r="BZ255" s="71"/>
      <c r="CA255" s="71"/>
      <c r="CC255" s="71"/>
    </row>
    <row r="256" spans="1:81" ht="13" x14ac:dyDescent="0.3">
      <c r="A256">
        <f t="shared" si="211"/>
        <v>210000</v>
      </c>
      <c r="B256">
        <f t="shared" si="191"/>
        <v>210</v>
      </c>
      <c r="C256">
        <f t="shared" si="159"/>
        <v>1.002173884877736</v>
      </c>
      <c r="D256">
        <f t="shared" si="160"/>
        <v>6.5877978462779652E-2</v>
      </c>
      <c r="F256">
        <f t="shared" si="161"/>
        <v>1.6908370383077779E-3</v>
      </c>
      <c r="G256">
        <f t="shared" si="162"/>
        <v>1.2830320011335461E-2</v>
      </c>
      <c r="H256">
        <f t="shared" si="163"/>
        <v>-3.1287623299886649</v>
      </c>
      <c r="J256">
        <f t="shared" si="164"/>
        <v>15</v>
      </c>
      <c r="M256">
        <f t="shared" si="165"/>
        <v>5.230370477957093E-3</v>
      </c>
      <c r="N256">
        <f t="shared" si="166"/>
        <v>-1.5707963250000001</v>
      </c>
      <c r="O256">
        <f t="shared" si="167"/>
        <v>72.324365813619934</v>
      </c>
      <c r="P256">
        <f t="shared" si="168"/>
        <v>1.5569692872631358</v>
      </c>
      <c r="Q256">
        <f t="shared" si="169"/>
        <v>27.794267181057467</v>
      </c>
      <c r="R256">
        <f t="shared" si="170"/>
        <v>1.5348099176897814</v>
      </c>
      <c r="S256">
        <f t="shared" si="171"/>
        <v>0.99773466495945329</v>
      </c>
      <c r="T256">
        <f t="shared" si="172"/>
        <v>-6.7322965592276129E-2</v>
      </c>
      <c r="U256">
        <f t="shared" si="173"/>
        <v>0.69031713929564986</v>
      </c>
      <c r="V256">
        <f t="shared" si="174"/>
        <v>-0.80886902942053895</v>
      </c>
      <c r="X256">
        <f t="shared" si="192"/>
        <v>-14.700557500510033</v>
      </c>
      <c r="Y256">
        <f t="shared" si="175"/>
        <v>-138.54655026183644</v>
      </c>
      <c r="Z256">
        <f t="shared" si="193"/>
        <v>41.453449738163556</v>
      </c>
      <c r="AC256">
        <v>1</v>
      </c>
      <c r="AD256">
        <f t="shared" si="176"/>
        <v>72.317452183704006</v>
      </c>
      <c r="AE256">
        <f t="shared" si="177"/>
        <v>-9.5420630023761426E-3</v>
      </c>
      <c r="AF256">
        <f t="shared" si="178"/>
        <v>9.1043354997E-3</v>
      </c>
      <c r="AG256">
        <f t="shared" si="194"/>
        <v>3730.3707594860452</v>
      </c>
      <c r="AH256">
        <f t="shared" si="195"/>
        <v>-4019.5610992634729</v>
      </c>
      <c r="AJ256">
        <f t="shared" si="179"/>
        <v>21000</v>
      </c>
      <c r="AK256">
        <f t="shared" si="180"/>
        <v>1415.9220905403001</v>
      </c>
      <c r="AL256">
        <v>1</v>
      </c>
      <c r="AM256">
        <f t="shared" si="181"/>
        <v>27.776272034454301</v>
      </c>
      <c r="AN256">
        <f t="shared" si="196"/>
        <v>78.093688929037796</v>
      </c>
      <c r="AO256">
        <f t="shared" si="197"/>
        <v>-753.22945732670576</v>
      </c>
      <c r="AQ256">
        <f t="shared" si="182"/>
        <v>5.6689021037295707E-2</v>
      </c>
      <c r="AR256">
        <f t="shared" si="183"/>
        <v>-23.809388835664198</v>
      </c>
      <c r="AT256">
        <f t="shared" si="209"/>
        <v>-95491.822094612435</v>
      </c>
      <c r="AU256">
        <f t="shared" si="210"/>
        <v>-89045.712897512072</v>
      </c>
      <c r="AV256">
        <f t="shared" si="198"/>
        <v>-2.391111447865383</v>
      </c>
      <c r="AW256">
        <f t="shared" si="199"/>
        <v>-15945.263803317195</v>
      </c>
      <c r="AX256">
        <f t="shared" si="200"/>
        <v>-8757.3384004068321</v>
      </c>
      <c r="AY256">
        <f t="shared" si="208"/>
        <v>-2.6393542404122656</v>
      </c>
      <c r="BA256">
        <f t="shared" si="184"/>
        <v>7.1772537473433875</v>
      </c>
      <c r="BB256">
        <f t="shared" si="201"/>
        <v>17.11916601430206</v>
      </c>
      <c r="BC256">
        <f t="shared" si="202"/>
        <v>0.24824279254688264</v>
      </c>
      <c r="BD256">
        <f t="shared" si="185"/>
        <v>-165.77673567626954</v>
      </c>
      <c r="BF256">
        <f t="shared" si="186"/>
        <v>-14.778112122216712</v>
      </c>
      <c r="BG256">
        <f t="shared" si="187"/>
        <v>-161.26708235589373</v>
      </c>
      <c r="BH256">
        <f t="shared" si="203"/>
        <v>18.732917644106266</v>
      </c>
      <c r="BI256">
        <f t="shared" si="204"/>
        <v>18.732917644106266</v>
      </c>
      <c r="BJ256">
        <f t="shared" si="188"/>
        <v>0</v>
      </c>
      <c r="BK256">
        <f t="shared" si="205"/>
        <v>0</v>
      </c>
      <c r="BM256">
        <f t="shared" si="206"/>
        <v>-31.897278136518775</v>
      </c>
      <c r="BN256">
        <f t="shared" si="189"/>
        <v>-175.49034667962422</v>
      </c>
      <c r="BQ256" s="66">
        <f t="shared" si="207"/>
        <v>34.021126814587198</v>
      </c>
      <c r="BR256" s="71"/>
      <c r="BS256" s="71"/>
      <c r="BT256" s="71">
        <v>28840.314999999999</v>
      </c>
      <c r="BU256" s="71">
        <v>-2.5506799999999998</v>
      </c>
      <c r="BV256" s="71">
        <v>-156.01</v>
      </c>
      <c r="BY256" s="71"/>
      <c r="BZ256" s="71"/>
      <c r="CA256" s="71"/>
      <c r="CC256" s="71"/>
    </row>
    <row r="257" spans="1:81" ht="13" x14ac:dyDescent="0.3">
      <c r="A257">
        <f t="shared" si="211"/>
        <v>215000</v>
      </c>
      <c r="B257">
        <f t="shared" si="191"/>
        <v>215</v>
      </c>
      <c r="C257">
        <f t="shared" si="159"/>
        <v>1.0022785164932837</v>
      </c>
      <c r="D257">
        <f t="shared" si="160"/>
        <v>6.744180489905921E-2</v>
      </c>
      <c r="F257">
        <f t="shared" si="161"/>
        <v>1.6129875236580737E-3</v>
      </c>
      <c r="G257">
        <f t="shared" si="162"/>
        <v>1.2530989319910995E-2</v>
      </c>
      <c r="H257">
        <f t="shared" si="163"/>
        <v>-3.1290616606800894</v>
      </c>
      <c r="J257">
        <f t="shared" si="164"/>
        <v>15</v>
      </c>
      <c r="M257">
        <f t="shared" si="165"/>
        <v>5.1087339552139044E-3</v>
      </c>
      <c r="N257">
        <f t="shared" si="166"/>
        <v>-1.5707963250000001</v>
      </c>
      <c r="O257">
        <f t="shared" si="167"/>
        <v>74.046049145978415</v>
      </c>
      <c r="P257">
        <f t="shared" si="168"/>
        <v>1.5572908067566749</v>
      </c>
      <c r="Q257">
        <f t="shared" si="169"/>
        <v>28.455188761198215</v>
      </c>
      <c r="R257">
        <f t="shared" si="170"/>
        <v>1.5356461135597692</v>
      </c>
      <c r="S257">
        <f t="shared" si="171"/>
        <v>0.99762589608433028</v>
      </c>
      <c r="T257">
        <f t="shared" si="172"/>
        <v>-6.8920880809083582E-2</v>
      </c>
      <c r="U257">
        <f t="shared" si="173"/>
        <v>0.68177233681779348</v>
      </c>
      <c r="V257">
        <f t="shared" si="174"/>
        <v>-0.82061375171190443</v>
      </c>
      <c r="X257">
        <f t="shared" si="192"/>
        <v>-15.014111463789563</v>
      </c>
      <c r="Y257">
        <f t="shared" si="175"/>
        <v>-139.17224460574266</v>
      </c>
      <c r="Z257">
        <f t="shared" si="193"/>
        <v>40.827755394257338</v>
      </c>
      <c r="AC257">
        <v>1</v>
      </c>
      <c r="AD257">
        <f t="shared" si="176"/>
        <v>74.039296283316006</v>
      </c>
      <c r="AE257">
        <f t="shared" si="177"/>
        <v>-1.0001856287638028E-2</v>
      </c>
      <c r="AF257">
        <f t="shared" si="178"/>
        <v>9.3211053925500009E-3</v>
      </c>
      <c r="AG257">
        <f t="shared" si="194"/>
        <v>3638.5926416459843</v>
      </c>
      <c r="AH257">
        <f t="shared" si="195"/>
        <v>-4011.6144079742808</v>
      </c>
      <c r="AJ257">
        <f t="shared" si="179"/>
        <v>21000</v>
      </c>
      <c r="AK257">
        <f t="shared" si="180"/>
        <v>1449.6345212674501</v>
      </c>
      <c r="AL257">
        <v>1</v>
      </c>
      <c r="AM257">
        <f t="shared" si="181"/>
        <v>28.437611844798454</v>
      </c>
      <c r="AN257">
        <f t="shared" si="196"/>
        <v>76.848604917990912</v>
      </c>
      <c r="AO257">
        <f t="shared" si="197"/>
        <v>-735.75627620464491</v>
      </c>
      <c r="AQ257">
        <f t="shared" si="182"/>
        <v>5.4082995765301428E-2</v>
      </c>
      <c r="AR257">
        <f t="shared" si="183"/>
        <v>-23.255688179079616</v>
      </c>
      <c r="AT257">
        <f t="shared" si="209"/>
        <v>-93096.067776123164</v>
      </c>
      <c r="AU257">
        <f t="shared" si="210"/>
        <v>-84834.936009851095</v>
      </c>
      <c r="AV257">
        <f t="shared" si="198"/>
        <v>-2.4025900213421632</v>
      </c>
      <c r="AW257">
        <f t="shared" si="199"/>
        <v>-15172.22089254747</v>
      </c>
      <c r="AX257">
        <f t="shared" si="200"/>
        <v>-8564.5993429624814</v>
      </c>
      <c r="AY257">
        <f t="shared" si="208"/>
        <v>-2.6276911693598608</v>
      </c>
      <c r="BA257">
        <f t="shared" si="184"/>
        <v>7.2291971063138547</v>
      </c>
      <c r="BB257">
        <f t="shared" si="201"/>
        <v>17.18180132165805</v>
      </c>
      <c r="BC257">
        <f t="shared" si="202"/>
        <v>0.22510114801769765</v>
      </c>
      <c r="BD257">
        <f t="shared" si="185"/>
        <v>-167.10265424029893</v>
      </c>
      <c r="BF257">
        <f t="shared" si="186"/>
        <v>-15.1239849039228</v>
      </c>
      <c r="BG257">
        <f t="shared" si="187"/>
        <v>-162.52055065044789</v>
      </c>
      <c r="BH257">
        <f t="shared" si="203"/>
        <v>17.479449349552112</v>
      </c>
      <c r="BI257">
        <f t="shared" si="204"/>
        <v>17.479449349552112</v>
      </c>
      <c r="BJ257">
        <f t="shared" si="188"/>
        <v>0</v>
      </c>
      <c r="BK257">
        <f t="shared" si="205"/>
        <v>0</v>
      </c>
      <c r="BM257">
        <f t="shared" si="206"/>
        <v>-32.305786225580853</v>
      </c>
      <c r="BN257">
        <f t="shared" si="189"/>
        <v>-175.41789641014898</v>
      </c>
      <c r="BQ257" s="66">
        <f t="shared" si="207"/>
        <v>34.083762121943181</v>
      </c>
      <c r="BR257" s="71"/>
      <c r="BS257" s="71"/>
      <c r="BT257" s="71">
        <v>29512.092000000001</v>
      </c>
      <c r="BU257" s="71">
        <v>-2.44991</v>
      </c>
      <c r="BV257" s="71">
        <v>-155.03200000000001</v>
      </c>
      <c r="BY257" s="71"/>
      <c r="BZ257" s="71"/>
      <c r="CA257" s="71"/>
      <c r="CC257" s="71"/>
    </row>
    <row r="258" spans="1:81" ht="13" x14ac:dyDescent="0.3">
      <c r="A258">
        <f t="shared" si="211"/>
        <v>220000</v>
      </c>
      <c r="B258">
        <f t="shared" si="191"/>
        <v>220</v>
      </c>
      <c r="C258">
        <f t="shared" si="159"/>
        <v>1.0023855987189814</v>
      </c>
      <c r="D258">
        <f t="shared" si="160"/>
        <v>6.9005301039320857E-2</v>
      </c>
      <c r="F258">
        <f t="shared" si="161"/>
        <v>1.5403958469601096E-3</v>
      </c>
      <c r="G258">
        <f t="shared" si="162"/>
        <v>1.2245327346533301E-2</v>
      </c>
      <c r="H258">
        <f t="shared" si="163"/>
        <v>-3.1293473226534667</v>
      </c>
      <c r="J258">
        <f t="shared" si="164"/>
        <v>15</v>
      </c>
      <c r="M258">
        <f t="shared" si="165"/>
        <v>4.9926263653226792E-3</v>
      </c>
      <c r="N258">
        <f t="shared" si="166"/>
        <v>-1.5707963250000001</v>
      </c>
      <c r="O258">
        <f t="shared" si="167"/>
        <v>75.767739784962075</v>
      </c>
      <c r="P258">
        <f t="shared" si="168"/>
        <v>1.5575977143336639</v>
      </c>
      <c r="Q258">
        <f t="shared" si="169"/>
        <v>29.116129334585779</v>
      </c>
      <c r="R258">
        <f t="shared" si="170"/>
        <v>1.5364443464195945</v>
      </c>
      <c r="S258">
        <f t="shared" si="171"/>
        <v>0.99751460477130871</v>
      </c>
      <c r="T258">
        <f t="shared" si="172"/>
        <v>-7.0518443589682525E-2</v>
      </c>
      <c r="U258">
        <f t="shared" si="173"/>
        <v>0.67334699008451659</v>
      </c>
      <c r="V258">
        <f t="shared" si="174"/>
        <v>-0.83206973929302452</v>
      </c>
      <c r="X258">
        <f t="shared" si="192"/>
        <v>-15.322727189568885</v>
      </c>
      <c r="Y258">
        <f t="shared" si="175"/>
        <v>-139.78362356235047</v>
      </c>
      <c r="Z258">
        <f t="shared" si="193"/>
        <v>40.216376437649529</v>
      </c>
      <c r="AC258">
        <v>1</v>
      </c>
      <c r="AD258">
        <f t="shared" si="176"/>
        <v>75.761140382928005</v>
      </c>
      <c r="AE258">
        <f t="shared" si="177"/>
        <v>-1.0472468238435492E-2</v>
      </c>
      <c r="AF258">
        <f t="shared" si="178"/>
        <v>9.5378752854E-3</v>
      </c>
      <c r="AG258">
        <f t="shared" si="194"/>
        <v>3549.21682815751</v>
      </c>
      <c r="AH258">
        <f t="shared" si="195"/>
        <v>-4001.8410140702049</v>
      </c>
      <c r="AJ258">
        <f t="shared" si="179"/>
        <v>21000</v>
      </c>
      <c r="AK258">
        <f t="shared" si="180"/>
        <v>1483.3469519946</v>
      </c>
      <c r="AL258">
        <v>1</v>
      </c>
      <c r="AM258">
        <f t="shared" si="181"/>
        <v>29.098951655142599</v>
      </c>
      <c r="AN258">
        <f t="shared" si="196"/>
        <v>75.687310979323087</v>
      </c>
      <c r="AO258">
        <f t="shared" si="197"/>
        <v>-719.07445110046638</v>
      </c>
      <c r="AQ258">
        <f t="shared" si="182"/>
        <v>5.1652625761230572E-2</v>
      </c>
      <c r="AR258">
        <f t="shared" si="183"/>
        <v>-22.72715533494145</v>
      </c>
      <c r="AT258">
        <f t="shared" si="209"/>
        <v>-90767.135983942877</v>
      </c>
      <c r="AU258">
        <f t="shared" si="210"/>
        <v>-80870.307767179635</v>
      </c>
      <c r="AV258">
        <f t="shared" si="198"/>
        <v>-2.4137919551895122</v>
      </c>
      <c r="AW258">
        <f t="shared" si="199"/>
        <v>-14453.030461914379</v>
      </c>
      <c r="AX258">
        <f t="shared" si="200"/>
        <v>-8381.5746407760162</v>
      </c>
      <c r="AY258">
        <f t="shared" si="208"/>
        <v>-2.6160701112589306</v>
      </c>
      <c r="BA258">
        <f t="shared" si="184"/>
        <v>7.2762245572547366</v>
      </c>
      <c r="BB258">
        <f t="shared" si="201"/>
        <v>17.238121873996334</v>
      </c>
      <c r="BC258">
        <f t="shared" si="202"/>
        <v>0.20227815606941846</v>
      </c>
      <c r="BD258">
        <f t="shared" si="185"/>
        <v>-168.4103153562906</v>
      </c>
      <c r="BF258">
        <f t="shared" si="186"/>
        <v>-15.4667097933711</v>
      </c>
      <c r="BG258">
        <f t="shared" si="187"/>
        <v>-163.75499726167581</v>
      </c>
      <c r="BH258">
        <f t="shared" si="203"/>
        <v>16.245002738324189</v>
      </c>
      <c r="BI258">
        <f t="shared" si="204"/>
        <v>16.245002738324189</v>
      </c>
      <c r="BJ258">
        <f t="shared" si="188"/>
        <v>0</v>
      </c>
      <c r="BK258">
        <f t="shared" si="205"/>
        <v>0</v>
      </c>
      <c r="BM258">
        <f t="shared" si="206"/>
        <v>-32.704831667367436</v>
      </c>
      <c r="BN258">
        <f t="shared" si="189"/>
        <v>-175.34468190538522</v>
      </c>
      <c r="BQ258" s="66">
        <f t="shared" si="207"/>
        <v>34.140082674281473</v>
      </c>
      <c r="BR258" s="71"/>
      <c r="BS258" s="71"/>
      <c r="BT258" s="71">
        <v>30199.517</v>
      </c>
      <c r="BU258" s="71">
        <v>-2.3553299999999999</v>
      </c>
      <c r="BV258" s="71">
        <v>-154.00200000000001</v>
      </c>
      <c r="BY258" s="71"/>
      <c r="BZ258" s="71"/>
      <c r="CA258" s="71"/>
      <c r="CC258" s="71"/>
    </row>
    <row r="259" spans="1:81" ht="13" x14ac:dyDescent="0.3">
      <c r="A259">
        <f t="shared" si="211"/>
        <v>225000</v>
      </c>
      <c r="B259">
        <f t="shared" si="191"/>
        <v>225</v>
      </c>
      <c r="C259">
        <f t="shared" si="159"/>
        <v>1.0024951307695378</v>
      </c>
      <c r="D259">
        <f t="shared" si="160"/>
        <v>7.056845934665909E-2</v>
      </c>
      <c r="F259">
        <f t="shared" si="161"/>
        <v>1.4725987637930818E-3</v>
      </c>
      <c r="G259">
        <f t="shared" si="162"/>
        <v>1.1972417435420765E-2</v>
      </c>
      <c r="H259">
        <f t="shared" si="163"/>
        <v>-3.1296202325645797</v>
      </c>
      <c r="J259">
        <f t="shared" si="164"/>
        <v>15</v>
      </c>
      <c r="M259">
        <f t="shared" si="165"/>
        <v>4.8816791127599532E-3</v>
      </c>
      <c r="N259">
        <f t="shared" si="166"/>
        <v>-1.5707963250000001</v>
      </c>
      <c r="O259">
        <f t="shared" si="167"/>
        <v>77.489437243546519</v>
      </c>
      <c r="P259">
        <f t="shared" si="168"/>
        <v>1.5578909838979604</v>
      </c>
      <c r="Q259">
        <f t="shared" si="169"/>
        <v>29.777087636481909</v>
      </c>
      <c r="R259">
        <f t="shared" si="170"/>
        <v>1.53720714319709</v>
      </c>
      <c r="S259">
        <f t="shared" si="171"/>
        <v>0.99740079356840661</v>
      </c>
      <c r="T259">
        <f t="shared" si="172"/>
        <v>-7.2115645898777558E-2</v>
      </c>
      <c r="U259">
        <f t="shared" si="173"/>
        <v>0.66504323880073268</v>
      </c>
      <c r="V259">
        <f t="shared" si="174"/>
        <v>-0.84324461189327571</v>
      </c>
      <c r="X259">
        <f t="shared" si="192"/>
        <v>-15.626569819746976</v>
      </c>
      <c r="Y259">
        <f t="shared" si="175"/>
        <v>-140.38097561906577</v>
      </c>
      <c r="Z259">
        <f t="shared" si="193"/>
        <v>39.619024380934235</v>
      </c>
      <c r="AC259">
        <v>1</v>
      </c>
      <c r="AD259">
        <f t="shared" si="176"/>
        <v>77.482984482540004</v>
      </c>
      <c r="AE259">
        <f t="shared" si="177"/>
        <v>-1.095389885476853E-2</v>
      </c>
      <c r="AF259">
        <f t="shared" si="178"/>
        <v>9.7546451782499991E-3</v>
      </c>
      <c r="AG259">
        <f t="shared" si="194"/>
        <v>3462.2183259634221</v>
      </c>
      <c r="AH259">
        <f t="shared" si="195"/>
        <v>-3990.3849544953441</v>
      </c>
      <c r="AJ259">
        <f t="shared" si="179"/>
        <v>21000</v>
      </c>
      <c r="AK259">
        <f t="shared" si="180"/>
        <v>1517.0593827217501</v>
      </c>
      <c r="AL259">
        <v>1</v>
      </c>
      <c r="AM259">
        <f t="shared" si="181"/>
        <v>29.760291465486748</v>
      </c>
      <c r="AN259">
        <f t="shared" si="196"/>
        <v>74.602456673886394</v>
      </c>
      <c r="AO259">
        <f t="shared" si="197"/>
        <v>-703.1314719344557</v>
      </c>
      <c r="AQ259">
        <f t="shared" si="182"/>
        <v>4.9382472185322539E-2</v>
      </c>
      <c r="AR259">
        <f t="shared" si="183"/>
        <v>-22.222112483395144</v>
      </c>
      <c r="AT259">
        <f t="shared" si="209"/>
        <v>-88503.810410661754</v>
      </c>
      <c r="AU259">
        <f t="shared" si="210"/>
        <v>-77134.860155655304</v>
      </c>
      <c r="AV259">
        <f t="shared" si="198"/>
        <v>-2.4247240630208542</v>
      </c>
      <c r="AW259">
        <f t="shared" si="199"/>
        <v>-13782.878659551168</v>
      </c>
      <c r="AX259">
        <f t="shared" si="200"/>
        <v>-8207.4544394452605</v>
      </c>
      <c r="AY259">
        <f t="shared" si="208"/>
        <v>-2.6045019263347018</v>
      </c>
      <c r="BA259">
        <f t="shared" si="184"/>
        <v>7.318499918036113</v>
      </c>
      <c r="BB259">
        <f t="shared" si="201"/>
        <v>17.288441446080917</v>
      </c>
      <c r="BC259">
        <f t="shared" si="202"/>
        <v>0.1797778633138476</v>
      </c>
      <c r="BD259">
        <f t="shared" si="185"/>
        <v>-169.69948717046668</v>
      </c>
      <c r="BF259">
        <f t="shared" si="186"/>
        <v>-15.806399303944822</v>
      </c>
      <c r="BG259">
        <f t="shared" si="187"/>
        <v>-164.97024328814018</v>
      </c>
      <c r="BH259">
        <f t="shared" si="203"/>
        <v>15.029756711859818</v>
      </c>
      <c r="BI259">
        <f t="shared" si="204"/>
        <v>15.029756711859818</v>
      </c>
      <c r="BJ259">
        <f t="shared" si="188"/>
        <v>0</v>
      </c>
      <c r="BK259">
        <f t="shared" si="205"/>
        <v>0</v>
      </c>
      <c r="BM259">
        <f t="shared" si="206"/>
        <v>-33.094840750025739</v>
      </c>
      <c r="BN259">
        <f t="shared" si="189"/>
        <v>-175.27075611767353</v>
      </c>
      <c r="BQ259" s="66">
        <f t="shared" si="207"/>
        <v>34.190402246366055</v>
      </c>
      <c r="BR259" s="71"/>
      <c r="BS259" s="71"/>
      <c r="BT259" s="71">
        <v>30902.954000000002</v>
      </c>
      <c r="BU259" s="71">
        <v>-2.2543500000000001</v>
      </c>
      <c r="BV259" s="71">
        <v>-152.994</v>
      </c>
      <c r="BY259" s="71"/>
      <c r="BZ259" s="71"/>
      <c r="CA259" s="71"/>
      <c r="CC259" s="71"/>
    </row>
    <row r="260" spans="1:81" ht="13" x14ac:dyDescent="0.3">
      <c r="A260">
        <f t="shared" si="211"/>
        <v>230000</v>
      </c>
      <c r="B260">
        <f t="shared" si="191"/>
        <v>230</v>
      </c>
      <c r="C260">
        <f t="shared" si="159"/>
        <v>1.0026071118420437</v>
      </c>
      <c r="D260">
        <f t="shared" si="160"/>
        <v>7.2131272294028978E-2</v>
      </c>
      <c r="F260">
        <f t="shared" si="161"/>
        <v>1.4091829681365656E-3</v>
      </c>
      <c r="G260">
        <f t="shared" si="162"/>
        <v>1.1711423210270185E-2</v>
      </c>
      <c r="H260">
        <f t="shared" si="163"/>
        <v>-3.1298812267897302</v>
      </c>
      <c r="J260">
        <f t="shared" si="164"/>
        <v>15</v>
      </c>
      <c r="M260">
        <f t="shared" si="165"/>
        <v>4.7755556537869108E-3</v>
      </c>
      <c r="N260">
        <f t="shared" si="166"/>
        <v>-1.5707963250000001</v>
      </c>
      <c r="O260">
        <f t="shared" si="167"/>
        <v>79.211141077048509</v>
      </c>
      <c r="P260">
        <f t="shared" si="168"/>
        <v>1.5581715046896731</v>
      </c>
      <c r="Q260">
        <f t="shared" si="169"/>
        <v>30.438062511970323</v>
      </c>
      <c r="R260">
        <f t="shared" si="170"/>
        <v>1.5379368115009713</v>
      </c>
      <c r="S260">
        <f t="shared" si="171"/>
        <v>0.99728446507976498</v>
      </c>
      <c r="T260">
        <f t="shared" si="172"/>
        <v>-7.3712479712055634E-2</v>
      </c>
      <c r="U260">
        <f t="shared" si="173"/>
        <v>0.65686274864735539</v>
      </c>
      <c r="V260">
        <f t="shared" si="174"/>
        <v>-0.85414590090343523</v>
      </c>
      <c r="X260">
        <f t="shared" si="192"/>
        <v>-15.925794048319627</v>
      </c>
      <c r="Y260">
        <f t="shared" si="175"/>
        <v>-140.9645970191898</v>
      </c>
      <c r="Z260">
        <f t="shared" si="193"/>
        <v>39.035402980810204</v>
      </c>
      <c r="AC260">
        <v>1</v>
      </c>
      <c r="AD260">
        <f t="shared" si="176"/>
        <v>79.204828582152004</v>
      </c>
      <c r="AE260">
        <f t="shared" si="177"/>
        <v>-1.1446148136637142E-2</v>
      </c>
      <c r="AF260">
        <f t="shared" si="178"/>
        <v>9.9714150711E-3</v>
      </c>
      <c r="AG260">
        <f t="shared" si="194"/>
        <v>3377.5668408604292</v>
      </c>
      <c r="AH260">
        <f t="shared" si="195"/>
        <v>-3977.382359383309</v>
      </c>
      <c r="AJ260">
        <f t="shared" si="179"/>
        <v>21000</v>
      </c>
      <c r="AK260">
        <f t="shared" si="180"/>
        <v>1550.7718134489</v>
      </c>
      <c r="AL260">
        <v>1</v>
      </c>
      <c r="AM260">
        <f t="shared" si="181"/>
        <v>30.421631275830901</v>
      </c>
      <c r="AN260">
        <f t="shared" si="196"/>
        <v>73.587479972913783</v>
      </c>
      <c r="AO260">
        <f t="shared" si="197"/>
        <v>-687.87936880467385</v>
      </c>
      <c r="AQ260">
        <f t="shared" si="182"/>
        <v>4.7258755865993068E-2</v>
      </c>
      <c r="AR260">
        <f t="shared" si="183"/>
        <v>-21.739027698356814</v>
      </c>
      <c r="AT260">
        <f t="shared" si="209"/>
        <v>-86304.805670836227</v>
      </c>
      <c r="AU260">
        <f t="shared" si="210"/>
        <v>-73612.9852484242</v>
      </c>
      <c r="AV260">
        <f t="shared" si="198"/>
        <v>-2.4353931401846314</v>
      </c>
      <c r="AW260">
        <f t="shared" si="199"/>
        <v>-13157.471767727791</v>
      </c>
      <c r="AX260">
        <f t="shared" si="200"/>
        <v>-8041.5197109286319</v>
      </c>
      <c r="AY260">
        <f t="shared" si="208"/>
        <v>-2.5929966302921721</v>
      </c>
      <c r="BA260">
        <f t="shared" si="184"/>
        <v>7.3561898525351035</v>
      </c>
      <c r="BB260">
        <f t="shared" si="201"/>
        <v>17.333058584361524</v>
      </c>
      <c r="BC260">
        <f t="shared" si="202"/>
        <v>0.15760349010754071</v>
      </c>
      <c r="BD260">
        <f t="shared" si="185"/>
        <v>-170.96998516998781</v>
      </c>
      <c r="BF260">
        <f t="shared" si="186"/>
        <v>-16.143152906510455</v>
      </c>
      <c r="BG260">
        <f t="shared" si="187"/>
        <v>-166.1661525691018</v>
      </c>
      <c r="BH260">
        <f t="shared" si="203"/>
        <v>13.833847430898203</v>
      </c>
      <c r="BI260">
        <f t="shared" si="204"/>
        <v>13.833847430898203</v>
      </c>
      <c r="BJ260">
        <f t="shared" si="188"/>
        <v>0</v>
      </c>
      <c r="BK260">
        <f t="shared" si="205"/>
        <v>0</v>
      </c>
      <c r="BM260">
        <f t="shared" si="206"/>
        <v>-33.476211490871975</v>
      </c>
      <c r="BN260">
        <f t="shared" si="189"/>
        <v>-175.19616739911402</v>
      </c>
      <c r="BQ260" s="66">
        <f t="shared" si="207"/>
        <v>34.235019384646662</v>
      </c>
      <c r="BR260" s="71"/>
      <c r="BS260" s="71"/>
      <c r="BT260" s="71">
        <v>31622.776999999998</v>
      </c>
      <c r="BU260" s="71">
        <v>-2.1282199999999998</v>
      </c>
      <c r="BV260" s="71">
        <v>-152.041</v>
      </c>
      <c r="BY260" s="71"/>
      <c r="BZ260" s="71"/>
      <c r="CA260" s="71"/>
      <c r="CC260" s="71"/>
    </row>
    <row r="261" spans="1:81" ht="13" x14ac:dyDescent="0.3">
      <c r="A261">
        <f t="shared" si="211"/>
        <v>235000</v>
      </c>
      <c r="B261">
        <f t="shared" si="191"/>
        <v>235</v>
      </c>
      <c r="C261">
        <f t="shared" si="159"/>
        <v>1.0027215411159995</v>
      </c>
      <c r="D261">
        <f t="shared" si="160"/>
        <v>7.3693732364459114E-2</v>
      </c>
      <c r="F261">
        <f t="shared" si="161"/>
        <v>1.3497787661834323E-3</v>
      </c>
      <c r="G261">
        <f t="shared" si="162"/>
        <v>1.1461579963184618E-2</v>
      </c>
      <c r="H261">
        <f t="shared" si="163"/>
        <v>-3.1301310700368155</v>
      </c>
      <c r="J261">
        <f t="shared" si="164"/>
        <v>15</v>
      </c>
      <c r="M261">
        <f t="shared" si="165"/>
        <v>4.6739480866850609E-3</v>
      </c>
      <c r="N261">
        <f t="shared" si="166"/>
        <v>-1.5707963250000001</v>
      </c>
      <c r="O261">
        <f t="shared" si="167"/>
        <v>80.932850878622631</v>
      </c>
      <c r="P261">
        <f t="shared" si="168"/>
        <v>1.5584400902890334</v>
      </c>
      <c r="Q261">
        <f t="shared" si="169"/>
        <v>31.09905290429267</v>
      </c>
      <c r="R261">
        <f t="shared" si="170"/>
        <v>1.5386354629015999</v>
      </c>
      <c r="S261">
        <f t="shared" si="171"/>
        <v>0.99716562196548209</v>
      </c>
      <c r="T261">
        <f t="shared" si="172"/>
        <v>-7.5308937016422786E-2</v>
      </c>
      <c r="U261">
        <f t="shared" si="173"/>
        <v>0.64880675432227231</v>
      </c>
      <c r="V261">
        <f t="shared" si="174"/>
        <v>-0.86478103373531667</v>
      </c>
      <c r="X261">
        <f t="shared" si="192"/>
        <v>-16.220545161734524</v>
      </c>
      <c r="Y261">
        <f t="shared" si="175"/>
        <v>-141.53478950939845</v>
      </c>
      <c r="Z261">
        <f t="shared" si="193"/>
        <v>38.46521049060155</v>
      </c>
      <c r="AC261">
        <v>1</v>
      </c>
      <c r="AD261">
        <f t="shared" si="176"/>
        <v>80.926672681764003</v>
      </c>
      <c r="AE261">
        <f t="shared" si="177"/>
        <v>-1.1949216084041323E-2</v>
      </c>
      <c r="AF261">
        <f t="shared" si="178"/>
        <v>1.0188184963950001E-2</v>
      </c>
      <c r="AG261">
        <f t="shared" si="194"/>
        <v>3295.2275546930459</v>
      </c>
      <c r="AH261">
        <f t="shared" si="195"/>
        <v>-3962.9616305533386</v>
      </c>
      <c r="AJ261">
        <f t="shared" si="179"/>
        <v>21000</v>
      </c>
      <c r="AK261">
        <f t="shared" si="180"/>
        <v>1584.4842441760502</v>
      </c>
      <c r="AL261">
        <v>1</v>
      </c>
      <c r="AM261">
        <f t="shared" si="181"/>
        <v>31.08297108617505</v>
      </c>
      <c r="AN261">
        <f t="shared" si="196"/>
        <v>72.636507948384519</v>
      </c>
      <c r="AO261">
        <f t="shared" si="197"/>
        <v>-673.27423218430999</v>
      </c>
      <c r="AQ261">
        <f t="shared" si="182"/>
        <v>4.526914771775592E-2</v>
      </c>
      <c r="AR261">
        <f t="shared" si="183"/>
        <v>-21.276499427345282</v>
      </c>
      <c r="AT261">
        <f t="shared" si="209"/>
        <v>-84168.778720122413</v>
      </c>
      <c r="AU261">
        <f t="shared" si="210"/>
        <v>-70290.307075852295</v>
      </c>
      <c r="AV261">
        <f t="shared" si="198"/>
        <v>-2.4458059406721921</v>
      </c>
      <c r="AW261">
        <f t="shared" si="199"/>
        <v>-12572.970644412015</v>
      </c>
      <c r="AX261">
        <f t="shared" si="200"/>
        <v>-7883.1300303340367</v>
      </c>
      <c r="AY261">
        <f t="shared" si="208"/>
        <v>-2.5815634259588411</v>
      </c>
      <c r="BA261">
        <f t="shared" si="184"/>
        <v>7.3894629641847693</v>
      </c>
      <c r="BB261">
        <f t="shared" si="201"/>
        <v>17.37225753605323</v>
      </c>
      <c r="BC261">
        <f t="shared" si="202"/>
        <v>0.13575748528664899</v>
      </c>
      <c r="BD261">
        <f t="shared" si="185"/>
        <v>-172.22166904687759</v>
      </c>
      <c r="BF261">
        <f t="shared" si="186"/>
        <v>-16.477058549495947</v>
      </c>
      <c r="BG261">
        <f t="shared" si="187"/>
        <v>-167.34262904181011</v>
      </c>
      <c r="BH261">
        <f t="shared" si="203"/>
        <v>12.657370958189887</v>
      </c>
      <c r="BI261">
        <f t="shared" si="204"/>
        <v>12.657370958189887</v>
      </c>
      <c r="BJ261">
        <f t="shared" si="188"/>
        <v>0</v>
      </c>
      <c r="BK261">
        <f t="shared" si="205"/>
        <v>0</v>
      </c>
      <c r="BM261">
        <f t="shared" si="206"/>
        <v>-33.849316085549177</v>
      </c>
      <c r="BN261">
        <f t="shared" si="189"/>
        <v>-175.12095999493255</v>
      </c>
      <c r="BQ261" s="66">
        <f t="shared" si="207"/>
        <v>34.274218336338365</v>
      </c>
      <c r="BR261" s="71"/>
      <c r="BS261" s="71"/>
      <c r="BT261" s="71">
        <v>32359.366000000002</v>
      </c>
      <c r="BU261" s="71">
        <v>-2.03586</v>
      </c>
      <c r="BV261" s="71">
        <v>-151.05000000000001</v>
      </c>
      <c r="BY261" s="71"/>
      <c r="BZ261" s="71"/>
      <c r="CA261" s="71"/>
      <c r="CC261" s="71"/>
    </row>
    <row r="262" spans="1:81" ht="13" x14ac:dyDescent="0.3">
      <c r="A262">
        <f t="shared" si="211"/>
        <v>240000</v>
      </c>
      <c r="B262">
        <f t="shared" si="191"/>
        <v>240</v>
      </c>
      <c r="C262">
        <f t="shared" si="159"/>
        <v>1.0028384177533465</v>
      </c>
      <c r="D262">
        <f t="shared" si="160"/>
        <v>7.5255832051264057E-2</v>
      </c>
      <c r="F262">
        <f t="shared" si="161"/>
        <v>1.2940546661214687E-3</v>
      </c>
      <c r="G262">
        <f t="shared" si="162"/>
        <v>1.1222187130008332E-2</v>
      </c>
      <c r="H262">
        <f t="shared" si="163"/>
        <v>-3.1303704628699918</v>
      </c>
      <c r="J262">
        <f t="shared" si="164"/>
        <v>15</v>
      </c>
      <c r="M262">
        <f t="shared" si="165"/>
        <v>4.576574168212456E-3</v>
      </c>
      <c r="N262">
        <f t="shared" si="166"/>
        <v>-1.5707963250000001</v>
      </c>
      <c r="O262">
        <f t="shared" si="167"/>
        <v>82.654566275320761</v>
      </c>
      <c r="P262">
        <f t="shared" si="168"/>
        <v>1.5586974864951963</v>
      </c>
      <c r="Q262">
        <f t="shared" si="169"/>
        <v>31.760057844639828</v>
      </c>
      <c r="R262">
        <f t="shared" si="170"/>
        <v>1.539305033308852</v>
      </c>
      <c r="S262">
        <f t="shared" si="171"/>
        <v>0.99704426694144688</v>
      </c>
      <c r="T262">
        <f t="shared" si="172"/>
        <v>-7.6905009810240038E-2</v>
      </c>
      <c r="U262">
        <f t="shared" si="173"/>
        <v>0.64087609987170391</v>
      </c>
      <c r="V262">
        <f t="shared" si="174"/>
        <v>-0.87515732054210671</v>
      </c>
      <c r="X262">
        <f t="shared" si="192"/>
        <v>-16.510959949426301</v>
      </c>
      <c r="Y262">
        <f t="shared" si="175"/>
        <v>-142.09185839101849</v>
      </c>
      <c r="Z262">
        <f t="shared" si="193"/>
        <v>37.908141608981509</v>
      </c>
      <c r="AC262">
        <v>1</v>
      </c>
      <c r="AD262">
        <f t="shared" si="176"/>
        <v>82.648516781376003</v>
      </c>
      <c r="AE262">
        <f t="shared" si="177"/>
        <v>-1.2463102696981081E-2</v>
      </c>
      <c r="AF262">
        <f t="shared" si="178"/>
        <v>1.04049548568E-2</v>
      </c>
      <c r="AG262">
        <f t="shared" si="194"/>
        <v>3215.1618299194638</v>
      </c>
      <c r="AH262">
        <f t="shared" si="195"/>
        <v>-3947.2436583286699</v>
      </c>
      <c r="AJ262">
        <f t="shared" si="179"/>
        <v>21000</v>
      </c>
      <c r="AK262">
        <f t="shared" si="180"/>
        <v>1618.1966749031999</v>
      </c>
      <c r="AL262">
        <v>1</v>
      </c>
      <c r="AM262">
        <f t="shared" si="181"/>
        <v>31.744310896519202</v>
      </c>
      <c r="AN262">
        <f t="shared" si="196"/>
        <v>71.744271752239015</v>
      </c>
      <c r="AO262">
        <f t="shared" si="197"/>
        <v>-659.27579264423616</v>
      </c>
      <c r="AQ262">
        <f t="shared" si="182"/>
        <v>4.3402589398483515E-2</v>
      </c>
      <c r="AR262">
        <f t="shared" si="183"/>
        <v>-20.833242911272087</v>
      </c>
      <c r="AT262">
        <f t="shared" si="209"/>
        <v>-82094.339615185789</v>
      </c>
      <c r="AU262">
        <f t="shared" si="210"/>
        <v>-67153.567997520469</v>
      </c>
      <c r="AV262">
        <f t="shared" si="198"/>
        <v>-2.455969157317444</v>
      </c>
      <c r="AW262">
        <f t="shared" si="199"/>
        <v>-12025.934576539494</v>
      </c>
      <c r="AX262">
        <f t="shared" si="200"/>
        <v>-7731.7132254715034</v>
      </c>
      <c r="AY262">
        <f t="shared" si="208"/>
        <v>-2.5702107357050719</v>
      </c>
      <c r="BA262">
        <f t="shared" si="184"/>
        <v>7.4184889470306832</v>
      </c>
      <c r="BB262">
        <f t="shared" si="201"/>
        <v>17.406309079176172</v>
      </c>
      <c r="BC262">
        <f t="shared" si="202"/>
        <v>0.11424157838762783</v>
      </c>
      <c r="BD262">
        <f t="shared" si="185"/>
        <v>-173.45443970599658</v>
      </c>
      <c r="BF262">
        <f t="shared" si="186"/>
        <v>-16.808194018087526</v>
      </c>
      <c r="BG262">
        <f t="shared" si="187"/>
        <v>-168.49961418059655</v>
      </c>
      <c r="BH262">
        <f t="shared" si="203"/>
        <v>11.500385819403448</v>
      </c>
      <c r="BI262">
        <f t="shared" si="204"/>
        <v>11.500385819403448</v>
      </c>
      <c r="BJ262">
        <f t="shared" si="188"/>
        <v>0</v>
      </c>
      <c r="BK262">
        <f t="shared" si="205"/>
        <v>0</v>
      </c>
      <c r="BM262">
        <f t="shared" si="206"/>
        <v>-34.214503097263695</v>
      </c>
      <c r="BN262">
        <f t="shared" si="189"/>
        <v>-175.04517447459997</v>
      </c>
      <c r="BQ262" s="66">
        <f t="shared" si="207"/>
        <v>34.308269879461307</v>
      </c>
      <c r="BR262" s="71"/>
      <c r="BS262" s="71"/>
      <c r="BT262" s="71">
        <v>33113.112000000001</v>
      </c>
      <c r="BU262" s="71">
        <v>-1.91717</v>
      </c>
      <c r="BV262" s="71">
        <v>-150.17400000000001</v>
      </c>
      <c r="BY262" s="71"/>
      <c r="BZ262" s="71"/>
      <c r="CA262" s="71"/>
      <c r="CC262" s="71"/>
    </row>
    <row r="263" spans="1:81" ht="13" x14ac:dyDescent="0.3">
      <c r="A263">
        <f t="shared" si="211"/>
        <v>245000</v>
      </c>
      <c r="B263">
        <f t="shared" si="191"/>
        <v>245</v>
      </c>
      <c r="C263">
        <f t="shared" si="159"/>
        <v>1.0029577408984962</v>
      </c>
      <c r="D263">
        <f t="shared" si="160"/>
        <v>7.6817563858255902E-2</v>
      </c>
      <c r="F263">
        <f t="shared" si="161"/>
        <v>1.2417127353342293E-3</v>
      </c>
      <c r="G263">
        <f t="shared" si="162"/>
        <v>1.0992601695275651E-2</v>
      </c>
      <c r="H263">
        <f t="shared" si="163"/>
        <v>-3.1306000483047245</v>
      </c>
      <c r="J263">
        <f t="shared" si="164"/>
        <v>15</v>
      </c>
      <c r="M263">
        <f t="shared" si="165"/>
        <v>4.4831746953917931E-3</v>
      </c>
      <c r="N263">
        <f t="shared" si="166"/>
        <v>-1.5707963250000001</v>
      </c>
      <c r="O263">
        <f t="shared" si="167"/>
        <v>84.376286924633931</v>
      </c>
      <c r="P263">
        <f t="shared" si="168"/>
        <v>1.5589443782406265</v>
      </c>
      <c r="Q263">
        <f t="shared" si="169"/>
        <v>32.421076443190984</v>
      </c>
      <c r="R263">
        <f t="shared" si="170"/>
        <v>1.539947300860655</v>
      </c>
      <c r="S263">
        <f t="shared" si="171"/>
        <v>0.99692040277916605</v>
      </c>
      <c r="T263">
        <f t="shared" si="172"/>
        <v>-7.8500690103558465E-2</v>
      </c>
      <c r="U263">
        <f t="shared" si="173"/>
        <v>0.63307127634978289</v>
      </c>
      <c r="V263">
        <f t="shared" si="174"/>
        <v>-0.88528194307444619</v>
      </c>
      <c r="X263">
        <f t="shared" si="192"/>
        <v>-16.797167502628355</v>
      </c>
      <c r="Y263">
        <f t="shared" si="175"/>
        <v>-142.63611083829548</v>
      </c>
      <c r="Z263">
        <f t="shared" si="193"/>
        <v>37.36388916170452</v>
      </c>
      <c r="AC263">
        <v>1</v>
      </c>
      <c r="AD263">
        <f t="shared" si="176"/>
        <v>84.370360880988002</v>
      </c>
      <c r="AE263">
        <f t="shared" si="177"/>
        <v>-1.2987807975456414E-2</v>
      </c>
      <c r="AF263">
        <f t="shared" si="178"/>
        <v>1.0621724749650001E-2</v>
      </c>
      <c r="AG263">
        <f t="shared" si="194"/>
        <v>3137.327845710342</v>
      </c>
      <c r="AH263">
        <f t="shared" si="195"/>
        <v>-3930.3420677996651</v>
      </c>
      <c r="AJ263">
        <f t="shared" si="179"/>
        <v>21000</v>
      </c>
      <c r="AK263">
        <f t="shared" si="180"/>
        <v>1651.90910563035</v>
      </c>
      <c r="AL263">
        <v>1</v>
      </c>
      <c r="AM263">
        <f t="shared" si="181"/>
        <v>32.405650706863348</v>
      </c>
      <c r="AN263">
        <f t="shared" si="196"/>
        <v>70.906033582960632</v>
      </c>
      <c r="AO263">
        <f t="shared" si="197"/>
        <v>-645.84705166819458</v>
      </c>
      <c r="AQ263">
        <f t="shared" si="182"/>
        <v>4.164913932053594E-2</v>
      </c>
      <c r="AR263">
        <f t="shared" si="183"/>
        <v>-20.40807826706261</v>
      </c>
      <c r="AT263">
        <f t="shared" si="209"/>
        <v>-80080.06153144408</v>
      </c>
      <c r="AU263">
        <f t="shared" si="210"/>
        <v>-64190.52758905074</v>
      </c>
      <c r="AV263">
        <f t="shared" si="198"/>
        <v>-2.4658894049303619</v>
      </c>
      <c r="AW263">
        <f t="shared" si="199"/>
        <v>-11513.27303306294</v>
      </c>
      <c r="AX263">
        <f t="shared" si="200"/>
        <v>-7586.7565802175623</v>
      </c>
      <c r="AY263">
        <f t="shared" si="208"/>
        <v>-2.5589462345301768</v>
      </c>
      <c r="BA263">
        <f t="shared" si="184"/>
        <v>7.443437797218011</v>
      </c>
      <c r="BB263">
        <f t="shared" si="201"/>
        <v>17.435471268791847</v>
      </c>
      <c r="BC263">
        <f t="shared" si="202"/>
        <v>9.3056829599814872E-2</v>
      </c>
      <c r="BD263">
        <f t="shared" si="185"/>
        <v>-174.66823640297011</v>
      </c>
      <c r="BF263">
        <f t="shared" si="186"/>
        <v>-17.136628149760941</v>
      </c>
      <c r="BG263">
        <f t="shared" si="187"/>
        <v>-169.63708451265876</v>
      </c>
      <c r="BH263">
        <f t="shared" si="203"/>
        <v>10.36291548734124</v>
      </c>
      <c r="BI263">
        <f t="shared" si="204"/>
        <v>10.36291548734124</v>
      </c>
      <c r="BJ263">
        <f t="shared" si="188"/>
        <v>0</v>
      </c>
      <c r="BK263">
        <f t="shared" si="205"/>
        <v>0</v>
      </c>
      <c r="BM263">
        <f t="shared" si="206"/>
        <v>-34.572099418552789</v>
      </c>
      <c r="BN263">
        <f t="shared" si="189"/>
        <v>-174.96884810968868</v>
      </c>
      <c r="BQ263" s="66">
        <f t="shared" si="207"/>
        <v>34.337432069076982</v>
      </c>
      <c r="BR263" s="71"/>
      <c r="BS263" s="71"/>
      <c r="BT263" s="71">
        <v>33884.415999999997</v>
      </c>
      <c r="BU263" s="71">
        <v>-1.81593</v>
      </c>
      <c r="BV263" s="71">
        <v>-149.483</v>
      </c>
      <c r="BY263" s="71"/>
      <c r="BZ263" s="71"/>
      <c r="CA263" s="71"/>
      <c r="CC263" s="71"/>
    </row>
    <row r="264" spans="1:81" ht="13" x14ac:dyDescent="0.3">
      <c r="A264">
        <f t="shared" si="211"/>
        <v>250000</v>
      </c>
      <c r="B264">
        <f t="shared" si="191"/>
        <v>250</v>
      </c>
      <c r="C264">
        <f t="shared" si="159"/>
        <v>1.0030795096783625</v>
      </c>
      <c r="D264">
        <f t="shared" si="160"/>
        <v>7.8378920299955093E-2</v>
      </c>
      <c r="F264">
        <f t="shared" si="161"/>
        <v>1.1924846030447874E-3</v>
      </c>
      <c r="G264">
        <f t="shared" si="162"/>
        <v>1.0772232395346379E-2</v>
      </c>
      <c r="H264">
        <f t="shared" si="163"/>
        <v>-3.1308204176046539</v>
      </c>
      <c r="J264">
        <f t="shared" si="164"/>
        <v>15</v>
      </c>
      <c r="M264">
        <f t="shared" si="165"/>
        <v>4.3935112014839581E-3</v>
      </c>
      <c r="N264">
        <f t="shared" si="166"/>
        <v>-1.5707963250000001</v>
      </c>
      <c r="O264">
        <f t="shared" si="167"/>
        <v>86.098012511449113</v>
      </c>
      <c r="P264">
        <f t="shared" si="168"/>
        <v>1.559181395676035</v>
      </c>
      <c r="Q264">
        <f t="shared" si="169"/>
        <v>33.082107881226243</v>
      </c>
      <c r="R264">
        <f t="shared" si="170"/>
        <v>1.5405639016697805</v>
      </c>
      <c r="S264">
        <f t="shared" si="171"/>
        <v>0.99679403230559172</v>
      </c>
      <c r="T264">
        <f t="shared" si="172"/>
        <v>-8.0095969918353382E-2</v>
      </c>
      <c r="U264">
        <f t="shared" si="173"/>
        <v>0.62539245686987244</v>
      </c>
      <c r="V264">
        <f t="shared" si="174"/>
        <v>-0.89516194546089389</v>
      </c>
      <c r="X264">
        <f t="shared" si="192"/>
        <v>-17.079289916836967</v>
      </c>
      <c r="Y264">
        <f t="shared" si="175"/>
        <v>-143.16785445142401</v>
      </c>
      <c r="Z264">
        <f t="shared" si="193"/>
        <v>36.832145548575994</v>
      </c>
      <c r="AC264">
        <v>1</v>
      </c>
      <c r="AD264">
        <f t="shared" si="176"/>
        <v>86.092204980600002</v>
      </c>
      <c r="AE264">
        <f t="shared" si="177"/>
        <v>-1.3523331919467323E-2</v>
      </c>
      <c r="AF264">
        <f t="shared" si="178"/>
        <v>1.08384946425E-2</v>
      </c>
      <c r="AG264">
        <f t="shared" si="194"/>
        <v>3061.6811699293767</v>
      </c>
      <c r="AH264">
        <f t="shared" si="195"/>
        <v>-3912.3634869239631</v>
      </c>
      <c r="AJ264">
        <f t="shared" si="179"/>
        <v>21000</v>
      </c>
      <c r="AK264">
        <f t="shared" si="180"/>
        <v>1685.6215363575</v>
      </c>
      <c r="AL264">
        <v>1</v>
      </c>
      <c r="AM264">
        <f t="shared" si="181"/>
        <v>33.0669905172075</v>
      </c>
      <c r="AN264">
        <f t="shared" si="196"/>
        <v>70.117523746705544</v>
      </c>
      <c r="AO264">
        <f t="shared" si="197"/>
        <v>-632.95395646488407</v>
      </c>
      <c r="AQ264">
        <f t="shared" si="182"/>
        <v>3.9999840000639997E-2</v>
      </c>
      <c r="AR264">
        <f t="shared" si="183"/>
        <v>-19.99992000032</v>
      </c>
      <c r="AT264">
        <f t="shared" si="209"/>
        <v>-78124.489993722105</v>
      </c>
      <c r="AU264">
        <f t="shared" si="210"/>
        <v>-61389.872378574983</v>
      </c>
      <c r="AV264">
        <f t="shared" si="198"/>
        <v>-2.4755732060413127</v>
      </c>
      <c r="AW264">
        <f t="shared" si="199"/>
        <v>-11032.204073803123</v>
      </c>
      <c r="AX264">
        <f t="shared" si="200"/>
        <v>-7447.7993323571754</v>
      </c>
      <c r="AY264">
        <f t="shared" si="208"/>
        <v>-2.5477768836620704</v>
      </c>
      <c r="BA264">
        <f t="shared" si="184"/>
        <v>7.4644790867576694</v>
      </c>
      <c r="BB264">
        <f t="shared" si="201"/>
        <v>17.45999011224486</v>
      </c>
      <c r="BC264">
        <f t="shared" si="202"/>
        <v>7.2203677620757745E-2</v>
      </c>
      <c r="BD264">
        <f t="shared" si="185"/>
        <v>-175.86303400228022</v>
      </c>
      <c r="BF264">
        <f t="shared" si="186"/>
        <v>-17.462421921154288</v>
      </c>
      <c r="BG264">
        <f t="shared" si="187"/>
        <v>-170.75504920827635</v>
      </c>
      <c r="BH264">
        <f t="shared" si="203"/>
        <v>9.2449507917236531</v>
      </c>
      <c r="BI264">
        <f t="shared" si="204"/>
        <v>9.2449507917236531</v>
      </c>
      <c r="BJ264">
        <f t="shared" si="188"/>
        <v>0</v>
      </c>
      <c r="BK264">
        <f t="shared" si="205"/>
        <v>0</v>
      </c>
      <c r="BM264">
        <f t="shared" si="206"/>
        <v>-34.922412033399148</v>
      </c>
      <c r="BN264">
        <f t="shared" si="189"/>
        <v>-174.89201520599616</v>
      </c>
      <c r="BQ264" s="66">
        <f t="shared" si="207"/>
        <v>34.361950912529991</v>
      </c>
      <c r="BR264" s="71"/>
      <c r="BS264" s="71"/>
      <c r="BT264" s="71">
        <v>34673.684999999998</v>
      </c>
      <c r="BU264" s="71">
        <v>-1.6807799999999999</v>
      </c>
      <c r="BV264" s="71">
        <v>-148.328</v>
      </c>
      <c r="BY264" s="71"/>
      <c r="BZ264" s="71"/>
      <c r="CA264" s="71"/>
      <c r="CC264" s="71"/>
    </row>
    <row r="265" spans="1:81" ht="13" x14ac:dyDescent="0.3">
      <c r="A265">
        <f t="shared" si="211"/>
        <v>255000</v>
      </c>
      <c r="B265">
        <f t="shared" si="191"/>
        <v>255</v>
      </c>
      <c r="C265">
        <f t="shared" ref="C265:C328" si="212">SQRT((A265/Fesr)^2+1)</f>
        <v>1.003203723202392</v>
      </c>
      <c r="D265">
        <f t="shared" ref="D265:D328" si="213">ATAN(A265/Fesr)</f>
        <v>7.9939893901800493E-2</v>
      </c>
      <c r="F265">
        <f t="shared" ref="F265:F328" si="214">(Ro/(Ro+Rdcr))/SQRT((A265/(Q*Fo))^2+(1-(A265^2/Fo^2))^2)</f>
        <v>1.1461280078187896E-3</v>
      </c>
      <c r="G265">
        <f t="shared" ref="G265:G328" si="215">-ATAN(A265*Fo/(Q*(Fo^2-A265^2)))</f>
        <v>1.0560534609137013E-2</v>
      </c>
      <c r="H265">
        <f t="shared" ref="H265:H328" si="216">IF(G265&gt;0,G265-Pi,G265)</f>
        <v>-3.1310321153908633</v>
      </c>
      <c r="J265">
        <f t="shared" ref="J265:J328" si="217">Vin/Vramp</f>
        <v>15</v>
      </c>
      <c r="M265">
        <f t="shared" ref="M265:M328" si="218">1/(2*Pi*_Rfb1*(Cc1ea_u+Cc2ea_u)*A265)</f>
        <v>4.3073639230234882E-3</v>
      </c>
      <c r="N265">
        <f t="shared" ref="N265:N328" si="219">-Pi/2</f>
        <v>-1.5707963250000001</v>
      </c>
      <c r="O265">
        <f t="shared" ref="O265:O328" si="220">SQRT(1+(A265/Fz1_u)^2)</f>
        <v>87.819742745363826</v>
      </c>
      <c r="P265">
        <f t="shared" ref="P265:P328" si="221">ATAN2(Fz1_u,A265)</f>
        <v>1.559409119539674</v>
      </c>
      <c r="Q265">
        <f t="shared" ref="Q265:Q328" si="222">SQRT(1+(A265/Fz2_u)^2)</f>
        <v>33.743151404165566</v>
      </c>
      <c r="R265">
        <f t="shared" ref="R265:R328" si="223">ATAN2(Fz2_u,A265)</f>
        <v>1.5411563437221198</v>
      </c>
      <c r="S265">
        <f t="shared" ref="S265:S328" si="224">1/SQRT(1+(A265/Fp1_u)^2)</f>
        <v>0.99666515840294201</v>
      </c>
      <c r="T265">
        <f t="shared" ref="T265:T328" si="225">-ATAN2(Fp1_u,A265)</f>
        <v>-8.1690841288757574E-2</v>
      </c>
      <c r="U265">
        <f t="shared" ref="U265:U328" si="226">1/SQRT(1+(A265/Fp2_u)^2)</f>
        <v>0.61783952913100348</v>
      </c>
      <c r="V265">
        <f t="shared" ref="V265:V328" si="227">-ATAN2(Fp2_u,A265)</f>
        <v>-0.90480422671542404</v>
      </c>
      <c r="X265">
        <f t="shared" si="192"/>
        <v>-17.357442911022179</v>
      </c>
      <c r="Y265">
        <f t="shared" ref="Y265:Y328" si="228">(180/Pi)*(D265+H265+N265+P265+R265+T265+V265)</f>
        <v>-143.68739601604975</v>
      </c>
      <c r="Z265">
        <f t="shared" si="193"/>
        <v>36.312603983950254</v>
      </c>
      <c r="AC265">
        <v>1</v>
      </c>
      <c r="AD265">
        <f t="shared" ref="AD265:AD328" si="229">Rcea1_u*Cc1ea_u*A265*2*Pi</f>
        <v>87.814049080212015</v>
      </c>
      <c r="AE265">
        <f t="shared" ref="AE265:AE328" si="230">-Rcea1_u*Cc1ea_u*Cc2ea_u*(A265*2*Pi)^2</f>
        <v>-1.4069674529013797E-2</v>
      </c>
      <c r="AF265">
        <f t="shared" ref="AF265:AF328" si="231">(Cc2ea_u+Cc1ea_u)*A265*2*Pi</f>
        <v>1.1055264535350001E-2</v>
      </c>
      <c r="AG265">
        <f t="shared" si="194"/>
        <v>2988.1752714206655</v>
      </c>
      <c r="AH265">
        <f t="shared" si="195"/>
        <v>-3893.4078299894368</v>
      </c>
      <c r="AJ265">
        <f t="shared" ref="AJ265:AJ328" si="232">_Rfb1</f>
        <v>21000</v>
      </c>
      <c r="AK265">
        <f t="shared" ref="AK265:AK328" si="233">_Rfb1*Rcea2_u*Cc3ea_u*A265*2*Pi</f>
        <v>1719.3339670846499</v>
      </c>
      <c r="AL265">
        <v>1</v>
      </c>
      <c r="AM265">
        <f t="shared" ref="AM265:AM328" si="234">(_Rfb1+Rcea2_u)*Cc3ea_u*A265*2*Pi</f>
        <v>33.728330327551653</v>
      </c>
      <c r="AN265">
        <f t="shared" si="196"/>
        <v>69.374886249787593</v>
      </c>
      <c r="AO265">
        <f t="shared" si="197"/>
        <v>-620.56511278450728</v>
      </c>
      <c r="AQ265">
        <f t="shared" ref="AQ265:AQ328" si="235">Eadcg/(1+(Eadcg*A265/GBP)^2)</f>
        <v>3.8446603434819551E-2</v>
      </c>
      <c r="AR265">
        <f t="shared" ref="AR265:AR328" si="236">-(A265*Eadcg*Eadcg/GBP)/(1+(Eadcg*A265/GBP)^2)</f>
        <v>-19.607767751757972</v>
      </c>
      <c r="AT265">
        <f t="shared" si="209"/>
        <v>-76226.151303654828</v>
      </c>
      <c r="AU265">
        <f t="shared" si="210"/>
        <v>-58741.135030412377</v>
      </c>
      <c r="AV265">
        <f t="shared" si="198"/>
        <v>-2.4850269789646715</v>
      </c>
      <c r="AW265">
        <f t="shared" si="199"/>
        <v>-10580.218386301171</v>
      </c>
      <c r="AX265">
        <f t="shared" si="200"/>
        <v>-7314.4262540668442</v>
      </c>
      <c r="AY265">
        <f t="shared" si="208"/>
        <v>-2.5367089644941152</v>
      </c>
      <c r="BA265">
        <f t="shared" ref="BA265:BA328" si="237">SQRT(AT265^2+AU265^2)/SQRT(AW265^2+AX265^2)</f>
        <v>7.4817813004354985</v>
      </c>
      <c r="BB265">
        <f t="shared" si="201"/>
        <v>17.480100184161067</v>
      </c>
      <c r="BC265">
        <f t="shared" si="202"/>
        <v>5.1681985529443697E-2</v>
      </c>
      <c r="BD265">
        <f t="shared" ref="BD265:BD328" si="238">BC265*180/Pi-180</f>
        <v>-177.03884034892306</v>
      </c>
      <c r="BF265">
        <f t="shared" ref="BF265:BF328" si="239">20*LOG(BA265*J265*F265*C265)</f>
        <v>-17.785629419454374</v>
      </c>
      <c r="BG265">
        <f t="shared" ref="BG265:BG328" si="240">(180/Pi)*(D265+H265+BC265)</f>
        <v>-171.85354774519587</v>
      </c>
      <c r="BH265">
        <f t="shared" si="203"/>
        <v>8.1464522548041316</v>
      </c>
      <c r="BI265">
        <f t="shared" si="204"/>
        <v>8.1464522548041316</v>
      </c>
      <c r="BJ265">
        <f t="shared" ref="BJ265:BJ328" si="241">SUM((BF266&lt;0)*(BF265&gt;0))*A265</f>
        <v>0</v>
      </c>
      <c r="BK265">
        <f t="shared" si="205"/>
        <v>0</v>
      </c>
      <c r="BM265">
        <f t="shared" si="206"/>
        <v>-35.265729603615441</v>
      </c>
      <c r="BN265">
        <f t="shared" ref="BN265:BN328" si="242">(H265+D265)*180/Pi</f>
        <v>-174.81470739627281</v>
      </c>
      <c r="BQ265" s="66">
        <f t="shared" si="207"/>
        <v>34.382060984446206</v>
      </c>
      <c r="BR265" s="71"/>
      <c r="BS265" s="71"/>
      <c r="BT265" s="71">
        <v>35481.339</v>
      </c>
      <c r="BU265" s="71">
        <v>-1.5620799999999999</v>
      </c>
      <c r="BV265" s="71">
        <v>-147.47</v>
      </c>
      <c r="BY265" s="71"/>
      <c r="BZ265" s="71"/>
      <c r="CA265" s="71"/>
      <c r="CC265" s="71"/>
    </row>
    <row r="266" spans="1:81" ht="13" x14ac:dyDescent="0.3">
      <c r="A266">
        <f t="shared" si="211"/>
        <v>260000</v>
      </c>
      <c r="B266">
        <f t="shared" ref="B266:B329" si="243">A266/1000</f>
        <v>260</v>
      </c>
      <c r="C266">
        <f t="shared" si="212"/>
        <v>1.0033303805625986</v>
      </c>
      <c r="D266">
        <f t="shared" si="213"/>
        <v>8.1500477200358662E-2</v>
      </c>
      <c r="F266">
        <f t="shared" si="214"/>
        <v>1.102423806645542E-3</v>
      </c>
      <c r="G266">
        <f t="shared" si="215"/>
        <v>1.0357005843045476E-2</v>
      </c>
      <c r="H266">
        <f t="shared" si="216"/>
        <v>-3.1312356441569547</v>
      </c>
      <c r="J266">
        <f t="shared" si="217"/>
        <v>15</v>
      </c>
      <c r="M266">
        <f t="shared" si="218"/>
        <v>4.2245300014268827E-3</v>
      </c>
      <c r="N266">
        <f t="shared" si="219"/>
        <v>-1.5707963250000001</v>
      </c>
      <c r="O266">
        <f t="shared" si="220"/>
        <v>89.541477358310615</v>
      </c>
      <c r="P266">
        <f t="shared" si="221"/>
        <v>1.5596280859072884</v>
      </c>
      <c r="Q266">
        <f t="shared" si="222"/>
        <v>34.404206315409787</v>
      </c>
      <c r="R266">
        <f t="shared" si="223"/>
        <v>1.541726019174672</v>
      </c>
      <c r="S266">
        <f t="shared" si="224"/>
        <v>0.99653378400852144</v>
      </c>
      <c r="T266">
        <f t="shared" si="225"/>
        <v>-8.3285296261293676E-2</v>
      </c>
      <c r="U266">
        <f t="shared" si="226"/>
        <v>0.61041212551767332</v>
      </c>
      <c r="V266">
        <f t="shared" si="227"/>
        <v>-0.91421553478871187</v>
      </c>
      <c r="X266">
        <f t="shared" ref="X266:X329" si="244">20*LOG(C266*J266*O266*Q266*F266*M266*S266*U266)</f>
        <v>-17.631736374761154</v>
      </c>
      <c r="Y266">
        <f t="shared" si="228"/>
        <v>-144.19504044435402</v>
      </c>
      <c r="Z266">
        <f t="shared" ref="Z266:Z329" si="245">Y266+180</f>
        <v>35.804959555645979</v>
      </c>
      <c r="AC266">
        <v>1</v>
      </c>
      <c r="AD266">
        <f t="shared" si="229"/>
        <v>89.535893179824015</v>
      </c>
      <c r="AE266">
        <f t="shared" si="230"/>
        <v>-1.4626835804095854E-2</v>
      </c>
      <c r="AF266">
        <f t="shared" si="231"/>
        <v>1.1272034428200002E-2</v>
      </c>
      <c r="AG266">
        <f t="shared" ref="AG266:AG329" si="246">AC266*AE266/(AE266^2+AF266^2)+AD266*AF266/(AE266^2+AF266^2)</f>
        <v>2916.7619770149554</v>
      </c>
      <c r="AH266">
        <f t="shared" ref="AH266:AH329" si="247">AD266*AE266/(AE266^2+AF266^2)-AC266*AF266/(AE266^2+AF266^2)</f>
        <v>-3873.5685909717513</v>
      </c>
      <c r="AJ266">
        <f t="shared" si="232"/>
        <v>21000</v>
      </c>
      <c r="AK266">
        <f t="shared" si="233"/>
        <v>1753.0463978118003</v>
      </c>
      <c r="AL266">
        <v>1</v>
      </c>
      <c r="AM266">
        <f t="shared" si="234"/>
        <v>34.389670137895799</v>
      </c>
      <c r="AN266">
        <f t="shared" ref="AN266:AN329" si="248">AJ266*AL266/(AL266^2+AM266^2)+AK266*AM266/(AL266^2+AM266^2)</f>
        <v>68.674631626396405</v>
      </c>
      <c r="AO266">
        <f t="shared" ref="AO266:AO329" si="249">AK266*AL266/(AL266^2+AM266^2)-AJ266*AM266/(AL266^2+AM266^2)</f>
        <v>-608.65153066147809</v>
      </c>
      <c r="AQ266">
        <f t="shared" si="235"/>
        <v>3.6982111752545295E-2</v>
      </c>
      <c r="AR266">
        <f t="shared" si="236"/>
        <v>-19.230698111323552</v>
      </c>
      <c r="AT266">
        <f t="shared" si="209"/>
        <v>-74383.560169093151</v>
      </c>
      <c r="AU266">
        <f t="shared" si="210"/>
        <v>-56234.621789074314</v>
      </c>
      <c r="AV266">
        <f t="shared" ref="AV266:AV329" si="250">ATAN2(AT266,AU266)</f>
        <v>-2.4942570279187914</v>
      </c>
      <c r="AW266">
        <f t="shared" ref="AW266:AW329" si="251">AG266-AH266*AO266/_Rfb2+AG266*AN266/_Rfb2+AN266-AO266*AR266+AQ266*AN266</f>
        <v>-10155.048098072351</v>
      </c>
      <c r="AX266">
        <f t="shared" ref="AX266:AX329" si="252">AH266+AH266*AN266/_Rfb2+AG266*AO266/_Rfb2+AO266+AO266*AQ266+AN266*AR266</f>
        <v>-7186.2621412387034</v>
      </c>
      <c r="AY266">
        <f t="shared" si="208"/>
        <v>-2.5257481126710646</v>
      </c>
      <c r="BA266">
        <f t="shared" si="237"/>
        <v>7.4955112358442326</v>
      </c>
      <c r="BB266">
        <f t="shared" ref="BB266:BB329" si="253">20*LOG(BA266)</f>
        <v>17.496025190208154</v>
      </c>
      <c r="BC266">
        <f t="shared" ref="BC266:BC329" si="254">AV266-AY266</f>
        <v>3.1491084752273135E-2</v>
      </c>
      <c r="BD266">
        <f t="shared" si="238"/>
        <v>-178.19569374934426</v>
      </c>
      <c r="BF266">
        <f t="shared" si="239"/>
        <v>-18.106298709931149</v>
      </c>
      <c r="BG266">
        <f t="shared" si="240"/>
        <v>-172.93264764824875</v>
      </c>
      <c r="BH266">
        <f t="shared" ref="BH266:BH329" si="255">IF(BG266&gt;180,BG266-180,BG266+180)</f>
        <v>7.0673523517512535</v>
      </c>
      <c r="BI266">
        <f t="shared" ref="BI266:BI329" si="256">IF(BH266&gt;180,BH266-360,BH266)</f>
        <v>7.0673523517512535</v>
      </c>
      <c r="BJ266">
        <f t="shared" si="241"/>
        <v>0</v>
      </c>
      <c r="BK266">
        <f t="shared" ref="BK266:BK329" si="257">IF(BJ266&gt;0,BI266,0)</f>
        <v>0</v>
      </c>
      <c r="BM266">
        <f t="shared" ref="BM266:BM329" si="258">20*LOG(J266*F266*C266)</f>
        <v>-35.602323900139304</v>
      </c>
      <c r="BN266">
        <f t="shared" si="242"/>
        <v>-174.73695389890452</v>
      </c>
      <c r="BQ266" s="66">
        <f t="shared" ref="BQ266:BQ329" si="259">20*LOG(BA266*7)</f>
        <v>34.397985990493289</v>
      </c>
      <c r="BR266" s="71"/>
      <c r="BS266" s="71"/>
      <c r="BT266" s="71">
        <v>36307.805</v>
      </c>
      <c r="BU266" s="71">
        <v>-1.4274800000000001</v>
      </c>
      <c r="BV266" s="71">
        <v>-146.52500000000001</v>
      </c>
      <c r="BY266" s="71"/>
      <c r="BZ266" s="71"/>
      <c r="CA266" s="71"/>
      <c r="CC266" s="71"/>
    </row>
    <row r="267" spans="1:81" ht="13" x14ac:dyDescent="0.3">
      <c r="A267">
        <f t="shared" si="211"/>
        <v>265000</v>
      </c>
      <c r="B267">
        <f t="shared" si="243"/>
        <v>265</v>
      </c>
      <c r="C267">
        <f t="shared" si="212"/>
        <v>1.0034594808335937</v>
      </c>
      <c r="D267">
        <f t="shared" si="213"/>
        <v>8.306066274353234E-2</v>
      </c>
      <c r="F267">
        <f t="shared" si="214"/>
        <v>1.0611733763722254E-3</v>
      </c>
      <c r="G267">
        <f t="shared" si="215"/>
        <v>1.0161181730905024E-2</v>
      </c>
      <c r="H267">
        <f t="shared" si="216"/>
        <v>-3.1314314682690951</v>
      </c>
      <c r="J267">
        <f t="shared" si="217"/>
        <v>15</v>
      </c>
      <c r="M267">
        <f t="shared" si="218"/>
        <v>4.1448218881924128E-3</v>
      </c>
      <c r="N267">
        <f t="shared" si="219"/>
        <v>-1.5707963250000001</v>
      </c>
      <c r="O267">
        <f t="shared" si="220"/>
        <v>91.2632161024504</v>
      </c>
      <c r="P267">
        <f t="shared" si="221"/>
        <v>1.5598387904044959</v>
      </c>
      <c r="Q267">
        <f t="shared" si="222"/>
        <v>35.065271970877632</v>
      </c>
      <c r="R267">
        <f t="shared" si="223"/>
        <v>1.5422742152641178</v>
      </c>
      <c r="S267">
        <f t="shared" si="224"/>
        <v>0.99639991211453538</v>
      </c>
      <c r="T267">
        <f t="shared" si="225"/>
        <v>-8.4879326895105592E-2</v>
      </c>
      <c r="U267">
        <f t="shared" si="226"/>
        <v>0.60310965088189317</v>
      </c>
      <c r="V267">
        <f t="shared" si="227"/>
        <v>-0.92340246199391673</v>
      </c>
      <c r="X267">
        <f t="shared" si="244"/>
        <v>-17.902274852852113</v>
      </c>
      <c r="Y267">
        <f t="shared" si="228"/>
        <v>-144.69108987579114</v>
      </c>
      <c r="Z267">
        <f t="shared" si="245"/>
        <v>35.308910124208865</v>
      </c>
      <c r="AC267">
        <v>1</v>
      </c>
      <c r="AD267">
        <f t="shared" si="229"/>
        <v>91.257737279436</v>
      </c>
      <c r="AE267">
        <f t="shared" si="230"/>
        <v>-1.5194815744713482E-2</v>
      </c>
      <c r="AF267">
        <f t="shared" si="231"/>
        <v>1.1488804321049999E-2</v>
      </c>
      <c r="AG267">
        <f t="shared" si="246"/>
        <v>2847.3918775846296</v>
      </c>
      <c r="AH267">
        <f t="shared" si="247"/>
        <v>-3852.9331422059281</v>
      </c>
      <c r="AJ267">
        <f t="shared" si="232"/>
        <v>21000</v>
      </c>
      <c r="AK267">
        <f t="shared" si="233"/>
        <v>1786.7588285389502</v>
      </c>
      <c r="AL267">
        <v>1</v>
      </c>
      <c r="AM267">
        <f t="shared" si="234"/>
        <v>35.051009948239951</v>
      </c>
      <c r="AN267">
        <f t="shared" si="248"/>
        <v>68.013595922761397</v>
      </c>
      <c r="AO267">
        <f t="shared" si="249"/>
        <v>-597.186398765332</v>
      </c>
      <c r="AQ267">
        <f t="shared" si="235"/>
        <v>3.559973086603465E-2</v>
      </c>
      <c r="AR267">
        <f t="shared" si="236"/>
        <v>-18.867857358998364</v>
      </c>
      <c r="AT267">
        <f t="shared" si="209"/>
        <v>-72595.226556386668</v>
      </c>
      <c r="AU267">
        <f t="shared" si="210"/>
        <v>-53861.347174344679</v>
      </c>
      <c r="AV267">
        <f t="shared" si="250"/>
        <v>-2.503269534965364</v>
      </c>
      <c r="AW267">
        <f t="shared" si="251"/>
        <v>-9754.6396542752354</v>
      </c>
      <c r="AX267">
        <f t="shared" si="252"/>
        <v>-7062.9670684539324</v>
      </c>
      <c r="AY267">
        <f t="shared" ref="AY267:AY330" si="260">ATAN2(AW267,AX267)</f>
        <v>-2.5148993521339014</v>
      </c>
      <c r="BA267">
        <f t="shared" si="237"/>
        <v>7.5058334657398671</v>
      </c>
      <c r="BB267">
        <f t="shared" si="253"/>
        <v>17.507978487145948</v>
      </c>
      <c r="BC267">
        <f t="shared" si="254"/>
        <v>1.1629817168537393E-2</v>
      </c>
      <c r="BD267">
        <f t="shared" si="238"/>
        <v>-179.33366055897261</v>
      </c>
      <c r="BF267">
        <f t="shared" si="239"/>
        <v>-18.424472609956712</v>
      </c>
      <c r="BG267">
        <f t="shared" si="240"/>
        <v>-173.99244230605916</v>
      </c>
      <c r="BH267">
        <f t="shared" si="255"/>
        <v>6.0075576939408393</v>
      </c>
      <c r="BI267">
        <f t="shared" si="256"/>
        <v>6.0075576939408393</v>
      </c>
      <c r="BJ267">
        <f t="shared" si="241"/>
        <v>0</v>
      </c>
      <c r="BK267">
        <f t="shared" si="257"/>
        <v>0</v>
      </c>
      <c r="BM267">
        <f t="shared" si="258"/>
        <v>-35.932451097102657</v>
      </c>
      <c r="BN267">
        <f t="shared" si="242"/>
        <v>-174.65878174708655</v>
      </c>
      <c r="BQ267" s="66">
        <f t="shared" si="259"/>
        <v>34.409939287431087</v>
      </c>
      <c r="BR267" s="71"/>
      <c r="BS267" s="71"/>
      <c r="BT267" s="71">
        <v>37153.523000000001</v>
      </c>
      <c r="BU267" s="71">
        <v>-1.30297</v>
      </c>
      <c r="BV267" s="71">
        <v>-145.744</v>
      </c>
      <c r="BY267" s="71"/>
      <c r="BZ267" s="71"/>
      <c r="CA267" s="71"/>
      <c r="CC267" s="71"/>
    </row>
    <row r="268" spans="1:81" ht="13" x14ac:dyDescent="0.3">
      <c r="A268">
        <f t="shared" si="211"/>
        <v>270000</v>
      </c>
      <c r="B268">
        <f t="shared" si="243"/>
        <v>270</v>
      </c>
      <c r="C268">
        <f t="shared" si="212"/>
        <v>1.0035910230726215</v>
      </c>
      <c r="D268">
        <f t="shared" si="213"/>
        <v>8.4620443090768091E-2</v>
      </c>
      <c r="F268">
        <f t="shared" si="214"/>
        <v>1.0221963497343922E-3</v>
      </c>
      <c r="G268">
        <f t="shared" si="215"/>
        <v>9.9726324816424745E-3</v>
      </c>
      <c r="H268">
        <f t="shared" si="216"/>
        <v>-3.1316200175183577</v>
      </c>
      <c r="J268">
        <f t="shared" si="217"/>
        <v>15</v>
      </c>
      <c r="M268">
        <f t="shared" si="218"/>
        <v>4.0680659272999608E-3</v>
      </c>
      <c r="N268">
        <f t="shared" si="219"/>
        <v>-1.5707963250000001</v>
      </c>
      <c r="O268">
        <f t="shared" si="220"/>
        <v>92.984958748299761</v>
      </c>
      <c r="P268">
        <f t="shared" si="221"/>
        <v>1.5600416919512601</v>
      </c>
      <c r="Q268">
        <f t="shared" si="222"/>
        <v>35.726347774149012</v>
      </c>
      <c r="R268">
        <f t="shared" si="223"/>
        <v>1.5428021240056773</v>
      </c>
      <c r="S268">
        <f t="shared" si="224"/>
        <v>0.99626354576790288</v>
      </c>
      <c r="T268">
        <f t="shared" si="225"/>
        <v>-8.6472925262188985E-2</v>
      </c>
      <c r="U268">
        <f t="shared" si="226"/>
        <v>0.59593130812347572</v>
      </c>
      <c r="V268">
        <f t="shared" si="227"/>
        <v>-0.93237144165126395</v>
      </c>
      <c r="X268">
        <f t="shared" si="244"/>
        <v>-18.169157975598715</v>
      </c>
      <c r="Y268">
        <f t="shared" si="228"/>
        <v>-145.17584291812591</v>
      </c>
      <c r="Z268">
        <f t="shared" si="245"/>
        <v>34.824157081874091</v>
      </c>
      <c r="AC268">
        <v>1</v>
      </c>
      <c r="AD268">
        <f t="shared" si="229"/>
        <v>92.979581379048014</v>
      </c>
      <c r="AE268">
        <f t="shared" si="230"/>
        <v>-1.5773614350866681E-2</v>
      </c>
      <c r="AF268">
        <f t="shared" si="231"/>
        <v>1.17055742139E-2</v>
      </c>
      <c r="AG268">
        <f t="shared" si="246"/>
        <v>2780.0146873421654</v>
      </c>
      <c r="AH268">
        <f t="shared" si="247"/>
        <v>-3831.5830345701042</v>
      </c>
      <c r="AJ268">
        <f t="shared" si="232"/>
        <v>21000</v>
      </c>
      <c r="AK268">
        <f t="shared" si="233"/>
        <v>1820.4712592661003</v>
      </c>
      <c r="AL268">
        <v>1</v>
      </c>
      <c r="AM268">
        <f t="shared" si="234"/>
        <v>35.712349758584097</v>
      </c>
      <c r="AN268">
        <f t="shared" si="248"/>
        <v>67.388904936568352</v>
      </c>
      <c r="AO268">
        <f t="shared" si="249"/>
        <v>-586.14488367660283</v>
      </c>
      <c r="AQ268">
        <f t="shared" si="235"/>
        <v>3.4293435207698189E-2</v>
      </c>
      <c r="AR268">
        <f t="shared" si="236"/>
        <v>-18.518455012157023</v>
      </c>
      <c r="AT268">
        <f t="shared" si="209"/>
        <v>-70859.661797473746</v>
      </c>
      <c r="AU268">
        <f t="shared" si="210"/>
        <v>-51612.975065220606</v>
      </c>
      <c r="AV268">
        <f t="shared" si="250"/>
        <v>-2.5120705535548264</v>
      </c>
      <c r="AW268">
        <f t="shared" si="251"/>
        <v>-9377.1301673858015</v>
      </c>
      <c r="AX268">
        <f t="shared" si="252"/>
        <v>-6944.2322911601841</v>
      </c>
      <c r="AY268">
        <f t="shared" si="260"/>
        <v>-2.5041671289384895</v>
      </c>
      <c r="BA268">
        <f t="shared" si="237"/>
        <v>7.5129098612539504</v>
      </c>
      <c r="BB268">
        <f t="shared" si="253"/>
        <v>17.516163565441893</v>
      </c>
      <c r="BC268">
        <f t="shared" si="254"/>
        <v>-7.9034246163369737E-3</v>
      </c>
      <c r="BD268">
        <f t="shared" si="238"/>
        <v>-180.45283287473336</v>
      </c>
      <c r="BF268">
        <f t="shared" si="239"/>
        <v>-18.740189378739448</v>
      </c>
      <c r="BG268">
        <f t="shared" si="240"/>
        <v>-175.03304886707915</v>
      </c>
      <c r="BH268">
        <f t="shared" si="255"/>
        <v>4.9669511329208547</v>
      </c>
      <c r="BI268">
        <f t="shared" si="256"/>
        <v>4.9669511329208547</v>
      </c>
      <c r="BJ268">
        <f t="shared" si="241"/>
        <v>0</v>
      </c>
      <c r="BK268">
        <f t="shared" si="257"/>
        <v>0</v>
      </c>
      <c r="BM268">
        <f t="shared" si="258"/>
        <v>-36.256352944181337</v>
      </c>
      <c r="BN268">
        <f t="shared" si="242"/>
        <v>-174.58021599234581</v>
      </c>
      <c r="BQ268" s="66">
        <f t="shared" si="259"/>
        <v>34.418124365727024</v>
      </c>
      <c r="BR268" s="71"/>
      <c r="BS268" s="71"/>
      <c r="BT268" s="71">
        <v>38018.94</v>
      </c>
      <c r="BU268" s="71">
        <v>-1.18652</v>
      </c>
      <c r="BV268" s="71">
        <v>-144.86799999999999</v>
      </c>
      <c r="BY268" s="71"/>
      <c r="BZ268" s="71"/>
      <c r="CA268" s="71"/>
      <c r="CC268" s="71"/>
    </row>
    <row r="269" spans="1:81" ht="13" x14ac:dyDescent="0.3">
      <c r="A269">
        <f t="shared" si="211"/>
        <v>275000</v>
      </c>
      <c r="B269">
        <f t="shared" si="243"/>
        <v>275</v>
      </c>
      <c r="C269">
        <f t="shared" si="212"/>
        <v>1.0037250063195926</v>
      </c>
      <c r="D269">
        <f t="shared" si="213"/>
        <v>8.6179810813263105E-2</v>
      </c>
      <c r="F269">
        <f t="shared" si="214"/>
        <v>9.8532863762064156E-4</v>
      </c>
      <c r="G269">
        <f t="shared" si="215"/>
        <v>9.7909597171983113E-3</v>
      </c>
      <c r="H269">
        <f t="shared" si="216"/>
        <v>-3.1318016902828019</v>
      </c>
      <c r="J269">
        <f t="shared" si="217"/>
        <v>15</v>
      </c>
      <c r="M269">
        <f t="shared" si="218"/>
        <v>3.9941010922581437E-3</v>
      </c>
      <c r="N269">
        <f t="shared" si="219"/>
        <v>-1.5707963250000001</v>
      </c>
      <c r="O269">
        <f t="shared" si="220"/>
        <v>94.706705083062602</v>
      </c>
      <c r="P269">
        <f t="shared" si="221"/>
        <v>1.5602372160979883</v>
      </c>
      <c r="Q269">
        <f t="shared" si="222"/>
        <v>36.387433172137328</v>
      </c>
      <c r="R269">
        <f t="shared" si="223"/>
        <v>1.5433108508358899</v>
      </c>
      <c r="S269">
        <f t="shared" si="224"/>
        <v>0.99612468807006593</v>
      </c>
      <c r="T269">
        <f t="shared" si="225"/>
        <v>-8.8066083447620791E-2</v>
      </c>
      <c r="U269">
        <f t="shared" si="226"/>
        <v>0.58887612168870973</v>
      </c>
      <c r="V269">
        <f t="shared" si="227"/>
        <v>-0.94112874580883954</v>
      </c>
      <c r="X269">
        <f t="shared" si="244"/>
        <v>-18.432480841795801</v>
      </c>
      <c r="Y269">
        <f t="shared" si="228"/>
        <v>-145.64959401168122</v>
      </c>
      <c r="Z269">
        <f t="shared" si="245"/>
        <v>34.350405988318784</v>
      </c>
      <c r="AC269">
        <v>1</v>
      </c>
      <c r="AD269">
        <f t="shared" si="229"/>
        <v>94.701425478660013</v>
      </c>
      <c r="AE269">
        <f t="shared" si="230"/>
        <v>-1.6363231622555457E-2</v>
      </c>
      <c r="AF269">
        <f t="shared" si="231"/>
        <v>1.1922344106750001E-2</v>
      </c>
      <c r="AG269">
        <f t="shared" si="246"/>
        <v>2714.5795604031032</v>
      </c>
      <c r="AH269">
        <f t="shared" si="247"/>
        <v>-3809.5942960592779</v>
      </c>
      <c r="AJ269">
        <f t="shared" si="232"/>
        <v>21000</v>
      </c>
      <c r="AK269">
        <f t="shared" si="233"/>
        <v>1854.1836899932503</v>
      </c>
      <c r="AL269">
        <v>1</v>
      </c>
      <c r="AM269">
        <f t="shared" si="234"/>
        <v>36.373689568928249</v>
      </c>
      <c r="AN269">
        <f t="shared" si="248"/>
        <v>66.797942956134605</v>
      </c>
      <c r="AO269">
        <f t="shared" si="249"/>
        <v>-575.50395093616737</v>
      </c>
      <c r="AQ269">
        <f t="shared" si="235"/>
        <v>3.3057741957877827E-2</v>
      </c>
      <c r="AR269">
        <f t="shared" si="236"/>
        <v>-18.181758076832804</v>
      </c>
      <c r="AT269">
        <f t="shared" si="209"/>
        <v>-69175.383991200026</v>
      </c>
      <c r="AU269">
        <f t="shared" si="210"/>
        <v>-49481.765432767694</v>
      </c>
      <c r="AV269">
        <f t="shared" si="250"/>
        <v>-2.5206660034859647</v>
      </c>
      <c r="AW269">
        <f t="shared" si="251"/>
        <v>-9020.8267411422548</v>
      </c>
      <c r="AX269">
        <f t="shared" si="252"/>
        <v>-6829.7766967042389</v>
      </c>
      <c r="AY269">
        <f t="shared" si="260"/>
        <v>-2.4935553446733185</v>
      </c>
      <c r="BA269">
        <f t="shared" si="237"/>
        <v>7.5168991739308169</v>
      </c>
      <c r="BB269">
        <f t="shared" si="253"/>
        <v>17.520774499669415</v>
      </c>
      <c r="BC269">
        <f t="shared" si="254"/>
        <v>-2.7110658812646182E-2</v>
      </c>
      <c r="BD269">
        <f t="shared" si="238"/>
        <v>-181.55332633155871</v>
      </c>
      <c r="BF269">
        <f t="shared" si="239"/>
        <v>-19.053483331053503</v>
      </c>
      <c r="BG269">
        <f t="shared" si="240"/>
        <v>-176.05460621726155</v>
      </c>
      <c r="BH269">
        <f t="shared" si="255"/>
        <v>3.9453937827384493</v>
      </c>
      <c r="BI269">
        <f t="shared" si="256"/>
        <v>3.9453937827384493</v>
      </c>
      <c r="BJ269">
        <f t="shared" si="241"/>
        <v>0</v>
      </c>
      <c r="BK269">
        <f t="shared" si="257"/>
        <v>0</v>
      </c>
      <c r="BM269">
        <f t="shared" si="258"/>
        <v>-36.574257830722914</v>
      </c>
      <c r="BN269">
        <f t="shared" si="242"/>
        <v>-174.50127988570284</v>
      </c>
      <c r="BQ269" s="66">
        <f t="shared" si="259"/>
        <v>34.422735299954546</v>
      </c>
      <c r="BR269" s="71"/>
      <c r="BS269" s="71"/>
      <c r="BT269" s="71">
        <v>38904.514000000003</v>
      </c>
      <c r="BU269" s="71">
        <v>-1.0515600000000001</v>
      </c>
      <c r="BV269" s="71">
        <v>-144.06</v>
      </c>
      <c r="BY269" s="71"/>
      <c r="BZ269" s="71"/>
      <c r="CA269" s="71"/>
      <c r="CC269" s="71"/>
    </row>
    <row r="270" spans="1:81" ht="13" x14ac:dyDescent="0.3">
      <c r="A270">
        <f t="shared" si="211"/>
        <v>280000</v>
      </c>
      <c r="B270">
        <f t="shared" si="243"/>
        <v>280</v>
      </c>
      <c r="C270">
        <f t="shared" si="212"/>
        <v>1.0038614295971187</v>
      </c>
      <c r="D270">
        <f t="shared" si="213"/>
        <v>8.7738758494171232E-2</v>
      </c>
      <c r="F270">
        <f t="shared" si="214"/>
        <v>9.5042069693583055E-4</v>
      </c>
      <c r="G270">
        <f t="shared" si="215"/>
        <v>9.6157936515448381E-3</v>
      </c>
      <c r="H270">
        <f t="shared" si="216"/>
        <v>-3.1319768563484556</v>
      </c>
      <c r="J270">
        <f t="shared" si="217"/>
        <v>15</v>
      </c>
      <c r="M270">
        <f t="shared" si="218"/>
        <v>3.92277785846782E-3</v>
      </c>
      <c r="N270">
        <f t="shared" si="219"/>
        <v>-1.5707963250000001</v>
      </c>
      <c r="O270">
        <f t="shared" si="220"/>
        <v>96.42845490914037</v>
      </c>
      <c r="P270">
        <f t="shared" si="221"/>
        <v>1.5604257580042837</v>
      </c>
      <c r="Q270">
        <f t="shared" si="222"/>
        <v>37.048527651224816</v>
      </c>
      <c r="R270">
        <f t="shared" si="223"/>
        <v>1.5438014223310479</v>
      </c>
      <c r="S270">
        <f t="shared" si="224"/>
        <v>0.99598334217679607</v>
      </c>
      <c r="T270">
        <f t="shared" si="225"/>
        <v>-8.9658793549787674E-2</v>
      </c>
      <c r="U270">
        <f t="shared" si="226"/>
        <v>0.58194295910933058</v>
      </c>
      <c r="V270">
        <f t="shared" si="227"/>
        <v>-0.94968048390950655</v>
      </c>
      <c r="X270">
        <f t="shared" si="244"/>
        <v>-18.692334360462478</v>
      </c>
      <c r="Y270">
        <f t="shared" si="228"/>
        <v>-146.11263290168583</v>
      </c>
      <c r="Z270">
        <f t="shared" si="245"/>
        <v>33.887367098314172</v>
      </c>
      <c r="AC270">
        <v>1</v>
      </c>
      <c r="AD270">
        <f t="shared" si="229"/>
        <v>96.423269578271999</v>
      </c>
      <c r="AE270">
        <f t="shared" si="230"/>
        <v>-1.6963667559779804E-2</v>
      </c>
      <c r="AF270">
        <f t="shared" si="231"/>
        <v>1.21391139996E-2</v>
      </c>
      <c r="AG270">
        <f t="shared" si="246"/>
        <v>2651.0353684337892</v>
      </c>
      <c r="AH270">
        <f t="shared" si="247"/>
        <v>-3787.0377262165912</v>
      </c>
      <c r="AJ270">
        <f t="shared" si="232"/>
        <v>21000</v>
      </c>
      <c r="AK270">
        <f t="shared" si="233"/>
        <v>1887.8961207204002</v>
      </c>
      <c r="AL270">
        <v>1</v>
      </c>
      <c r="AM270">
        <f t="shared" si="234"/>
        <v>37.035029379272402</v>
      </c>
      <c r="AN270">
        <f t="shared" si="248"/>
        <v>66.238325363848475</v>
      </c>
      <c r="AO270">
        <f t="shared" si="249"/>
        <v>-565.24220516353262</v>
      </c>
      <c r="AQ270">
        <f t="shared" si="235"/>
        <v>3.1887653419472514E-2</v>
      </c>
      <c r="AR270">
        <f t="shared" si="236"/>
        <v>-17.857085914904609</v>
      </c>
      <c r="AT270">
        <f t="shared" si="209"/>
        <v>-67540.922743003277</v>
      </c>
      <c r="AU270">
        <f t="shared" si="210"/>
        <v>-47460.526084073033</v>
      </c>
      <c r="AV270">
        <f t="shared" si="250"/>
        <v>-2.5290616671073787</v>
      </c>
      <c r="AW270">
        <f t="shared" si="251"/>
        <v>-8684.1883498545922</v>
      </c>
      <c r="AX270">
        <f t="shared" si="252"/>
        <v>-6719.3437222609746</v>
      </c>
      <c r="AY270">
        <f t="shared" si="260"/>
        <v>-2.4830673893156465</v>
      </c>
      <c r="BA270">
        <f t="shared" si="237"/>
        <v>7.5179566740998238</v>
      </c>
      <c r="BB270">
        <f t="shared" si="253"/>
        <v>17.521996371015334</v>
      </c>
      <c r="BC270">
        <f t="shared" si="254"/>
        <v>-4.5994277791732152E-2</v>
      </c>
      <c r="BD270">
        <f t="shared" si="238"/>
        <v>-182.6352780022298</v>
      </c>
      <c r="BF270">
        <f t="shared" si="239"/>
        <v>-19.364385382419112</v>
      </c>
      <c r="BG270">
        <f t="shared" si="240"/>
        <v>-177.05727304152015</v>
      </c>
      <c r="BH270">
        <f t="shared" si="255"/>
        <v>2.9427269584798523</v>
      </c>
      <c r="BI270">
        <f t="shared" si="256"/>
        <v>2.9427269584798523</v>
      </c>
      <c r="BJ270">
        <f t="shared" si="241"/>
        <v>0</v>
      </c>
      <c r="BK270">
        <f t="shared" si="257"/>
        <v>0</v>
      </c>
      <c r="BM270">
        <f t="shared" si="258"/>
        <v>-36.886381753434449</v>
      </c>
      <c r="BN270">
        <f t="shared" si="242"/>
        <v>-174.42199503929038</v>
      </c>
      <c r="BQ270" s="66">
        <f t="shared" si="259"/>
        <v>34.423957171300472</v>
      </c>
      <c r="BR270" s="71"/>
      <c r="BS270" s="71"/>
      <c r="BT270" s="71">
        <v>39810.716999999997</v>
      </c>
      <c r="BU270" s="71">
        <v>-0.92721699999999996</v>
      </c>
      <c r="BV270" s="71">
        <v>-143.22999999999999</v>
      </c>
      <c r="BY270" s="71"/>
      <c r="BZ270" s="71"/>
      <c r="CA270" s="71"/>
      <c r="CC270" s="71"/>
    </row>
    <row r="271" spans="1:81" ht="13" x14ac:dyDescent="0.3">
      <c r="A271">
        <f t="shared" si="211"/>
        <v>285000</v>
      </c>
      <c r="B271">
        <f t="shared" si="243"/>
        <v>285</v>
      </c>
      <c r="C271">
        <f t="shared" si="212"/>
        <v>1.0040002919105473</v>
      </c>
      <c r="D271">
        <f t="shared" si="213"/>
        <v>8.9297278728808105E-2</v>
      </c>
      <c r="F271">
        <f t="shared" si="214"/>
        <v>9.1733600980568137E-4</v>
      </c>
      <c r="G271">
        <f t="shared" si="215"/>
        <v>9.4467905685974383E-3</v>
      </c>
      <c r="H271">
        <f t="shared" si="216"/>
        <v>-3.1321458594314029</v>
      </c>
      <c r="J271">
        <f t="shared" si="217"/>
        <v>15</v>
      </c>
      <c r="M271">
        <f t="shared" si="218"/>
        <v>3.8539571942841737E-3</v>
      </c>
      <c r="N271">
        <f t="shared" si="219"/>
        <v>-1.5707963250000001</v>
      </c>
      <c r="O271">
        <f t="shared" si="220"/>
        <v>98.15020804279925</v>
      </c>
      <c r="P271">
        <f t="shared" si="221"/>
        <v>1.5606076851042268</v>
      </c>
      <c r="Q271">
        <f t="shared" si="222"/>
        <v>37.709630733804225</v>
      </c>
      <c r="R271">
        <f t="shared" si="223"/>
        <v>1.5442747931145726</v>
      </c>
      <c r="S271">
        <f t="shared" si="224"/>
        <v>0.99583951129799597</v>
      </c>
      <c r="T271">
        <f t="shared" si="225"/>
        <v>-9.1251047680613706E-2</v>
      </c>
      <c r="U271">
        <f t="shared" si="226"/>
        <v>0.57513055070351582</v>
      </c>
      <c r="V271">
        <f t="shared" si="227"/>
        <v>-0.95803260228569365</v>
      </c>
      <c r="X271">
        <f t="shared" si="244"/>
        <v>-18.948805556530427</v>
      </c>
      <c r="Y271">
        <f t="shared" si="228"/>
        <v>-146.56524420536138</v>
      </c>
      <c r="Z271">
        <f t="shared" si="245"/>
        <v>33.434755794638619</v>
      </c>
      <c r="AC271">
        <v>1</v>
      </c>
      <c r="AD271">
        <f t="shared" si="229"/>
        <v>98.145113677884012</v>
      </c>
      <c r="AE271">
        <f t="shared" si="230"/>
        <v>-1.7574922162539731E-2</v>
      </c>
      <c r="AF271">
        <f t="shared" si="231"/>
        <v>1.2355883892450001E-2</v>
      </c>
      <c r="AG271">
        <f t="shared" si="246"/>
        <v>2589.3309429856272</v>
      </c>
      <c r="AH271">
        <f t="shared" si="247"/>
        <v>-3763.9791843986204</v>
      </c>
      <c r="AJ271">
        <f t="shared" si="232"/>
        <v>21000</v>
      </c>
      <c r="AK271">
        <f t="shared" si="233"/>
        <v>1921.6085514475503</v>
      </c>
      <c r="AL271">
        <v>1</v>
      </c>
      <c r="AM271">
        <f t="shared" si="234"/>
        <v>37.696369189616554</v>
      </c>
      <c r="AN271">
        <f t="shared" si="248"/>
        <v>65.707874567567629</v>
      </c>
      <c r="AO271">
        <f t="shared" si="249"/>
        <v>-555.33974691649541</v>
      </c>
      <c r="AQ271">
        <f t="shared" si="235"/>
        <v>3.0778606406259137E-2</v>
      </c>
      <c r="AR271">
        <f t="shared" si="236"/>
        <v>-17.543805651567709</v>
      </c>
      <c r="AT271">
        <f t="shared" si="209"/>
        <v>-65954.823289686028</v>
      </c>
      <c r="AU271">
        <f t="shared" si="210"/>
        <v>-45542.568865168352</v>
      </c>
      <c r="AV271">
        <f t="shared" si="250"/>
        <v>-2.5372631866062685</v>
      </c>
      <c r="AW271">
        <f t="shared" si="251"/>
        <v>-8365.8099193630023</v>
      </c>
      <c r="AX271">
        <f t="shared" si="252"/>
        <v>-6612.698671120932</v>
      </c>
      <c r="AY271">
        <f t="shared" si="260"/>
        <v>-2.4727061733817792</v>
      </c>
      <c r="BA271">
        <f t="shared" si="237"/>
        <v>7.516233842731384</v>
      </c>
      <c r="BB271">
        <f t="shared" si="253"/>
        <v>17.520005665472521</v>
      </c>
      <c r="BC271">
        <f t="shared" si="254"/>
        <v>-6.4557013224489257E-2</v>
      </c>
      <c r="BD271">
        <f t="shared" si="238"/>
        <v>-183.69884439996002</v>
      </c>
      <c r="BF271">
        <f t="shared" si="239"/>
        <v>-19.672923532468214</v>
      </c>
      <c r="BG271">
        <f t="shared" si="240"/>
        <v>-178.04122597080658</v>
      </c>
      <c r="BH271">
        <f t="shared" si="255"/>
        <v>1.958774029193421</v>
      </c>
      <c r="BI271">
        <f t="shared" si="256"/>
        <v>1.958774029193421</v>
      </c>
      <c r="BJ271">
        <f t="shared" si="241"/>
        <v>0</v>
      </c>
      <c r="BK271">
        <f t="shared" si="257"/>
        <v>0</v>
      </c>
      <c r="BM271">
        <f t="shared" si="258"/>
        <v>-37.192929197940735</v>
      </c>
      <c r="BN271">
        <f t="shared" si="242"/>
        <v>-174.34238157084658</v>
      </c>
      <c r="BQ271" s="66">
        <f t="shared" si="259"/>
        <v>34.421966465757656</v>
      </c>
      <c r="BR271" s="71"/>
      <c r="BS271" s="71"/>
      <c r="BT271" s="71">
        <v>40738.027999999998</v>
      </c>
      <c r="BU271" s="71">
        <v>-0.80365399999999998</v>
      </c>
      <c r="BV271" s="71">
        <v>-142.31399999999999</v>
      </c>
      <c r="BY271" s="71"/>
      <c r="BZ271" s="71"/>
      <c r="CA271" s="71"/>
      <c r="CC271" s="71"/>
    </row>
    <row r="272" spans="1:81" ht="13" x14ac:dyDescent="0.3">
      <c r="A272">
        <f t="shared" si="211"/>
        <v>290000</v>
      </c>
      <c r="B272">
        <f t="shared" si="243"/>
        <v>290</v>
      </c>
      <c r="C272">
        <f t="shared" si="212"/>
        <v>1.0041415922479993</v>
      </c>
      <c r="D272">
        <f t="shared" si="213"/>
        <v>9.0855364124855342E-2</v>
      </c>
      <c r="F272">
        <f t="shared" si="214"/>
        <v>8.8594974515046599E-4</v>
      </c>
      <c r="G272">
        <f t="shared" si="215"/>
        <v>9.2836305626832309E-3</v>
      </c>
      <c r="H272">
        <f t="shared" si="216"/>
        <v>-3.1323090194373169</v>
      </c>
      <c r="J272">
        <f t="shared" si="217"/>
        <v>15</v>
      </c>
      <c r="M272">
        <f t="shared" si="218"/>
        <v>3.7875096564516878E-3</v>
      </c>
      <c r="N272">
        <f t="shared" si="219"/>
        <v>-1.5707963250000001</v>
      </c>
      <c r="O272">
        <f t="shared" si="220"/>
        <v>99.871964312975095</v>
      </c>
      <c r="P272">
        <f t="shared" si="221"/>
        <v>1.5607833394960045</v>
      </c>
      <c r="Q272">
        <f t="shared" si="222"/>
        <v>38.370741975177737</v>
      </c>
      <c r="R272">
        <f t="shared" si="223"/>
        <v>1.544731852051032</v>
      </c>
      <c r="S272">
        <f t="shared" si="224"/>
        <v>0.99569319869750006</v>
      </c>
      <c r="T272">
        <f t="shared" si="225"/>
        <v>-9.2842837965786795E-2</v>
      </c>
      <c r="U272">
        <f t="shared" si="226"/>
        <v>0.56843750755890221</v>
      </c>
      <c r="V272">
        <f t="shared" si="227"/>
        <v>-0.96619088437491985</v>
      </c>
      <c r="X272">
        <f t="shared" si="244"/>
        <v>-19.201977844980838</v>
      </c>
      <c r="Y272">
        <f t="shared" si="228"/>
        <v>-147.00770706192722</v>
      </c>
      <c r="Z272">
        <f t="shared" si="245"/>
        <v>32.992292938072779</v>
      </c>
      <c r="AC272">
        <v>1</v>
      </c>
      <c r="AD272">
        <f t="shared" si="229"/>
        <v>99.866957777496012</v>
      </c>
      <c r="AE272">
        <f t="shared" si="230"/>
        <v>-1.8196995430835226E-2</v>
      </c>
      <c r="AF272">
        <f t="shared" si="231"/>
        <v>1.25726537853E-2</v>
      </c>
      <c r="AG272">
        <f t="shared" si="246"/>
        <v>2529.4152858894536</v>
      </c>
      <c r="AH272">
        <f t="shared" si="247"/>
        <v>-3740.4798702880225</v>
      </c>
      <c r="AJ272">
        <f t="shared" si="232"/>
        <v>21000</v>
      </c>
      <c r="AK272">
        <f t="shared" si="233"/>
        <v>1955.3209821747002</v>
      </c>
      <c r="AL272">
        <v>1</v>
      </c>
      <c r="AM272">
        <f t="shared" si="234"/>
        <v>38.3577089999607</v>
      </c>
      <c r="AN272">
        <f t="shared" si="248"/>
        <v>65.204598805959961</v>
      </c>
      <c r="AO272">
        <f t="shared" si="249"/>
        <v>-545.77804428349702</v>
      </c>
      <c r="AQ272">
        <f t="shared" si="235"/>
        <v>2.9726427686005689E-2</v>
      </c>
      <c r="AR272">
        <f t="shared" si="236"/>
        <v>-17.241328057883301</v>
      </c>
      <c r="AT272">
        <f t="shared" si="209"/>
        <v>-64415.650056960701</v>
      </c>
      <c r="AU272">
        <f t="shared" si="210"/>
        <v>-43721.669843019823</v>
      </c>
      <c r="AV272">
        <f t="shared" si="250"/>
        <v>-2.5452760622460913</v>
      </c>
      <c r="AW272">
        <f t="shared" si="251"/>
        <v>-8064.408310033451</v>
      </c>
      <c r="AX272">
        <f t="shared" si="252"/>
        <v>-6509.626369832029</v>
      </c>
      <c r="AY272">
        <f t="shared" si="260"/>
        <v>-2.4624741592449446</v>
      </c>
      <c r="BA272">
        <f t="shared" si="237"/>
        <v>7.5118781136555537</v>
      </c>
      <c r="BB272">
        <f t="shared" si="253"/>
        <v>17.514970650666246</v>
      </c>
      <c r="BC272">
        <f t="shared" si="254"/>
        <v>-8.2801903001146648E-2</v>
      </c>
      <c r="BD272">
        <f t="shared" si="238"/>
        <v>-184.74419958303838</v>
      </c>
      <c r="BF272">
        <f t="shared" si="239"/>
        <v>-19.979123292593016</v>
      </c>
      <c r="BG272">
        <f t="shared" si="240"/>
        <v>-179.0066578162033</v>
      </c>
      <c r="BH272">
        <f t="shared" si="255"/>
        <v>0.99334218379669892</v>
      </c>
      <c r="BI272">
        <f t="shared" si="256"/>
        <v>0.99334218379669892</v>
      </c>
      <c r="BJ272">
        <f t="shared" si="241"/>
        <v>0</v>
      </c>
      <c r="BK272">
        <f t="shared" si="257"/>
        <v>0</v>
      </c>
      <c r="BM272">
        <f t="shared" si="258"/>
        <v>-37.494093943259259</v>
      </c>
      <c r="BN272">
        <f t="shared" si="242"/>
        <v>-174.26245823316495</v>
      </c>
      <c r="BQ272" s="66">
        <f t="shared" si="259"/>
        <v>34.416931450951381</v>
      </c>
      <c r="BR272" s="71"/>
      <c r="BS272" s="71"/>
      <c r="BT272" s="71">
        <v>41686.938000000002</v>
      </c>
      <c r="BU272" s="71">
        <v>-0.666377</v>
      </c>
      <c r="BV272" s="71">
        <v>-141.465</v>
      </c>
      <c r="BY272" s="71"/>
      <c r="BZ272" s="71"/>
      <c r="CA272" s="71"/>
      <c r="CC272" s="71"/>
    </row>
    <row r="273" spans="1:81" ht="13" x14ac:dyDescent="0.3">
      <c r="A273">
        <f t="shared" si="211"/>
        <v>295000</v>
      </c>
      <c r="B273">
        <f t="shared" si="243"/>
        <v>295</v>
      </c>
      <c r="C273">
        <f t="shared" si="212"/>
        <v>1.0042853295804033</v>
      </c>
      <c r="D273">
        <f t="shared" si="213"/>
        <v>9.2413007302563951E-2</v>
      </c>
      <c r="F273">
        <f t="shared" si="214"/>
        <v>8.5614757804945902E-4</v>
      </c>
      <c r="G273">
        <f t="shared" si="215"/>
        <v>9.1260155101974688E-3</v>
      </c>
      <c r="H273">
        <f t="shared" si="216"/>
        <v>-3.1324666344898029</v>
      </c>
      <c r="J273">
        <f t="shared" si="217"/>
        <v>15</v>
      </c>
      <c r="M273">
        <f t="shared" si="218"/>
        <v>3.723314577528778E-3</v>
      </c>
      <c r="N273">
        <f t="shared" si="219"/>
        <v>-1.5707963250000001</v>
      </c>
      <c r="O273">
        <f t="shared" si="220"/>
        <v>101.59372356019985</v>
      </c>
      <c r="P273">
        <f t="shared" si="221"/>
        <v>1.5609530400885858</v>
      </c>
      <c r="Q273">
        <f t="shared" si="222"/>
        <v>39.031860960770913</v>
      </c>
      <c r="R273">
        <f t="shared" si="223"/>
        <v>1.5451734278112763</v>
      </c>
      <c r="S273">
        <f t="shared" si="224"/>
        <v>0.995544407692871</v>
      </c>
      <c r="T273">
        <f t="shared" si="225"/>
        <v>-9.443415654498416E-2</v>
      </c>
      <c r="U273">
        <f t="shared" si="226"/>
        <v>0.56186233791469564</v>
      </c>
      <c r="V273">
        <f t="shared" si="227"/>
        <v>-0.97416095155930749</v>
      </c>
      <c r="X273">
        <f t="shared" si="244"/>
        <v>-19.451931277312447</v>
      </c>
      <c r="Y273">
        <f t="shared" si="228"/>
        <v>-147.44029485506348</v>
      </c>
      <c r="Z273">
        <f t="shared" si="245"/>
        <v>32.559705144936515</v>
      </c>
      <c r="AC273">
        <v>1</v>
      </c>
      <c r="AD273">
        <f t="shared" si="229"/>
        <v>101.58880187710801</v>
      </c>
      <c r="AE273">
        <f t="shared" si="230"/>
        <v>-1.8829887364666294E-2</v>
      </c>
      <c r="AF273">
        <f t="shared" si="231"/>
        <v>1.2789423678150001E-2</v>
      </c>
      <c r="AG273">
        <f t="shared" si="246"/>
        <v>2471.2377508515633</v>
      </c>
      <c r="AH273">
        <f t="shared" si="247"/>
        <v>-3716.596595439546</v>
      </c>
      <c r="AJ273">
        <f t="shared" si="232"/>
        <v>21000</v>
      </c>
      <c r="AK273">
        <f t="shared" si="233"/>
        <v>1989.0334129018502</v>
      </c>
      <c r="AL273">
        <v>1</v>
      </c>
      <c r="AM273">
        <f t="shared" si="234"/>
        <v>39.019048810304852</v>
      </c>
      <c r="AN273">
        <f t="shared" si="248"/>
        <v>64.726673442266488</v>
      </c>
      <c r="AO273">
        <f t="shared" si="249"/>
        <v>-536.53981747060868</v>
      </c>
      <c r="AQ273">
        <f t="shared" si="235"/>
        <v>2.8727294664479562E-2</v>
      </c>
      <c r="AR273">
        <f t="shared" si="236"/>
        <v>-16.949103852042942</v>
      </c>
      <c r="AT273">
        <f t="shared" si="209"/>
        <v>-62921.989697199395</v>
      </c>
      <c r="AU273">
        <f t="shared" si="210"/>
        <v>-41992.033047818361</v>
      </c>
      <c r="AV273">
        <f t="shared" si="250"/>
        <v>-2.5531056514292905</v>
      </c>
      <c r="AW273">
        <f t="shared" si="251"/>
        <v>-7778.8099472386857</v>
      </c>
      <c r="AX273">
        <f t="shared" si="252"/>
        <v>-6409.9291177947907</v>
      </c>
      <c r="AY273">
        <f t="shared" si="260"/>
        <v>-2.4523733915125274</v>
      </c>
      <c r="BA273">
        <f t="shared" si="237"/>
        <v>7.505032662834056</v>
      </c>
      <c r="BB273">
        <f t="shared" si="253"/>
        <v>17.507051733738283</v>
      </c>
      <c r="BC273">
        <f t="shared" si="254"/>
        <v>-0.10073225991676305</v>
      </c>
      <c r="BD273">
        <f t="shared" si="238"/>
        <v>-185.77153336064029</v>
      </c>
      <c r="BF273">
        <f t="shared" si="239"/>
        <v>-20.283008063409163</v>
      </c>
      <c r="BG273">
        <f t="shared" si="240"/>
        <v>-179.95377589093872</v>
      </c>
      <c r="BH273">
        <f t="shared" si="255"/>
        <v>4.6224109061284935E-2</v>
      </c>
      <c r="BI273">
        <f t="shared" si="256"/>
        <v>4.6224109061284935E-2</v>
      </c>
      <c r="BJ273">
        <f t="shared" si="241"/>
        <v>0</v>
      </c>
      <c r="BK273">
        <f t="shared" si="257"/>
        <v>0</v>
      </c>
      <c r="BM273">
        <f t="shared" si="258"/>
        <v>-37.79005979714745</v>
      </c>
      <c r="BN273">
        <f t="shared" si="242"/>
        <v>-174.18224253029845</v>
      </c>
      <c r="BQ273" s="66">
        <f t="shared" si="259"/>
        <v>34.409012534023418</v>
      </c>
      <c r="BR273" s="71"/>
      <c r="BS273" s="71"/>
      <c r="BT273" s="71">
        <v>42657.951999999997</v>
      </c>
      <c r="BU273" s="71">
        <v>-0.55182299999999995</v>
      </c>
      <c r="BV273" s="71">
        <v>-140.39099999999999</v>
      </c>
      <c r="BY273" s="71"/>
      <c r="BZ273" s="71"/>
      <c r="CA273" s="71"/>
      <c r="CC273" s="71"/>
    </row>
    <row r="274" spans="1:81" ht="13" x14ac:dyDescent="0.3">
      <c r="A274">
        <f t="shared" si="211"/>
        <v>300000</v>
      </c>
      <c r="B274">
        <f t="shared" si="243"/>
        <v>300</v>
      </c>
      <c r="C274">
        <f t="shared" si="212"/>
        <v>1.0044315028615345</v>
      </c>
      <c r="D274">
        <f t="shared" si="213"/>
        <v>9.3970200894956807E-2</v>
      </c>
      <c r="F274">
        <f t="shared" si="214"/>
        <v>8.2782464598349489E-4</v>
      </c>
      <c r="G274">
        <f t="shared" si="215"/>
        <v>8.9736672452926641E-3</v>
      </c>
      <c r="H274">
        <f t="shared" si="216"/>
        <v>-3.1326189827547077</v>
      </c>
      <c r="J274">
        <f t="shared" si="217"/>
        <v>15</v>
      </c>
      <c r="M274">
        <f t="shared" si="218"/>
        <v>3.6612593345699647E-3</v>
      </c>
      <c r="N274">
        <f t="shared" si="219"/>
        <v>-1.5707963250000001</v>
      </c>
      <c r="O274">
        <f t="shared" si="220"/>
        <v>103.31548563563535</v>
      </c>
      <c r="P274">
        <f t="shared" si="221"/>
        <v>1.5611170845337776</v>
      </c>
      <c r="Q274">
        <f t="shared" si="222"/>
        <v>39.692987303624946</v>
      </c>
      <c r="R274">
        <f t="shared" si="223"/>
        <v>1.5456002938819287</v>
      </c>
      <c r="S274">
        <f t="shared" si="224"/>
        <v>0.99539314165519255</v>
      </c>
      <c r="T274">
        <f t="shared" si="225"/>
        <v>-9.6024995572096872E-2</v>
      </c>
      <c r="U274">
        <f t="shared" si="226"/>
        <v>0.5554034620561028</v>
      </c>
      <c r="V274">
        <f t="shared" si="227"/>
        <v>-0.98194826454198114</v>
      </c>
      <c r="X274">
        <f t="shared" si="244"/>
        <v>-19.698742763700878</v>
      </c>
      <c r="Y274">
        <f t="shared" si="228"/>
        <v>-147.86327499857822</v>
      </c>
      <c r="Z274">
        <f t="shared" si="245"/>
        <v>32.13672500142178</v>
      </c>
      <c r="AC274">
        <v>1</v>
      </c>
      <c r="AD274">
        <f t="shared" si="229"/>
        <v>103.31064597672</v>
      </c>
      <c r="AE274">
        <f t="shared" si="230"/>
        <v>-1.9473597964032939E-2</v>
      </c>
      <c r="AF274">
        <f t="shared" si="231"/>
        <v>1.3006193571E-2</v>
      </c>
      <c r="AG274">
        <f t="shared" si="246"/>
        <v>2414.7481991620584</v>
      </c>
      <c r="AH274">
        <f t="shared" si="247"/>
        <v>-3692.3820449615291</v>
      </c>
      <c r="AJ274">
        <f t="shared" si="232"/>
        <v>21000</v>
      </c>
      <c r="AK274">
        <f t="shared" si="233"/>
        <v>2022.7458436290001</v>
      </c>
      <c r="AL274">
        <v>1</v>
      </c>
      <c r="AM274">
        <f t="shared" si="234"/>
        <v>39.680388620648998</v>
      </c>
      <c r="AN274">
        <f t="shared" si="248"/>
        <v>64.272424418172676</v>
      </c>
      <c r="AO274">
        <f t="shared" si="249"/>
        <v>-527.60893487538158</v>
      </c>
      <c r="AQ274">
        <f t="shared" si="235"/>
        <v>2.7777700617498284E-2</v>
      </c>
      <c r="AR274">
        <f t="shared" si="236"/>
        <v>-16.666620370498972</v>
      </c>
      <c r="AT274">
        <f t="shared" si="209"/>
        <v>-61472.453653677505</v>
      </c>
      <c r="AU274">
        <f t="shared" si="210"/>
        <v>-40348.257408790436</v>
      </c>
      <c r="AV274">
        <f t="shared" si="250"/>
        <v>-2.5607571684745372</v>
      </c>
      <c r="AW274">
        <f t="shared" si="251"/>
        <v>-7507.93988242467</v>
      </c>
      <c r="AX274">
        <f t="shared" si="252"/>
        <v>-6313.4248884489007</v>
      </c>
      <c r="AY274">
        <f t="shared" si="260"/>
        <v>-2.442405526372597</v>
      </c>
      <c r="BA274">
        <f t="shared" si="237"/>
        <v>7.4958362412627988</v>
      </c>
      <c r="BB274">
        <f t="shared" si="253"/>
        <v>17.496401802277507</v>
      </c>
      <c r="BC274">
        <f t="shared" si="254"/>
        <v>-0.11835164210194016</v>
      </c>
      <c r="BD274">
        <f t="shared" si="238"/>
        <v>-186.78104959863248</v>
      </c>
      <c r="BF274">
        <f t="shared" si="239"/>
        <v>-20.584599467058119</v>
      </c>
      <c r="BG274">
        <f t="shared" si="240"/>
        <v>-180.88280042070519</v>
      </c>
      <c r="BH274">
        <f t="shared" si="255"/>
        <v>-0.88280042070519471</v>
      </c>
      <c r="BI274">
        <f t="shared" si="256"/>
        <v>-0.88280042070519471</v>
      </c>
      <c r="BJ274">
        <f t="shared" si="241"/>
        <v>0</v>
      </c>
      <c r="BK274">
        <f t="shared" si="257"/>
        <v>0</v>
      </c>
      <c r="BM274">
        <f t="shared" si="258"/>
        <v>-38.08100126933563</v>
      </c>
      <c r="BN274">
        <f t="shared" si="242"/>
        <v>-174.10175082207272</v>
      </c>
      <c r="BQ274" s="66">
        <f t="shared" si="259"/>
        <v>34.398362602562642</v>
      </c>
      <c r="BR274" s="71"/>
      <c r="BS274" s="71"/>
      <c r="BT274" s="71">
        <v>43651.582999999999</v>
      </c>
      <c r="BU274" s="71">
        <v>-0.43071199999999998</v>
      </c>
      <c r="BV274" s="71">
        <v>-139.065</v>
      </c>
      <c r="BY274" s="71"/>
      <c r="BZ274" s="71"/>
      <c r="CA274" s="71"/>
      <c r="CC274" s="71"/>
    </row>
    <row r="275" spans="1:81" ht="13" x14ac:dyDescent="0.3">
      <c r="A275">
        <f t="shared" si="211"/>
        <v>305000</v>
      </c>
      <c r="B275">
        <f t="shared" si="243"/>
        <v>305</v>
      </c>
      <c r="C275">
        <f t="shared" si="212"/>
        <v>1.004580111028051</v>
      </c>
      <c r="D275">
        <f t="shared" si="213"/>
        <v>9.5526937548030169E-2</v>
      </c>
      <c r="F275">
        <f t="shared" si="214"/>
        <v>8.0088462411095148E-4</v>
      </c>
      <c r="G275">
        <f t="shared" si="215"/>
        <v>8.8263259160331741E-3</v>
      </c>
      <c r="H275">
        <f t="shared" si="216"/>
        <v>-3.1327663240839669</v>
      </c>
      <c r="J275">
        <f t="shared" si="217"/>
        <v>15</v>
      </c>
      <c r="M275">
        <f t="shared" si="218"/>
        <v>3.6012386897409485E-3</v>
      </c>
      <c r="N275">
        <f t="shared" si="219"/>
        <v>-1.5707963250000001</v>
      </c>
      <c r="O275">
        <f t="shared" si="220"/>
        <v>105.03725040020223</v>
      </c>
      <c r="P275">
        <f t="shared" si="221"/>
        <v>1.5612757509682864</v>
      </c>
      <c r="Q275">
        <f t="shared" si="222"/>
        <v>40.354120642135193</v>
      </c>
      <c r="R275">
        <f t="shared" si="223"/>
        <v>1.5460131730828834</v>
      </c>
      <c r="S275">
        <f t="shared" si="224"/>
        <v>0.99523940400886035</v>
      </c>
      <c r="T275">
        <f t="shared" si="225"/>
        <v>-9.7615347215453216E-2</v>
      </c>
      <c r="U275">
        <f t="shared" si="226"/>
        <v>0.5490592258297986</v>
      </c>
      <c r="V275">
        <f t="shared" si="227"/>
        <v>-0.98955812518216446</v>
      </c>
      <c r="X275">
        <f t="shared" si="244"/>
        <v>-19.942486273761549</v>
      </c>
      <c r="Y275">
        <f t="shared" si="228"/>
        <v>-148.27690877709088</v>
      </c>
      <c r="Z275">
        <f t="shared" si="245"/>
        <v>31.723091222909119</v>
      </c>
      <c r="AC275">
        <v>1</v>
      </c>
      <c r="AD275">
        <f t="shared" si="229"/>
        <v>105.032490076332</v>
      </c>
      <c r="AE275">
        <f t="shared" si="230"/>
        <v>-2.0128127228935158E-2</v>
      </c>
      <c r="AF275">
        <f t="shared" si="231"/>
        <v>1.3222963463850001E-2</v>
      </c>
      <c r="AG275">
        <f t="shared" si="246"/>
        <v>2359.8971321999788</v>
      </c>
      <c r="AH275">
        <f t="shared" si="247"/>
        <v>-3667.8850287013515</v>
      </c>
      <c r="AJ275">
        <f t="shared" si="232"/>
        <v>21000</v>
      </c>
      <c r="AK275">
        <f t="shared" si="233"/>
        <v>2056.45827435615</v>
      </c>
      <c r="AL275">
        <v>1</v>
      </c>
      <c r="AM275">
        <f t="shared" si="234"/>
        <v>40.34172843099315</v>
      </c>
      <c r="AN275">
        <f t="shared" si="248"/>
        <v>63.840313587403998</v>
      </c>
      <c r="AO275">
        <f t="shared" si="249"/>
        <v>-518.97031933634423</v>
      </c>
      <c r="AQ275">
        <f t="shared" si="235"/>
        <v>2.6874423879538083E-2</v>
      </c>
      <c r="AR275">
        <f t="shared" si="236"/>
        <v>-16.393398566518229</v>
      </c>
      <c r="AT275">
        <f t="shared" si="209"/>
        <v>-60065.680295823557</v>
      </c>
      <c r="AU275">
        <f t="shared" si="210"/>
        <v>-38785.306561140351</v>
      </c>
      <c r="AV275">
        <f t="shared" si="250"/>
        <v>-2.5682356850099253</v>
      </c>
      <c r="AW275">
        <f t="shared" si="251"/>
        <v>-7250.8120994255823</v>
      </c>
      <c r="AX275">
        <f t="shared" si="252"/>
        <v>-6219.9457474526516</v>
      </c>
      <c r="AY275">
        <f t="shared" si="260"/>
        <v>-2.4325718598372834</v>
      </c>
      <c r="BA275">
        <f t="shared" si="237"/>
        <v>7.484423048032574</v>
      </c>
      <c r="BB275">
        <f t="shared" si="253"/>
        <v>17.483166549925407</v>
      </c>
      <c r="BC275">
        <f t="shared" si="254"/>
        <v>-0.13566382517264186</v>
      </c>
      <c r="BD275">
        <f t="shared" si="238"/>
        <v>-187.77296462387494</v>
      </c>
      <c r="BF275">
        <f t="shared" si="239"/>
        <v>-20.883917638916589</v>
      </c>
      <c r="BG275">
        <f t="shared" si="240"/>
        <v>-181.79396304213535</v>
      </c>
      <c r="BH275">
        <f t="shared" si="255"/>
        <v>-1.7939630421353456</v>
      </c>
      <c r="BI275">
        <f t="shared" si="256"/>
        <v>-1.7939630421353456</v>
      </c>
      <c r="BJ275">
        <f t="shared" si="241"/>
        <v>0</v>
      </c>
      <c r="BK275">
        <f t="shared" si="257"/>
        <v>0</v>
      </c>
      <c r="BM275">
        <f t="shared" si="258"/>
        <v>-38.367084188841993</v>
      </c>
      <c r="BN275">
        <f t="shared" si="242"/>
        <v>-174.02099841826043</v>
      </c>
      <c r="BQ275" s="66">
        <f t="shared" si="259"/>
        <v>34.385127350210546</v>
      </c>
      <c r="BR275" s="71"/>
      <c r="BS275" s="71"/>
      <c r="BT275" s="71">
        <v>44668.358999999997</v>
      </c>
      <c r="BU275" s="71">
        <v>-0.21105299999999999</v>
      </c>
      <c r="BV275" s="71">
        <v>-136.58699999999999</v>
      </c>
      <c r="BY275" s="71"/>
      <c r="BZ275" s="71"/>
      <c r="CA275" s="71"/>
      <c r="CC275" s="71"/>
    </row>
    <row r="276" spans="1:81" ht="13" x14ac:dyDescent="0.3">
      <c r="A276">
        <f t="shared" si="211"/>
        <v>310000</v>
      </c>
      <c r="B276">
        <f t="shared" si="243"/>
        <v>310</v>
      </c>
      <c r="C276">
        <f t="shared" si="212"/>
        <v>1.0047311529995331</v>
      </c>
      <c r="D276">
        <f t="shared" si="213"/>
        <v>9.7083209920954386E-2</v>
      </c>
      <c r="F276">
        <f t="shared" si="214"/>
        <v>7.7523890430827142E-4</v>
      </c>
      <c r="G276">
        <f t="shared" si="215"/>
        <v>8.6837485005108132E-3</v>
      </c>
      <c r="H276">
        <f t="shared" si="216"/>
        <v>-3.1329089014994893</v>
      </c>
      <c r="J276">
        <f t="shared" si="217"/>
        <v>15</v>
      </c>
      <c r="M276">
        <f t="shared" si="218"/>
        <v>3.5431541947451273E-3</v>
      </c>
      <c r="N276">
        <f t="shared" si="219"/>
        <v>-1.5707963250000001</v>
      </c>
      <c r="O276">
        <f t="shared" si="220"/>
        <v>106.75901772379291</v>
      </c>
      <c r="P276">
        <f t="shared" si="221"/>
        <v>1.5614292995872274</v>
      </c>
      <c r="Q276">
        <f t="shared" si="222"/>
        <v>41.015260638008428</v>
      </c>
      <c r="R276">
        <f t="shared" si="223"/>
        <v>1.5464127416482654</v>
      </c>
      <c r="S276">
        <f t="shared" si="224"/>
        <v>0.99508319823136937</v>
      </c>
      <c r="T276">
        <f t="shared" si="225"/>
        <v>-9.9205203658040961E-2</v>
      </c>
      <c r="U276">
        <f t="shared" si="226"/>
        <v>0.54282791288415932</v>
      </c>
      <c r="V276">
        <f t="shared" si="227"/>
        <v>-0.99699567871899664</v>
      </c>
      <c r="X276">
        <f t="shared" si="244"/>
        <v>-20.183233018443755</v>
      </c>
      <c r="Y276">
        <f t="shared" si="228"/>
        <v>-148.68145123449224</v>
      </c>
      <c r="Z276">
        <f t="shared" si="245"/>
        <v>31.318548765507757</v>
      </c>
      <c r="AC276">
        <v>1</v>
      </c>
      <c r="AD276">
        <f t="shared" si="229"/>
        <v>106.75433417594402</v>
      </c>
      <c r="AE276">
        <f t="shared" si="230"/>
        <v>-2.0793475159372951E-2</v>
      </c>
      <c r="AF276">
        <f t="shared" si="231"/>
        <v>1.34397333567E-2</v>
      </c>
      <c r="AG276">
        <f t="shared" si="246"/>
        <v>2306.6358032010007</v>
      </c>
      <c r="AH276">
        <f t="shared" si="247"/>
        <v>-3643.1507215261217</v>
      </c>
      <c r="AJ276">
        <f t="shared" si="232"/>
        <v>21000</v>
      </c>
      <c r="AK276">
        <f t="shared" si="233"/>
        <v>2090.1707050833002</v>
      </c>
      <c r="AL276">
        <v>1</v>
      </c>
      <c r="AM276">
        <f t="shared" si="234"/>
        <v>41.003068241337303</v>
      </c>
      <c r="AN276">
        <f t="shared" si="248"/>
        <v>63.428925688943025</v>
      </c>
      <c r="AO276">
        <f t="shared" si="249"/>
        <v>-510.60986341514371</v>
      </c>
      <c r="AQ276">
        <f t="shared" si="235"/>
        <v>2.6014500482568984E-2</v>
      </c>
      <c r="AR276">
        <f t="shared" si="236"/>
        <v>-16.128990299192768</v>
      </c>
      <c r="AT276">
        <f t="shared" si="209"/>
        <v>-58700.336667776464</v>
      </c>
      <c r="AU276">
        <f t="shared" si="210"/>
        <v>-37298.481239802873</v>
      </c>
      <c r="AV276">
        <f t="shared" si="250"/>
        <v>-2.5755461308943866</v>
      </c>
      <c r="AW276">
        <f t="shared" si="251"/>
        <v>-7006.520907231471</v>
      </c>
      <c r="AX276">
        <f t="shared" si="252"/>
        <v>-6129.3364584781593</v>
      </c>
      <c r="AY276">
        <f t="shared" si="260"/>
        <v>-2.4228733548272561</v>
      </c>
      <c r="BA276">
        <f t="shared" si="237"/>
        <v>7.4709226400820752</v>
      </c>
      <c r="BB276">
        <f t="shared" si="253"/>
        <v>17.467484787988951</v>
      </c>
      <c r="BC276">
        <f t="shared" si="254"/>
        <v>-0.15267277606713048</v>
      </c>
      <c r="BD276">
        <f t="shared" si="238"/>
        <v>-188.74750572518798</v>
      </c>
      <c r="BF276">
        <f t="shared" si="239"/>
        <v>-21.180981482867026</v>
      </c>
      <c r="BG276">
        <f t="shared" si="240"/>
        <v>-182.68750538877779</v>
      </c>
      <c r="BH276">
        <f t="shared" si="255"/>
        <v>-2.6875053887777938</v>
      </c>
      <c r="BI276">
        <f t="shared" si="256"/>
        <v>-2.6875053887777938</v>
      </c>
      <c r="BJ276">
        <f t="shared" si="241"/>
        <v>0</v>
      </c>
      <c r="BK276">
        <f t="shared" si="257"/>
        <v>0</v>
      </c>
      <c r="BM276">
        <f t="shared" si="258"/>
        <v>-38.648466270855984</v>
      </c>
      <c r="BN276">
        <f t="shared" si="242"/>
        <v>-173.93999966358982</v>
      </c>
      <c r="BQ276" s="66">
        <f t="shared" si="259"/>
        <v>34.36944558827409</v>
      </c>
      <c r="BR276" s="71"/>
      <c r="BS276" s="71"/>
      <c r="BT276" s="71">
        <v>45708.819000000003</v>
      </c>
      <c r="BU276" s="71">
        <v>0.52166999999999997</v>
      </c>
      <c r="BV276" s="71">
        <v>-135.751</v>
      </c>
      <c r="BY276" s="71"/>
      <c r="BZ276" s="71"/>
      <c r="CA276" s="71"/>
      <c r="CC276" s="71"/>
    </row>
    <row r="277" spans="1:81" ht="13" x14ac:dyDescent="0.3">
      <c r="A277">
        <f t="shared" si="211"/>
        <v>315000</v>
      </c>
      <c r="B277">
        <f t="shared" si="243"/>
        <v>315</v>
      </c>
      <c r="C277">
        <f t="shared" si="212"/>
        <v>1.0048846276785213</v>
      </c>
      <c r="D277">
        <f t="shared" si="213"/>
        <v>9.8639010686273509E-2</v>
      </c>
      <c r="F277">
        <f t="shared" si="214"/>
        <v>7.508058648752451E-4</v>
      </c>
      <c r="G277">
        <f t="shared" si="215"/>
        <v>8.5457074650387172E-3</v>
      </c>
      <c r="H277">
        <f t="shared" si="216"/>
        <v>-3.1330469425349614</v>
      </c>
      <c r="J277">
        <f t="shared" si="217"/>
        <v>15</v>
      </c>
      <c r="M277">
        <f t="shared" si="218"/>
        <v>3.4869136519713952E-3</v>
      </c>
      <c r="N277">
        <f t="shared" si="219"/>
        <v>-1.5707963250000001</v>
      </c>
      <c r="O277">
        <f t="shared" si="220"/>
        <v>108.48078748455973</v>
      </c>
      <c r="P277">
        <f t="shared" si="221"/>
        <v>1.5615779740678088</v>
      </c>
      <c r="Q277">
        <f t="shared" si="222"/>
        <v>41.676406974414412</v>
      </c>
      <c r="R277">
        <f t="shared" si="223"/>
        <v>1.5467996329192746</v>
      </c>
      <c r="S277">
        <f t="shared" si="224"/>
        <v>0.99492452785309837</v>
      </c>
      <c r="T277">
        <f t="shared" si="225"/>
        <v>-0.10079455709772868</v>
      </c>
      <c r="U277">
        <f t="shared" si="226"/>
        <v>0.53670775573270413</v>
      </c>
      <c r="V277">
        <f t="shared" si="227"/>
        <v>-1.0042659163216117</v>
      </c>
      <c r="X277">
        <f t="shared" si="244"/>
        <v>-20.42105161525334</v>
      </c>
      <c r="Y277">
        <f t="shared" si="228"/>
        <v>-149.0771511037785</v>
      </c>
      <c r="Z277">
        <f t="shared" si="245"/>
        <v>30.922848896221495</v>
      </c>
      <c r="AC277">
        <v>1</v>
      </c>
      <c r="AD277">
        <f t="shared" si="229"/>
        <v>108.47617827555601</v>
      </c>
      <c r="AE277">
        <f t="shared" si="230"/>
        <v>-2.1469641755346314E-2</v>
      </c>
      <c r="AF277">
        <f t="shared" si="231"/>
        <v>1.3656503249550001E-2</v>
      </c>
      <c r="AG277">
        <f t="shared" si="246"/>
        <v>2254.9163105442717</v>
      </c>
      <c r="AH277">
        <f t="shared" si="247"/>
        <v>-3618.2208924748693</v>
      </c>
      <c r="AJ277">
        <f t="shared" si="232"/>
        <v>21000</v>
      </c>
      <c r="AK277">
        <f t="shared" si="233"/>
        <v>2123.8831358104503</v>
      </c>
      <c r="AL277">
        <v>1</v>
      </c>
      <c r="AM277">
        <f t="shared" si="234"/>
        <v>41.664408051681455</v>
      </c>
      <c r="AN277">
        <f t="shared" si="248"/>
        <v>63.036956753717831</v>
      </c>
      <c r="AO277">
        <f t="shared" si="249"/>
        <v>-502.51435271264648</v>
      </c>
      <c r="AQ277">
        <f t="shared" si="235"/>
        <v>2.5195199810532098E-2</v>
      </c>
      <c r="AR277">
        <f t="shared" si="236"/>
        <v>-15.872975880635222</v>
      </c>
      <c r="AT277">
        <f t="shared" si="209"/>
        <v>-57375.119890063856</v>
      </c>
      <c r="AU277">
        <f t="shared" si="210"/>
        <v>-35883.394008464733</v>
      </c>
      <c r="AV277">
        <f t="shared" si="250"/>
        <v>-2.5826932955893751</v>
      </c>
      <c r="AW277">
        <f t="shared" si="251"/>
        <v>-6774.2332827969112</v>
      </c>
      <c r="AX277">
        <f t="shared" si="252"/>
        <v>-6041.4532516113004</v>
      </c>
      <c r="AY277">
        <f t="shared" si="260"/>
        <v>-2.4133106670570799</v>
      </c>
      <c r="BA277">
        <f t="shared" si="237"/>
        <v>7.4554598752307486</v>
      </c>
      <c r="BB277">
        <f t="shared" si="253"/>
        <v>17.44948874415115</v>
      </c>
      <c r="BC277">
        <f t="shared" si="254"/>
        <v>-0.16938262853229524</v>
      </c>
      <c r="BD277">
        <f t="shared" si="238"/>
        <v>-189.70490974882219</v>
      </c>
      <c r="BF277">
        <f t="shared" si="239"/>
        <v>-21.475808893906994</v>
      </c>
      <c r="BG277">
        <f t="shared" si="240"/>
        <v>-183.56367776343532</v>
      </c>
      <c r="BH277">
        <f t="shared" si="255"/>
        <v>-3.5636777634353223</v>
      </c>
      <c r="BI277">
        <f t="shared" si="256"/>
        <v>-3.5636777634353223</v>
      </c>
      <c r="BJ277">
        <f t="shared" si="241"/>
        <v>0</v>
      </c>
      <c r="BK277">
        <f t="shared" si="257"/>
        <v>0</v>
      </c>
      <c r="BM277">
        <f t="shared" si="258"/>
        <v>-38.92529763805814</v>
      </c>
      <c r="BN277">
        <f t="shared" si="242"/>
        <v>-173.85876801461313</v>
      </c>
      <c r="BQ277" s="66">
        <f t="shared" si="259"/>
        <v>34.351449544436285</v>
      </c>
      <c r="BR277" s="71"/>
      <c r="BS277" s="71"/>
      <c r="BT277" s="71">
        <v>46773.514000000003</v>
      </c>
      <c r="BU277" s="71">
        <v>0.78233600000000003</v>
      </c>
      <c r="BV277" s="71">
        <v>-137.57599999999999</v>
      </c>
      <c r="BY277" s="71"/>
      <c r="BZ277" s="71"/>
      <c r="CA277" s="71"/>
      <c r="CC277" s="71"/>
    </row>
    <row r="278" spans="1:81" ht="13" x14ac:dyDescent="0.3">
      <c r="A278">
        <f t="shared" si="211"/>
        <v>320000</v>
      </c>
      <c r="B278">
        <f t="shared" si="243"/>
        <v>320</v>
      </c>
      <c r="C278">
        <f t="shared" si="212"/>
        <v>1.0050405339505561</v>
      </c>
      <c r="D278">
        <f t="shared" si="213"/>
        <v>0.1001943325301041</v>
      </c>
      <c r="F278">
        <f t="shared" si="214"/>
        <v>7.2751021963726498E-4</v>
      </c>
      <c r="G278">
        <f t="shared" si="215"/>
        <v>8.4119895487912884E-3</v>
      </c>
      <c r="H278">
        <f t="shared" si="216"/>
        <v>-3.1331806604512091</v>
      </c>
      <c r="J278">
        <f t="shared" si="217"/>
        <v>15</v>
      </c>
      <c r="M278">
        <f t="shared" si="218"/>
        <v>3.432430626159342E-3</v>
      </c>
      <c r="N278">
        <f t="shared" si="219"/>
        <v>-1.5707963250000001</v>
      </c>
      <c r="O278">
        <f t="shared" si="220"/>
        <v>110.20255956826969</v>
      </c>
      <c r="P278">
        <f t="shared" si="221"/>
        <v>1.5617220028595726</v>
      </c>
      <c r="Q278">
        <f t="shared" si="222"/>
        <v>42.337559354310514</v>
      </c>
      <c r="R278">
        <f t="shared" si="223"/>
        <v>1.5471744406913022</v>
      </c>
      <c r="S278">
        <f t="shared" si="224"/>
        <v>0.99476339645709011</v>
      </c>
      <c r="T278">
        <f t="shared" si="225"/>
        <v>-0.10238339974748581</v>
      </c>
      <c r="U278">
        <f t="shared" si="226"/>
        <v>0.53069694573373472</v>
      </c>
      <c r="V278">
        <f t="shared" si="227"/>
        <v>-1.0113736779098985</v>
      </c>
      <c r="X278">
        <f t="shared" si="244"/>
        <v>-20.656008238716367</v>
      </c>
      <c r="Y278">
        <f t="shared" si="228"/>
        <v>-149.46425077260434</v>
      </c>
      <c r="Z278">
        <f t="shared" si="245"/>
        <v>30.535749227395655</v>
      </c>
      <c r="AC278">
        <v>1</v>
      </c>
      <c r="AD278">
        <f t="shared" si="229"/>
        <v>110.19802237516801</v>
      </c>
      <c r="AE278">
        <f t="shared" si="230"/>
        <v>-2.2156627016855258E-2</v>
      </c>
      <c r="AF278">
        <f t="shared" si="231"/>
        <v>1.38732731424E-2</v>
      </c>
      <c r="AG278">
        <f t="shared" si="246"/>
        <v>2204.691674616518</v>
      </c>
      <c r="AH278">
        <f t="shared" si="247"/>
        <v>-3593.1341227107623</v>
      </c>
      <c r="AJ278">
        <f t="shared" si="232"/>
        <v>21000</v>
      </c>
      <c r="AK278">
        <f t="shared" si="233"/>
        <v>2157.5955665376</v>
      </c>
      <c r="AL278">
        <v>1</v>
      </c>
      <c r="AM278">
        <f t="shared" si="234"/>
        <v>42.325747862025601</v>
      </c>
      <c r="AN278">
        <f t="shared" si="248"/>
        <v>62.663203767314407</v>
      </c>
      <c r="AO278">
        <f t="shared" si="249"/>
        <v>-494.67139634448222</v>
      </c>
      <c r="AQ278">
        <f t="shared" si="235"/>
        <v>2.4414002895500744E-2</v>
      </c>
      <c r="AR278">
        <f t="shared" si="236"/>
        <v>-15.624961853120476</v>
      </c>
      <c r="AT278">
        <f t="shared" ref="AT278:AT341" si="261">-AR278*AH278+AG278*AQ278</f>
        <v>-56088.758251573396</v>
      </c>
      <c r="AU278">
        <f t="shared" ref="AU278:AU341" si="262">AQ278*AH278+AG278*AR278</f>
        <v>-34535.946100651177</v>
      </c>
      <c r="AV278">
        <f t="shared" si="250"/>
        <v>-2.5896818299116831</v>
      </c>
      <c r="AW278">
        <f t="shared" si="251"/>
        <v>-6553.1820464128205</v>
      </c>
      <c r="AX278">
        <f t="shared" si="252"/>
        <v>-5956.1627330074052</v>
      </c>
      <c r="AY278">
        <f t="shared" si="260"/>
        <v>-2.4038841696954769</v>
      </c>
      <c r="BA278">
        <f t="shared" si="237"/>
        <v>7.4381548851710191</v>
      </c>
      <c r="BB278">
        <f t="shared" si="253"/>
        <v>17.42930434917313</v>
      </c>
      <c r="BC278">
        <f t="shared" si="254"/>
        <v>-0.18579766021620614</v>
      </c>
      <c r="BD278">
        <f t="shared" si="238"/>
        <v>-190.64542178595849</v>
      </c>
      <c r="BF278">
        <f t="shared" si="239"/>
        <v>-21.768416951531627</v>
      </c>
      <c r="BG278">
        <f t="shared" si="240"/>
        <v>-184.42273789528886</v>
      </c>
      <c r="BH278">
        <f t="shared" si="255"/>
        <v>-4.4227378952888614</v>
      </c>
      <c r="BI278">
        <f t="shared" si="256"/>
        <v>-4.4227378952888614</v>
      </c>
      <c r="BJ278">
        <f t="shared" si="241"/>
        <v>0</v>
      </c>
      <c r="BK278">
        <f t="shared" si="257"/>
        <v>0</v>
      </c>
      <c r="BM278">
        <f t="shared" si="258"/>
        <v>-39.197721300704757</v>
      </c>
      <c r="BN278">
        <f t="shared" si="242"/>
        <v>-173.77731610933037</v>
      </c>
      <c r="BQ278" s="66">
        <f t="shared" si="259"/>
        <v>34.331265149458268</v>
      </c>
      <c r="BR278" s="71"/>
      <c r="BS278" s="71"/>
      <c r="BT278" s="71">
        <v>47863.008999999998</v>
      </c>
      <c r="BU278" s="71">
        <v>0.81724300000000005</v>
      </c>
      <c r="BV278" s="71">
        <v>-138.25</v>
      </c>
      <c r="BY278" s="71"/>
      <c r="BZ278" s="71"/>
      <c r="CA278" s="71"/>
      <c r="CC278" s="71"/>
    </row>
    <row r="279" spans="1:81" ht="13" x14ac:dyDescent="0.3">
      <c r="A279">
        <f t="shared" si="211"/>
        <v>325000</v>
      </c>
      <c r="B279">
        <f t="shared" si="243"/>
        <v>325</v>
      </c>
      <c r="C279">
        <f t="shared" si="212"/>
        <v>1.0051988706842176</v>
      </c>
      <c r="D279">
        <f t="shared" si="213"/>
        <v>0.10174916815233297</v>
      </c>
      <c r="F279">
        <f t="shared" si="214"/>
        <v>7.0528243672837081E-4</v>
      </c>
      <c r="G279">
        <f t="shared" si="215"/>
        <v>8.2823946611943217E-3</v>
      </c>
      <c r="H279">
        <f t="shared" si="216"/>
        <v>-3.1333102553388059</v>
      </c>
      <c r="J279">
        <f t="shared" si="217"/>
        <v>15</v>
      </c>
      <c r="M279">
        <f t="shared" si="218"/>
        <v>3.3796240011415056E-3</v>
      </c>
      <c r="N279">
        <f t="shared" si="219"/>
        <v>-1.5707963250000001</v>
      </c>
      <c r="O279">
        <f t="shared" si="220"/>
        <v>111.9243338677188</v>
      </c>
      <c r="P279">
        <f t="shared" si="221"/>
        <v>1.5618616003555574</v>
      </c>
      <c r="Q279">
        <f t="shared" si="222"/>
        <v>42.998717498920868</v>
      </c>
      <c r="R279">
        <f t="shared" si="223"/>
        <v>1.5475377222524891</v>
      </c>
      <c r="S279">
        <f t="shared" si="224"/>
        <v>0.99459980767883116</v>
      </c>
      <c r="T279">
        <f t="shared" si="225"/>
        <v>-0.10397172383560174</v>
      </c>
      <c r="U279">
        <f t="shared" si="226"/>
        <v>0.5247936420736441</v>
      </c>
      <c r="V279">
        <f t="shared" si="227"/>
        <v>-1.0183236551966226</v>
      </c>
      <c r="X279">
        <f t="shared" si="244"/>
        <v>-20.888166757751243</v>
      </c>
      <c r="Y279">
        <f t="shared" si="228"/>
        <v>-149.84298627956017</v>
      </c>
      <c r="Z279">
        <f t="shared" si="245"/>
        <v>30.157013720439835</v>
      </c>
      <c r="AC279">
        <v>1</v>
      </c>
      <c r="AD279">
        <f t="shared" si="229"/>
        <v>111.91986647478001</v>
      </c>
      <c r="AE279">
        <f t="shared" si="230"/>
        <v>-2.2854430943899769E-2</v>
      </c>
      <c r="AF279">
        <f t="shared" si="231"/>
        <v>1.4090043035249999E-2</v>
      </c>
      <c r="AG279">
        <f t="shared" si="246"/>
        <v>2155.9159001247858</v>
      </c>
      <c r="AH279">
        <f t="shared" si="247"/>
        <v>-3567.9260123257282</v>
      </c>
      <c r="AJ279">
        <f t="shared" si="232"/>
        <v>21000</v>
      </c>
      <c r="AK279">
        <f t="shared" si="233"/>
        <v>2191.3079972647502</v>
      </c>
      <c r="AL279">
        <v>1</v>
      </c>
      <c r="AM279">
        <f t="shared" si="234"/>
        <v>42.987087672369746</v>
      </c>
      <c r="AN279">
        <f t="shared" si="248"/>
        <v>62.306555435595776</v>
      </c>
      <c r="AO279">
        <f t="shared" si="249"/>
        <v>-487.06936380857121</v>
      </c>
      <c r="AQ279">
        <f t="shared" si="235"/>
        <v>2.3668583032939568E-2</v>
      </c>
      <c r="AR279">
        <f t="shared" si="236"/>
        <v>-15.384578971410718</v>
      </c>
      <c r="AT279">
        <f t="shared" si="261"/>
        <v>-54840.012026281554</v>
      </c>
      <c r="AU279">
        <f t="shared" si="262"/>
        <v>-33252.306174267906</v>
      </c>
      <c r="AV279">
        <f t="shared" si="250"/>
        <v>-2.5965162481061714</v>
      </c>
      <c r="AW279">
        <f t="shared" si="251"/>
        <v>-6342.6597682224938</v>
      </c>
      <c r="AX279">
        <f t="shared" si="252"/>
        <v>-5873.3409175336674</v>
      </c>
      <c r="AY279">
        <f t="shared" si="260"/>
        <v>-2.3945939767873226</v>
      </c>
      <c r="BA279">
        <f t="shared" si="237"/>
        <v>7.419123075222517</v>
      </c>
      <c r="BB279">
        <f t="shared" si="253"/>
        <v>17.407051512323196</v>
      </c>
      <c r="BC279">
        <f t="shared" si="254"/>
        <v>-0.20192227131884888</v>
      </c>
      <c r="BD279">
        <f t="shared" si="238"/>
        <v>-191.5692939494854</v>
      </c>
      <c r="BF279">
        <f t="shared" si="239"/>
        <v>-22.058822087009482</v>
      </c>
      <c r="BG279">
        <f t="shared" si="240"/>
        <v>-185.26494977983791</v>
      </c>
      <c r="BH279">
        <f t="shared" si="255"/>
        <v>-5.2649497798379059</v>
      </c>
      <c r="BI279">
        <f t="shared" si="256"/>
        <v>-5.2649497798379059</v>
      </c>
      <c r="BJ279">
        <f t="shared" si="241"/>
        <v>0</v>
      </c>
      <c r="BK279">
        <f t="shared" si="257"/>
        <v>0</v>
      </c>
      <c r="BM279">
        <f t="shared" si="258"/>
        <v>-39.465873599332674</v>
      </c>
      <c r="BN279">
        <f t="shared" si="242"/>
        <v>-173.69565583035251</v>
      </c>
      <c r="BQ279" s="66">
        <f t="shared" si="259"/>
        <v>34.309012312608331</v>
      </c>
      <c r="BR279" s="71"/>
      <c r="BS279" s="71"/>
      <c r="BT279" s="71">
        <v>48977.881999999998</v>
      </c>
      <c r="BU279" s="71">
        <v>0.86195100000000002</v>
      </c>
      <c r="BV279" s="71">
        <v>-138.07900000000001</v>
      </c>
      <c r="BY279" s="71"/>
      <c r="BZ279" s="71"/>
      <c r="CA279" s="71"/>
      <c r="CC279" s="71"/>
    </row>
    <row r="280" spans="1:81" ht="13" x14ac:dyDescent="0.3">
      <c r="A280">
        <f>A279+5000</f>
        <v>330000</v>
      </c>
      <c r="B280">
        <f t="shared" si="243"/>
        <v>330</v>
      </c>
      <c r="C280">
        <f t="shared" si="212"/>
        <v>1.0053596367311668</v>
      </c>
      <c r="D280">
        <f t="shared" si="213"/>
        <v>0.10330351026681402</v>
      </c>
      <c r="F280">
        <f t="shared" si="214"/>
        <v>6.8405821865664973E-4</v>
      </c>
      <c r="G280">
        <f t="shared" si="215"/>
        <v>8.1567348800401923E-3</v>
      </c>
      <c r="H280">
        <f t="shared" si="216"/>
        <v>-3.1334359151199602</v>
      </c>
      <c r="J280">
        <f t="shared" si="217"/>
        <v>15</v>
      </c>
      <c r="M280">
        <f t="shared" si="218"/>
        <v>3.3284175768817864E-3</v>
      </c>
      <c r="N280">
        <f t="shared" si="219"/>
        <v>-1.5707963250000001</v>
      </c>
      <c r="O280">
        <f t="shared" si="220"/>
        <v>113.64611028219963</v>
      </c>
      <c r="P280">
        <f t="shared" si="221"/>
        <v>1.5619969679570147</v>
      </c>
      <c r="Q280">
        <f t="shared" si="222"/>
        <v>43.65988114635374</v>
      </c>
      <c r="R280">
        <f t="shared" si="223"/>
        <v>1.5478900011464085</v>
      </c>
      <c r="S280">
        <f t="shared" si="224"/>
        <v>0.99443376520602544</v>
      </c>
      <c r="T280">
        <f t="shared" si="225"/>
        <v>-0.10555952160590364</v>
      </c>
      <c r="U280">
        <f t="shared" si="226"/>
        <v>0.51899597983588275</v>
      </c>
      <c r="V280">
        <f t="shared" si="227"/>
        <v>-1.0251203949072694</v>
      </c>
      <c r="X280">
        <f t="shared" si="244"/>
        <v>-21.117588861404734</v>
      </c>
      <c r="Y280">
        <f t="shared" si="228"/>
        <v>-150.21358733676732</v>
      </c>
      <c r="Z280">
        <f t="shared" si="245"/>
        <v>29.786412663232682</v>
      </c>
      <c r="AC280">
        <v>1</v>
      </c>
      <c r="AD280">
        <f t="shared" si="229"/>
        <v>113.64171057439201</v>
      </c>
      <c r="AE280">
        <f t="shared" si="230"/>
        <v>-2.3563053536479858E-2</v>
      </c>
      <c r="AF280">
        <f t="shared" si="231"/>
        <v>1.43068129281E-2</v>
      </c>
      <c r="AG280">
        <f t="shared" si="246"/>
        <v>2108.5440255544836</v>
      </c>
      <c r="AH280">
        <f t="shared" si="247"/>
        <v>-3542.6293761496781</v>
      </c>
      <c r="AJ280">
        <f t="shared" si="232"/>
        <v>21000</v>
      </c>
      <c r="AK280">
        <f t="shared" si="233"/>
        <v>2225.0204279919003</v>
      </c>
      <c r="AL280">
        <v>1</v>
      </c>
      <c r="AM280">
        <f t="shared" si="234"/>
        <v>43.648427482713899</v>
      </c>
      <c r="AN280">
        <f t="shared" si="248"/>
        <v>61.965983920790393</v>
      </c>
      <c r="AO280">
        <f t="shared" si="249"/>
        <v>-479.69732756973451</v>
      </c>
      <c r="AQ280">
        <f t="shared" si="235"/>
        <v>2.29567884371248E-2</v>
      </c>
      <c r="AR280">
        <f t="shared" si="236"/>
        <v>-15.151480368502368</v>
      </c>
      <c r="AT280">
        <f t="shared" si="261"/>
        <v>-53627.674046506618</v>
      </c>
      <c r="AU280">
        <f t="shared" si="262"/>
        <v>-32028.890802411122</v>
      </c>
      <c r="AV280">
        <f t="shared" si="250"/>
        <v>-2.6032009301843311</v>
      </c>
      <c r="AW280">
        <f t="shared" si="251"/>
        <v>-6142.0133181209394</v>
      </c>
      <c r="AX280">
        <f t="shared" si="252"/>
        <v>-5792.8723687273578</v>
      </c>
      <c r="AY280">
        <f t="shared" si="260"/>
        <v>-2.3854399654356295</v>
      </c>
      <c r="BA280">
        <f t="shared" si="237"/>
        <v>7.3984751477981776</v>
      </c>
      <c r="BB280">
        <f t="shared" si="253"/>
        <v>17.382844386141759</v>
      </c>
      <c r="BC280">
        <f t="shared" si="254"/>
        <v>-0.21776096474870155</v>
      </c>
      <c r="BD280">
        <f t="shared" si="238"/>
        <v>-192.47678423705449</v>
      </c>
      <c r="BF280">
        <f t="shared" si="239"/>
        <v>-22.347040227383982</v>
      </c>
      <c r="BG280">
        <f t="shared" si="240"/>
        <v>-186.09058259934895</v>
      </c>
      <c r="BH280">
        <f t="shared" si="255"/>
        <v>-6.0905825993489486</v>
      </c>
      <c r="BI280">
        <f t="shared" si="256"/>
        <v>-6.0905825993489486</v>
      </c>
      <c r="BJ280">
        <f t="shared" si="241"/>
        <v>0</v>
      </c>
      <c r="BK280">
        <f t="shared" si="257"/>
        <v>0</v>
      </c>
      <c r="BM280">
        <f t="shared" si="258"/>
        <v>-39.729884613525741</v>
      </c>
      <c r="BN280">
        <f t="shared" si="242"/>
        <v>-173.61379836229446</v>
      </c>
      <c r="BQ280" s="66">
        <f t="shared" si="259"/>
        <v>34.284805186426894</v>
      </c>
      <c r="BR280" s="71"/>
      <c r="BS280" s="71"/>
      <c r="BT280" s="71">
        <v>50118.722999999998</v>
      </c>
      <c r="BU280" s="71">
        <v>0.950021</v>
      </c>
      <c r="BV280" s="71">
        <v>-137.59100000000001</v>
      </c>
      <c r="BY280" s="71"/>
      <c r="BZ280" s="71"/>
      <c r="CA280" s="71"/>
      <c r="CC280" s="71"/>
    </row>
    <row r="281" spans="1:81" ht="13" x14ac:dyDescent="0.3">
      <c r="A281">
        <f t="shared" si="211"/>
        <v>335000</v>
      </c>
      <c r="B281">
        <f t="shared" si="243"/>
        <v>335</v>
      </c>
      <c r="C281">
        <f t="shared" si="212"/>
        <v>1.0055228309261854</v>
      </c>
      <c r="D281">
        <f t="shared" si="213"/>
        <v>0.10485735160156402</v>
      </c>
      <c r="F281">
        <f t="shared" si="214"/>
        <v>6.6377803637563727E-4</v>
      </c>
      <c r="G281">
        <f t="shared" si="215"/>
        <v>8.034833539747481E-3</v>
      </c>
      <c r="H281">
        <f t="shared" si="216"/>
        <v>-3.1335578164602529</v>
      </c>
      <c r="J281">
        <f t="shared" si="217"/>
        <v>15</v>
      </c>
      <c r="M281">
        <f t="shared" si="218"/>
        <v>3.2787397025999684E-3</v>
      </c>
      <c r="N281">
        <f t="shared" si="219"/>
        <v>-1.5707963250000001</v>
      </c>
      <c r="O281">
        <f t="shared" si="220"/>
        <v>115.36788871701654</v>
      </c>
      <c r="P281">
        <f t="shared" si="221"/>
        <v>1.5621282950427937</v>
      </c>
      <c r="Q281">
        <f t="shared" si="222"/>
        <v>44.321050050342421</v>
      </c>
      <c r="R281">
        <f t="shared" si="223"/>
        <v>1.5482317696876515</v>
      </c>
      <c r="S281">
        <f t="shared" si="224"/>
        <v>0.99426527277836907</v>
      </c>
      <c r="T281">
        <f t="shared" si="225"/>
        <v>-0.10714678531797316</v>
      </c>
      <c r="U281">
        <f t="shared" si="226"/>
        <v>0.51330207723218024</v>
      </c>
      <c r="V281">
        <f t="shared" si="227"/>
        <v>-1.0317683021391182</v>
      </c>
      <c r="X281">
        <f t="shared" si="244"/>
        <v>-21.3443341742245</v>
      </c>
      <c r="Y281">
        <f t="shared" si="228"/>
        <v>-150.57627737490418</v>
      </c>
      <c r="Z281">
        <f t="shared" si="245"/>
        <v>29.42372262509582</v>
      </c>
      <c r="AC281">
        <v>1</v>
      </c>
      <c r="AD281">
        <f t="shared" si="229"/>
        <v>115.36355467400402</v>
      </c>
      <c r="AE281">
        <f t="shared" si="230"/>
        <v>-2.4282494794595523E-2</v>
      </c>
      <c r="AF281">
        <f t="shared" si="231"/>
        <v>1.4523582820949999E-2</v>
      </c>
      <c r="AG281">
        <f t="shared" si="246"/>
        <v>2062.532161306905</v>
      </c>
      <c r="AH281">
        <f t="shared" si="247"/>
        <v>-3517.2744287954811</v>
      </c>
      <c r="AJ281">
        <f t="shared" si="232"/>
        <v>21000</v>
      </c>
      <c r="AK281">
        <f t="shared" si="233"/>
        <v>2258.73285871905</v>
      </c>
      <c r="AL281">
        <v>1</v>
      </c>
      <c r="AM281">
        <f t="shared" si="234"/>
        <v>44.309767293058052</v>
      </c>
      <c r="AN281">
        <f t="shared" si="248"/>
        <v>61.640537433235977</v>
      </c>
      <c r="AO281">
        <f t="shared" si="249"/>
        <v>-472.54501076667015</v>
      </c>
      <c r="AQ281">
        <f t="shared" si="235"/>
        <v>2.2276626694972834E-2</v>
      </c>
      <c r="AR281">
        <f t="shared" si="236"/>
        <v>-14.925339885631798</v>
      </c>
      <c r="AT281">
        <f t="shared" si="261"/>
        <v>-52450.570061810184</v>
      </c>
      <c r="AU281">
        <f t="shared" si="262"/>
        <v>-30862.346541986357</v>
      </c>
      <c r="AV281">
        <f t="shared" si="250"/>
        <v>-2.6097401244809761</v>
      </c>
      <c r="AW281">
        <f t="shared" si="251"/>
        <v>-5950.6389829224054</v>
      </c>
      <c r="AX281">
        <f t="shared" si="252"/>
        <v>-5714.6494325959666</v>
      </c>
      <c r="AY281">
        <f t="shared" si="260"/>
        <v>-2.3764217967517407</v>
      </c>
      <c r="BA281">
        <f t="shared" si="237"/>
        <v>7.3763171466969322</v>
      </c>
      <c r="BB281">
        <f t="shared" si="253"/>
        <v>17.35679162105086</v>
      </c>
      <c r="BC281">
        <f t="shared" si="254"/>
        <v>-0.23331832772923544</v>
      </c>
      <c r="BD281">
        <f t="shared" si="238"/>
        <v>-193.36815547721071</v>
      </c>
      <c r="BF281">
        <f t="shared" si="239"/>
        <v>-22.633086918768889</v>
      </c>
      <c r="BG281">
        <f t="shared" si="240"/>
        <v>-186.89990972121302</v>
      </c>
      <c r="BH281">
        <f t="shared" si="255"/>
        <v>-6.8999097212130209</v>
      </c>
      <c r="BI281">
        <f t="shared" si="256"/>
        <v>-6.8999097212130209</v>
      </c>
      <c r="BJ281">
        <f t="shared" si="241"/>
        <v>0</v>
      </c>
      <c r="BK281">
        <f t="shared" si="257"/>
        <v>0</v>
      </c>
      <c r="BM281">
        <f t="shared" si="258"/>
        <v>-39.989878539819749</v>
      </c>
      <c r="BN281">
        <f t="shared" si="242"/>
        <v>-173.53175424400231</v>
      </c>
      <c r="BQ281" s="66">
        <f t="shared" si="259"/>
        <v>34.258752421335998</v>
      </c>
      <c r="BR281" s="71"/>
      <c r="BS281" s="71"/>
      <c r="BT281" s="71">
        <v>51286.137999999999</v>
      </c>
      <c r="BU281" s="71">
        <v>1.0492999999999999</v>
      </c>
      <c r="BV281" s="71">
        <v>-137.08699999999999</v>
      </c>
      <c r="BY281" s="71"/>
      <c r="BZ281" s="71"/>
      <c r="CA281" s="71"/>
      <c r="CC281" s="71"/>
    </row>
    <row r="282" spans="1:81" ht="13" x14ac:dyDescent="0.3">
      <c r="A282">
        <f t="shared" si="211"/>
        <v>340000</v>
      </c>
      <c r="B282">
        <f t="shared" si="243"/>
        <v>340</v>
      </c>
      <c r="C282">
        <f t="shared" si="212"/>
        <v>1.0056884520872185</v>
      </c>
      <c r="D282">
        <f t="shared" si="213"/>
        <v>0.10641068489895746</v>
      </c>
      <c r="F282">
        <f t="shared" si="214"/>
        <v>6.4438671104327552E-4</v>
      </c>
      <c r="G282">
        <f t="shared" si="215"/>
        <v>7.9165244004367336E-3</v>
      </c>
      <c r="H282">
        <f t="shared" si="216"/>
        <v>-3.1336761255995635</v>
      </c>
      <c r="J282">
        <f t="shared" si="217"/>
        <v>15</v>
      </c>
      <c r="M282">
        <f t="shared" si="218"/>
        <v>3.2305229422676159E-3</v>
      </c>
      <c r="N282">
        <f t="shared" si="219"/>
        <v>-1.5707963250000001</v>
      </c>
      <c r="O282">
        <f t="shared" si="220"/>
        <v>117.0896690830437</v>
      </c>
      <c r="P282">
        <f t="shared" si="221"/>
        <v>1.5622557598532065</v>
      </c>
      <c r="Q282">
        <f t="shared" si="222"/>
        <v>44.982223979097256</v>
      </c>
      <c r="R282">
        <f t="shared" si="223"/>
        <v>1.5485634912557167</v>
      </c>
      <c r="S282">
        <f t="shared" si="224"/>
        <v>0.9940943341873173</v>
      </c>
      <c r="T282">
        <f t="shared" si="225"/>
        <v>-0.10873350724736208</v>
      </c>
      <c r="U282">
        <f t="shared" si="226"/>
        <v>0.50771004206737613</v>
      </c>
      <c r="V282">
        <f t="shared" si="227"/>
        <v>-1.0382716438257058</v>
      </c>
      <c r="X282">
        <f t="shared" si="244"/>
        <v>-21.568460362382112</v>
      </c>
      <c r="Y282">
        <f t="shared" si="228"/>
        <v>-150.9312736072435</v>
      </c>
      <c r="Z282">
        <f t="shared" si="245"/>
        <v>29.068726392756503</v>
      </c>
      <c r="AC282">
        <v>1</v>
      </c>
      <c r="AD282">
        <f t="shared" si="229"/>
        <v>117.08539877361602</v>
      </c>
      <c r="AE282">
        <f t="shared" si="230"/>
        <v>-2.5012754718246762E-2</v>
      </c>
      <c r="AF282">
        <f t="shared" si="231"/>
        <v>1.4740352713800002E-2</v>
      </c>
      <c r="AG282">
        <f t="shared" si="246"/>
        <v>2017.8375178999829</v>
      </c>
      <c r="AH282">
        <f t="shared" si="247"/>
        <v>-3491.8889592323021</v>
      </c>
      <c r="AJ282">
        <f t="shared" si="232"/>
        <v>21000</v>
      </c>
      <c r="AK282">
        <f t="shared" si="233"/>
        <v>2292.4452894462001</v>
      </c>
      <c r="AL282">
        <v>1</v>
      </c>
      <c r="AM282">
        <f t="shared" si="234"/>
        <v>44.971107103402204</v>
      </c>
      <c r="AN282">
        <f t="shared" si="248"/>
        <v>61.329333579020471</v>
      </c>
      <c r="AO282">
        <f t="shared" si="249"/>
        <v>-465.60273951621048</v>
      </c>
      <c r="AQ282">
        <f t="shared" si="235"/>
        <v>2.1626250808281122E-2</v>
      </c>
      <c r="AR282">
        <f t="shared" si="236"/>
        <v>-14.705850549631164</v>
      </c>
      <c r="AT282">
        <f t="shared" si="261"/>
        <v>-51307.558910124884</v>
      </c>
      <c r="AU282">
        <f t="shared" si="262"/>
        <v>-29749.533438102873</v>
      </c>
      <c r="AV282">
        <f t="shared" si="250"/>
        <v>-2.6161379503871096</v>
      </c>
      <c r="AW282">
        <f t="shared" si="251"/>
        <v>-5767.9780846362964</v>
      </c>
      <c r="AX282">
        <f t="shared" si="252"/>
        <v>-5638.5715536481839</v>
      </c>
      <c r="AY282">
        <f t="shared" si="260"/>
        <v>-2.3675389355905825</v>
      </c>
      <c r="BA282">
        <f t="shared" si="237"/>
        <v>7.3527505195151308</v>
      </c>
      <c r="BB282">
        <f t="shared" si="253"/>
        <v>17.328996610238462</v>
      </c>
      <c r="BC282">
        <f t="shared" si="254"/>
        <v>-0.24859901479652713</v>
      </c>
      <c r="BD282">
        <f t="shared" si="238"/>
        <v>-194.24367435522709</v>
      </c>
      <c r="BF282">
        <f t="shared" si="239"/>
        <v>-22.916977431263568</v>
      </c>
      <c r="BG282">
        <f t="shared" si="240"/>
        <v>-187.69320777137796</v>
      </c>
      <c r="BH282">
        <f t="shared" si="255"/>
        <v>-7.6932077713779563</v>
      </c>
      <c r="BI282">
        <f t="shared" si="256"/>
        <v>-7.6932077713779563</v>
      </c>
      <c r="BJ282">
        <f t="shared" si="241"/>
        <v>0</v>
      </c>
      <c r="BK282">
        <f t="shared" si="257"/>
        <v>0</v>
      </c>
      <c r="BM282">
        <f t="shared" si="258"/>
        <v>-40.245974041502031</v>
      </c>
      <c r="BN282">
        <f t="shared" si="242"/>
        <v>-173.4495334161509</v>
      </c>
      <c r="BQ282" s="66">
        <f t="shared" si="259"/>
        <v>34.230957410523601</v>
      </c>
      <c r="BR282" s="71"/>
      <c r="BS282" s="71"/>
      <c r="BT282" s="71">
        <v>52480.745999999999</v>
      </c>
      <c r="BU282" s="71">
        <v>1.1752400000000001</v>
      </c>
      <c r="BV282" s="71">
        <v>-136.553</v>
      </c>
      <c r="BY282" s="71"/>
      <c r="BZ282" s="71"/>
      <c r="CA282" s="71"/>
      <c r="CC282" s="71"/>
    </row>
    <row r="283" spans="1:81" ht="13" x14ac:dyDescent="0.3">
      <c r="A283">
        <f t="shared" si="211"/>
        <v>345000</v>
      </c>
      <c r="B283">
        <f t="shared" si="243"/>
        <v>345</v>
      </c>
      <c r="C283">
        <f t="shared" si="212"/>
        <v>1.0058564990154164</v>
      </c>
      <c r="D283">
        <f t="shared" si="213"/>
        <v>0.1079635029159203</v>
      </c>
      <c r="F283">
        <f t="shared" si="214"/>
        <v>6.2583303796977761E-4</v>
      </c>
      <c r="G283">
        <f t="shared" si="215"/>
        <v>7.801650889581643E-3</v>
      </c>
      <c r="H283">
        <f t="shared" si="216"/>
        <v>-3.1337909991104187</v>
      </c>
      <c r="J283">
        <f t="shared" si="217"/>
        <v>15</v>
      </c>
      <c r="M283">
        <f t="shared" si="218"/>
        <v>3.1837037691912736E-3</v>
      </c>
      <c r="N283">
        <f t="shared" si="219"/>
        <v>-1.5707963250000001</v>
      </c>
      <c r="O283">
        <f t="shared" si="220"/>
        <v>118.81145129632155</v>
      </c>
      <c r="P283">
        <f t="shared" si="221"/>
        <v>1.5623795302970513</v>
      </c>
      <c r="Q283">
        <f t="shared" si="222"/>
        <v>45.643402714257398</v>
      </c>
      <c r="R283">
        <f t="shared" si="223"/>
        <v>1.548885602389666</v>
      </c>
      <c r="S283">
        <f t="shared" si="224"/>
        <v>0.99392095327585273</v>
      </c>
      <c r="T283">
        <f t="shared" si="225"/>
        <v>-0.11031967968580673</v>
      </c>
      <c r="U283">
        <f t="shared" si="226"/>
        <v>0.50221797750415931</v>
      </c>
      <c r="V283">
        <f t="shared" si="227"/>
        <v>-1.0446345522770184</v>
      </c>
      <c r="X283">
        <f t="shared" si="244"/>
        <v>-21.790023231523563</v>
      </c>
      <c r="Y283">
        <f t="shared" si="228"/>
        <v>-151.27878710968753</v>
      </c>
      <c r="Z283">
        <f t="shared" si="245"/>
        <v>28.721212890312472</v>
      </c>
      <c r="AC283">
        <v>1</v>
      </c>
      <c r="AD283">
        <f t="shared" si="229"/>
        <v>118.80724287322802</v>
      </c>
      <c r="AE283">
        <f t="shared" si="230"/>
        <v>-2.5753833307433558E-2</v>
      </c>
      <c r="AF283">
        <f t="shared" si="231"/>
        <v>1.4957122606649999E-2</v>
      </c>
      <c r="AG283">
        <f t="shared" si="246"/>
        <v>1974.4184254774227</v>
      </c>
      <c r="AH283">
        <f t="shared" si="247"/>
        <v>-3466.4984952265318</v>
      </c>
      <c r="AJ283">
        <f t="shared" si="232"/>
        <v>21000</v>
      </c>
      <c r="AK283">
        <f t="shared" si="233"/>
        <v>2326.1577201733498</v>
      </c>
      <c r="AL283">
        <v>1</v>
      </c>
      <c r="AM283">
        <f t="shared" si="234"/>
        <v>45.632446913746357</v>
      </c>
      <c r="AN283">
        <f t="shared" si="248"/>
        <v>61.031553376655836</v>
      </c>
      <c r="AO283">
        <f t="shared" si="249"/>
        <v>-458.86139935037482</v>
      </c>
      <c r="AQ283">
        <f t="shared" si="235"/>
        <v>2.1003946641573953E-2</v>
      </c>
      <c r="AR283">
        <f t="shared" si="236"/>
        <v>-14.492723182686026</v>
      </c>
      <c r="AT283">
        <f t="shared" si="261"/>
        <v>-50197.53252525891</v>
      </c>
      <c r="AU283">
        <f t="shared" si="262"/>
        <v>-28687.509836665919</v>
      </c>
      <c r="AV283">
        <f t="shared" si="250"/>
        <v>-2.6223984012221253</v>
      </c>
      <c r="AW283">
        <f t="shared" si="251"/>
        <v>-5593.5130422224311</v>
      </c>
      <c r="AX283">
        <f t="shared" si="252"/>
        <v>-5564.5446631281056</v>
      </c>
      <c r="AY283">
        <f t="shared" si="260"/>
        <v>-2.3587906690951224</v>
      </c>
      <c r="BA283">
        <f t="shared" si="237"/>
        <v>7.3278721956535042</v>
      </c>
      <c r="BB283">
        <f t="shared" si="253"/>
        <v>17.299557725186958</v>
      </c>
      <c r="BC283">
        <f t="shared" si="254"/>
        <v>-0.26360773212700295</v>
      </c>
      <c r="BD283">
        <f t="shared" si="238"/>
        <v>-195.10361051515082</v>
      </c>
      <c r="BF283">
        <f t="shared" si="239"/>
        <v>-23.19872684759175</v>
      </c>
      <c r="BG283">
        <f t="shared" si="240"/>
        <v>-188.47075577983358</v>
      </c>
      <c r="BH283">
        <f t="shared" si="255"/>
        <v>-8.4707557798335813</v>
      </c>
      <c r="BI283">
        <f t="shared" si="256"/>
        <v>-8.4707557798335813</v>
      </c>
      <c r="BJ283">
        <f t="shared" si="241"/>
        <v>0</v>
      </c>
      <c r="BK283">
        <f t="shared" si="257"/>
        <v>0</v>
      </c>
      <c r="BM283">
        <f t="shared" si="258"/>
        <v>-40.498284572778701</v>
      </c>
      <c r="BN283">
        <f t="shared" si="242"/>
        <v>-173.36714526468279</v>
      </c>
      <c r="BQ283" s="66">
        <f t="shared" si="259"/>
        <v>34.201518525472096</v>
      </c>
      <c r="BR283" s="71"/>
      <c r="BS283" s="71"/>
      <c r="BT283" s="71">
        <v>53703.18</v>
      </c>
      <c r="BU283" s="71">
        <v>1.3152900000000001</v>
      </c>
      <c r="BV283" s="71">
        <v>-136.001</v>
      </c>
      <c r="BY283" s="71"/>
      <c r="BZ283" s="71"/>
      <c r="CA283" s="71"/>
      <c r="CC283" s="71"/>
    </row>
    <row r="284" spans="1:81" ht="13" x14ac:dyDescent="0.3">
      <c r="A284">
        <f t="shared" si="211"/>
        <v>350000</v>
      </c>
      <c r="B284">
        <f t="shared" si="243"/>
        <v>350</v>
      </c>
      <c r="C284">
        <f t="shared" si="212"/>
        <v>1.0060269704951772</v>
      </c>
      <c r="D284">
        <f t="shared" si="213"/>
        <v>0.10951579842412278</v>
      </c>
      <c r="F284">
        <f t="shared" si="214"/>
        <v>6.0806944795901128E-4</v>
      </c>
      <c r="G284">
        <f t="shared" si="215"/>
        <v>7.690065408942238E-3</v>
      </c>
      <c r="H284">
        <f t="shared" si="216"/>
        <v>-3.1339025845910577</v>
      </c>
      <c r="J284">
        <f t="shared" si="217"/>
        <v>15</v>
      </c>
      <c r="M284">
        <f t="shared" si="218"/>
        <v>3.1382222867742558E-3</v>
      </c>
      <c r="N284">
        <f t="shared" si="219"/>
        <v>-1.5707963250000001</v>
      </c>
      <c r="O284">
        <f t="shared" si="220"/>
        <v>120.53323527768775</v>
      </c>
      <c r="P284">
        <f t="shared" si="221"/>
        <v>1.5624997646894707</v>
      </c>
      <c r="Q284">
        <f t="shared" si="222"/>
        <v>46.304586049932233</v>
      </c>
      <c r="R284">
        <f t="shared" si="223"/>
        <v>1.5491985147034431</v>
      </c>
      <c r="S284">
        <f t="shared" si="224"/>
        <v>0.99374513393824959</v>
      </c>
      <c r="T284">
        <f t="shared" si="225"/>
        <v>-0.11190529494144105</v>
      </c>
      <c r="U284">
        <f t="shared" si="226"/>
        <v>0.49682398718917398</v>
      </c>
      <c r="V284">
        <f t="shared" si="227"/>
        <v>-1.0508610287695255</v>
      </c>
      <c r="X284">
        <f t="shared" si="244"/>
        <v>-22.009076817205063</v>
      </c>
      <c r="Y284">
        <f t="shared" si="228"/>
        <v>-151.61902291415714</v>
      </c>
      <c r="Z284">
        <f t="shared" si="245"/>
        <v>28.380977085842858</v>
      </c>
      <c r="AC284">
        <v>1</v>
      </c>
      <c r="AD284">
        <f t="shared" si="229"/>
        <v>120.52908697284001</v>
      </c>
      <c r="AE284">
        <f t="shared" si="230"/>
        <v>-2.6505730562155942E-2</v>
      </c>
      <c r="AF284">
        <f t="shared" si="231"/>
        <v>1.5173892499500002E-2</v>
      </c>
      <c r="AG284">
        <f t="shared" si="246"/>
        <v>1932.2343457440218</v>
      </c>
      <c r="AH284">
        <f t="shared" si="247"/>
        <v>-3441.1264580235597</v>
      </c>
      <c r="AJ284">
        <f t="shared" si="232"/>
        <v>21000</v>
      </c>
      <c r="AK284">
        <f t="shared" si="233"/>
        <v>2359.8701509005</v>
      </c>
      <c r="AL284">
        <v>1</v>
      </c>
      <c r="AM284">
        <f t="shared" si="234"/>
        <v>46.293786724090502</v>
      </c>
      <c r="AN284">
        <f t="shared" si="248"/>
        <v>60.746435866989934</v>
      </c>
      <c r="AO284">
        <f t="shared" si="249"/>
        <v>-452.31239537457361</v>
      </c>
      <c r="AQ284">
        <f t="shared" si="235"/>
        <v>2.0408121616078335E-2</v>
      </c>
      <c r="AR284">
        <f t="shared" si="236"/>
        <v>-14.285685131254834</v>
      </c>
      <c r="AT284">
        <f t="shared" si="261"/>
        <v>-49119.415802636075</v>
      </c>
      <c r="AU284">
        <f t="shared" si="262"/>
        <v>-27673.518390346933</v>
      </c>
      <c r="AV284">
        <f t="shared" si="250"/>
        <v>-2.6285253472130927</v>
      </c>
      <c r="AW284">
        <f t="shared" si="251"/>
        <v>-5426.7638265240248</v>
      </c>
      <c r="AX284">
        <f t="shared" si="252"/>
        <v>-5492.4806307738681</v>
      </c>
      <c r="AY284">
        <f t="shared" si="260"/>
        <v>-2.3501761240802903</v>
      </c>
      <c r="BA284">
        <f t="shared" si="237"/>
        <v>7.3017746775847119</v>
      </c>
      <c r="BB284">
        <f t="shared" si="253"/>
        <v>17.268568542168868</v>
      </c>
      <c r="BC284">
        <f t="shared" si="254"/>
        <v>-0.27834922313280241</v>
      </c>
      <c r="BD284">
        <f t="shared" si="238"/>
        <v>-195.94823573447832</v>
      </c>
      <c r="BF284">
        <f t="shared" si="239"/>
        <v>-23.47835013736351</v>
      </c>
      <c r="BG284">
        <f t="shared" si="240"/>
        <v>-189.23283439498519</v>
      </c>
      <c r="BH284">
        <f t="shared" si="255"/>
        <v>-9.2328343949851899</v>
      </c>
      <c r="BI284">
        <f t="shared" si="256"/>
        <v>-9.2328343949851899</v>
      </c>
      <c r="BJ284">
        <f t="shared" si="241"/>
        <v>0</v>
      </c>
      <c r="BK284">
        <f t="shared" si="257"/>
        <v>0</v>
      </c>
      <c r="BM284">
        <f t="shared" si="258"/>
        <v>-40.746918679532378</v>
      </c>
      <c r="BN284">
        <f t="shared" si="242"/>
        <v>-173.28459866050687</v>
      </c>
      <c r="BQ284" s="66">
        <f t="shared" si="259"/>
        <v>34.170529342454003</v>
      </c>
      <c r="BR284" s="71"/>
      <c r="BS284" s="71"/>
      <c r="BT284" s="71">
        <v>54954.087</v>
      </c>
      <c r="BU284" s="71">
        <v>1.4637500000000001</v>
      </c>
      <c r="BV284" s="71">
        <v>-135.524</v>
      </c>
      <c r="BY284" s="71"/>
      <c r="BZ284" s="71"/>
      <c r="CA284" s="71"/>
      <c r="CC284" s="71"/>
    </row>
    <row r="285" spans="1:81" ht="13" x14ac:dyDescent="0.3">
      <c r="A285">
        <f t="shared" si="211"/>
        <v>355000</v>
      </c>
      <c r="B285">
        <f t="shared" si="243"/>
        <v>355</v>
      </c>
      <c r="C285">
        <f t="shared" si="212"/>
        <v>1.0061998652941906</v>
      </c>
      <c r="D285">
        <f t="shared" si="213"/>
        <v>0.11106756421017118</v>
      </c>
      <c r="F285">
        <f t="shared" si="214"/>
        <v>5.9105170185272784E-4</v>
      </c>
      <c r="G285">
        <f t="shared" si="215"/>
        <v>7.5816287003127366E-3</v>
      </c>
      <c r="H285">
        <f t="shared" si="216"/>
        <v>-3.1340110212996874</v>
      </c>
      <c r="J285">
        <f t="shared" si="217"/>
        <v>15</v>
      </c>
      <c r="M285">
        <f t="shared" si="218"/>
        <v>3.0940219728760269E-3</v>
      </c>
      <c r="N285">
        <f t="shared" si="219"/>
        <v>-1.5707963250000001</v>
      </c>
      <c r="O285">
        <f t="shared" si="220"/>
        <v>122.25502095243945</v>
      </c>
      <c r="P285">
        <f t="shared" si="221"/>
        <v>1.5626166124274685</v>
      </c>
      <c r="Q285">
        <f t="shared" si="222"/>
        <v>46.965773791823864</v>
      </c>
      <c r="R285">
        <f t="shared" si="223"/>
        <v>1.5495026166395109</v>
      </c>
      <c r="S285">
        <f t="shared" si="224"/>
        <v>0.99356688011983274</v>
      </c>
      <c r="T285">
        <f t="shared" si="225"/>
        <v>-0.11349034533900874</v>
      </c>
      <c r="U285">
        <f t="shared" si="226"/>
        <v>0.49152617979734042</v>
      </c>
      <c r="V285">
        <f t="shared" si="227"/>
        <v>-1.0569549471635304</v>
      </c>
      <c r="X285">
        <f t="shared" si="244"/>
        <v>-22.225673468668575</v>
      </c>
      <c r="Y285">
        <f t="shared" si="228"/>
        <v>-151.95218011301168</v>
      </c>
      <c r="Z285">
        <f t="shared" si="245"/>
        <v>28.047819886988322</v>
      </c>
      <c r="AC285">
        <v>1</v>
      </c>
      <c r="AD285">
        <f t="shared" si="229"/>
        <v>122.250931072452</v>
      </c>
      <c r="AE285">
        <f t="shared" si="230"/>
        <v>-2.7268446482413902E-2</v>
      </c>
      <c r="AF285">
        <f t="shared" si="231"/>
        <v>1.5390662392350001E-2</v>
      </c>
      <c r="AG285">
        <f t="shared" si="246"/>
        <v>1891.2458773285912</v>
      </c>
      <c r="AH285">
        <f t="shared" si="247"/>
        <v>-3415.7943076674487</v>
      </c>
      <c r="AJ285">
        <f t="shared" si="232"/>
        <v>21000</v>
      </c>
      <c r="AK285">
        <f t="shared" si="233"/>
        <v>2393.5825816276501</v>
      </c>
      <c r="AL285">
        <v>1</v>
      </c>
      <c r="AM285">
        <f t="shared" si="234"/>
        <v>46.955126534434648</v>
      </c>
      <c r="AN285">
        <f t="shared" si="248"/>
        <v>60.473273250084347</v>
      </c>
      <c r="AO285">
        <f t="shared" si="249"/>
        <v>-445.94761578150292</v>
      </c>
      <c r="AQ285">
        <f t="shared" si="235"/>
        <v>1.9837294510425488E-2</v>
      </c>
      <c r="AR285">
        <f t="shared" si="236"/>
        <v>-14.084479102402097</v>
      </c>
      <c r="AT285">
        <f t="shared" si="261"/>
        <v>-48072.166342986027</v>
      </c>
      <c r="AU285">
        <f t="shared" si="262"/>
        <v>-26704.973154406896</v>
      </c>
      <c r="AV285">
        <f t="shared" si="250"/>
        <v>-2.6345225385529591</v>
      </c>
      <c r="AW285">
        <f t="shared" si="251"/>
        <v>-5267.2847643848309</v>
      </c>
      <c r="AX285">
        <f t="shared" si="252"/>
        <v>-5422.2967725740564</v>
      </c>
      <c r="AY285">
        <f t="shared" si="260"/>
        <v>-2.3416942832915644</v>
      </c>
      <c r="BA285">
        <f t="shared" si="237"/>
        <v>7.2745461432348808</v>
      </c>
      <c r="BB285">
        <f t="shared" si="253"/>
        <v>17.236118059997999</v>
      </c>
      <c r="BC285">
        <f t="shared" si="254"/>
        <v>-0.29282825526139478</v>
      </c>
      <c r="BD285">
        <f t="shared" si="238"/>
        <v>-196.77782316782893</v>
      </c>
      <c r="BF285">
        <f t="shared" si="239"/>
        <v>-23.755862218673002</v>
      </c>
      <c r="BG285">
        <f t="shared" si="240"/>
        <v>-189.9797251636567</v>
      </c>
      <c r="BH285">
        <f t="shared" si="255"/>
        <v>-9.9797251636566955</v>
      </c>
      <c r="BI285">
        <f t="shared" si="256"/>
        <v>-9.9797251636566955</v>
      </c>
      <c r="BJ285">
        <f t="shared" si="241"/>
        <v>0</v>
      </c>
      <c r="BK285">
        <f t="shared" si="257"/>
        <v>0</v>
      </c>
      <c r="BM285">
        <f t="shared" si="258"/>
        <v>-40.991980278671001</v>
      </c>
      <c r="BN285">
        <f t="shared" si="242"/>
        <v>-173.20190199582777</v>
      </c>
      <c r="BQ285" s="66">
        <f t="shared" si="259"/>
        <v>34.138078860283137</v>
      </c>
      <c r="BR285" s="71"/>
      <c r="BS285" s="71"/>
      <c r="BT285" s="71">
        <v>56234.133000000002</v>
      </c>
      <c r="BU285" s="71">
        <v>1.62296</v>
      </c>
      <c r="BV285" s="71">
        <v>-134.983</v>
      </c>
      <c r="BY285" s="71"/>
      <c r="BZ285" s="71"/>
      <c r="CA285" s="71"/>
      <c r="CC285" s="71"/>
    </row>
    <row r="286" spans="1:81" ht="13" x14ac:dyDescent="0.3">
      <c r="A286">
        <f t="shared" si="211"/>
        <v>360000</v>
      </c>
      <c r="B286">
        <f t="shared" si="243"/>
        <v>360</v>
      </c>
      <c r="C286">
        <f t="shared" si="212"/>
        <v>1.0063751821634812</v>
      </c>
      <c r="D286">
        <f t="shared" si="213"/>
        <v>0.11261879307579839</v>
      </c>
      <c r="F286">
        <f t="shared" si="214"/>
        <v>5.7473861460810008E-4</v>
      </c>
      <c r="G286">
        <f t="shared" si="215"/>
        <v>7.4762092643392355E-3</v>
      </c>
      <c r="H286">
        <f t="shared" si="216"/>
        <v>-3.134116440735661</v>
      </c>
      <c r="J286">
        <f t="shared" si="217"/>
        <v>15</v>
      </c>
      <c r="M286">
        <f t="shared" si="218"/>
        <v>3.0510494454749708E-3</v>
      </c>
      <c r="N286">
        <f t="shared" si="219"/>
        <v>-1.5707963250000001</v>
      </c>
      <c r="O286">
        <f t="shared" si="220"/>
        <v>123.97680825002364</v>
      </c>
      <c r="P286">
        <f t="shared" si="221"/>
        <v>1.5627302146091409</v>
      </c>
      <c r="Q286">
        <f t="shared" si="222"/>
        <v>47.626965756422621</v>
      </c>
      <c r="R286">
        <f t="shared" si="223"/>
        <v>1.5497982750765138</v>
      </c>
      <c r="S286">
        <f t="shared" si="224"/>
        <v>0.99338619581673804</v>
      </c>
      <c r="T286">
        <f t="shared" si="225"/>
        <v>-0.11507482322007398</v>
      </c>
      <c r="U286">
        <f t="shared" si="226"/>
        <v>0.48632267304687532</v>
      </c>
      <c r="V286">
        <f t="shared" si="227"/>
        <v>-1.0629200575283457</v>
      </c>
      <c r="X286">
        <f t="shared" si="244"/>
        <v>-22.439863926621587</v>
      </c>
      <c r="Y286">
        <f t="shared" si="228"/>
        <v>-152.27845197246464</v>
      </c>
      <c r="Z286">
        <f t="shared" si="245"/>
        <v>27.721548027535363</v>
      </c>
      <c r="AC286">
        <v>1</v>
      </c>
      <c r="AD286">
        <f t="shared" si="229"/>
        <v>123.972775172064</v>
      </c>
      <c r="AE286">
        <f t="shared" si="230"/>
        <v>-2.8041981068207437E-2</v>
      </c>
      <c r="AF286">
        <f t="shared" si="231"/>
        <v>1.5607432285200002E-2</v>
      </c>
      <c r="AG286">
        <f t="shared" si="246"/>
        <v>1851.4147554695439</v>
      </c>
      <c r="AH286">
        <f t="shared" si="247"/>
        <v>-3390.5216793704471</v>
      </c>
      <c r="AJ286">
        <f t="shared" si="232"/>
        <v>21000</v>
      </c>
      <c r="AK286">
        <f t="shared" si="233"/>
        <v>2427.2950123548003</v>
      </c>
      <c r="AL286">
        <v>1</v>
      </c>
      <c r="AM286">
        <f t="shared" si="234"/>
        <v>47.6164663447788</v>
      </c>
      <c r="AN286">
        <f t="shared" si="248"/>
        <v>60.211406491000062</v>
      </c>
      <c r="AO286">
        <f t="shared" si="249"/>
        <v>-439.75939839569952</v>
      </c>
      <c r="AQ286">
        <f t="shared" si="235"/>
        <v>1.9290086245975606E-2</v>
      </c>
      <c r="AR286">
        <f t="shared" si="236"/>
        <v>-13.888862097102436</v>
      </c>
      <c r="AT286">
        <f t="shared" si="261"/>
        <v>-47054.774091702224</v>
      </c>
      <c r="AU286">
        <f t="shared" si="262"/>
        <v>-25779.447678871027</v>
      </c>
      <c r="AV286">
        <f t="shared" si="250"/>
        <v>-2.6403936085131692</v>
      </c>
      <c r="AW286">
        <f t="shared" si="251"/>
        <v>-5114.6616533995284</v>
      </c>
      <c r="AX286">
        <f t="shared" si="252"/>
        <v>-5353.9154079809759</v>
      </c>
      <c r="AY286">
        <f t="shared" si="260"/>
        <v>-2.3333440005773802</v>
      </c>
      <c r="BA286">
        <f t="shared" si="237"/>
        <v>7.2462705575178399</v>
      </c>
      <c r="BB286">
        <f t="shared" si="253"/>
        <v>17.20229090929854</v>
      </c>
      <c r="BC286">
        <f t="shared" si="254"/>
        <v>-0.30704960793578895</v>
      </c>
      <c r="BD286">
        <f t="shared" si="238"/>
        <v>-197.59264665596987</v>
      </c>
      <c r="BF286">
        <f t="shared" si="239"/>
        <v>-24.031278008573548</v>
      </c>
      <c r="BG286">
        <f t="shared" si="240"/>
        <v>-190.71170987340361</v>
      </c>
      <c r="BH286">
        <f t="shared" si="255"/>
        <v>-10.711709873403606</v>
      </c>
      <c r="BI286">
        <f t="shared" si="256"/>
        <v>-10.711709873403606</v>
      </c>
      <c r="BJ286">
        <f t="shared" si="241"/>
        <v>0</v>
      </c>
      <c r="BK286">
        <f t="shared" si="257"/>
        <v>0</v>
      </c>
      <c r="BM286">
        <f t="shared" si="258"/>
        <v>-41.233568917872091</v>
      </c>
      <c r="BN286">
        <f t="shared" si="242"/>
        <v>-173.11906321743376</v>
      </c>
      <c r="BQ286" s="66">
        <f t="shared" si="259"/>
        <v>34.104251709583679</v>
      </c>
      <c r="BR286" s="71"/>
      <c r="BS286" s="71"/>
      <c r="BT286" s="71">
        <v>57543.993999999999</v>
      </c>
      <c r="BU286" s="71">
        <v>1.78169</v>
      </c>
      <c r="BV286" s="71">
        <v>-134.52199999999999</v>
      </c>
      <c r="BY286" s="71"/>
      <c r="BZ286" s="71"/>
      <c r="CA286" s="71"/>
      <c r="CC286" s="71"/>
    </row>
    <row r="287" spans="1:81" ht="13" x14ac:dyDescent="0.3">
      <c r="A287">
        <f t="shared" si="211"/>
        <v>365000</v>
      </c>
      <c r="B287">
        <f t="shared" si="243"/>
        <v>365</v>
      </c>
      <c r="C287">
        <f t="shared" si="212"/>
        <v>1.006552919837453</v>
      </c>
      <c r="D287">
        <f t="shared" si="213"/>
        <v>0.11416947783805367</v>
      </c>
      <c r="F287">
        <f t="shared" si="214"/>
        <v>5.5909180568913287E-4</v>
      </c>
      <c r="G287">
        <f t="shared" si="215"/>
        <v>7.3736828272951832E-3</v>
      </c>
      <c r="H287">
        <f t="shared" si="216"/>
        <v>-3.1342189671727052</v>
      </c>
      <c r="J287">
        <f t="shared" si="217"/>
        <v>15</v>
      </c>
      <c r="M287">
        <f t="shared" si="218"/>
        <v>3.0092542475917516E-3</v>
      </c>
      <c r="N287">
        <f t="shared" si="219"/>
        <v>-1.5707963250000001</v>
      </c>
      <c r="O287">
        <f t="shared" si="220"/>
        <v>125.69859710375285</v>
      </c>
      <c r="P287">
        <f t="shared" si="221"/>
        <v>1.5628407046020207</v>
      </c>
      <c r="Q287">
        <f t="shared" si="222"/>
        <v>48.288161770268587</v>
      </c>
      <c r="R287">
        <f t="shared" si="223"/>
        <v>1.5500858368049359</v>
      </c>
      <c r="S287">
        <f t="shared" si="224"/>
        <v>0.99320308507566657</v>
      </c>
      <c r="T287">
        <f t="shared" si="225"/>
        <v>-0.116658720943231</v>
      </c>
      <c r="U287">
        <f t="shared" si="226"/>
        <v>0.48121159723338119</v>
      </c>
      <c r="V287">
        <f t="shared" si="227"/>
        <v>-1.0687599897584883</v>
      </c>
      <c r="X287">
        <f t="shared" si="244"/>
        <v>-22.651697395607453</v>
      </c>
      <c r="Y287">
        <f t="shared" si="228"/>
        <v>-152.59802605321684</v>
      </c>
      <c r="Z287">
        <f t="shared" si="245"/>
        <v>27.401973946783158</v>
      </c>
      <c r="AC287">
        <v>1</v>
      </c>
      <c r="AD287">
        <f t="shared" si="229"/>
        <v>125.69461927167602</v>
      </c>
      <c r="AE287">
        <f t="shared" si="230"/>
        <v>-2.8826334319536538E-2</v>
      </c>
      <c r="AF287">
        <f t="shared" si="231"/>
        <v>1.5824202178050001E-2</v>
      </c>
      <c r="AG287">
        <f t="shared" si="246"/>
        <v>1812.7038468216444</v>
      </c>
      <c r="AH287">
        <f t="shared" si="247"/>
        <v>-3365.3265113523121</v>
      </c>
      <c r="AJ287">
        <f t="shared" si="232"/>
        <v>21000</v>
      </c>
      <c r="AK287">
        <f t="shared" si="233"/>
        <v>2461.0074430819504</v>
      </c>
      <c r="AL287">
        <v>1</v>
      </c>
      <c r="AM287">
        <f t="shared" si="234"/>
        <v>48.277806155122953</v>
      </c>
      <c r="AN287">
        <f t="shared" si="248"/>
        <v>59.960221343528872</v>
      </c>
      <c r="AO287">
        <f t="shared" si="249"/>
        <v>-433.74049995920211</v>
      </c>
      <c r="AQ287">
        <f t="shared" si="235"/>
        <v>1.8765211549612405E-2</v>
      </c>
      <c r="AR287">
        <f t="shared" si="236"/>
        <v>-13.698604431217055</v>
      </c>
      <c r="AT287">
        <f t="shared" si="261"/>
        <v>-46066.26088974061</v>
      </c>
      <c r="AU287">
        <f t="shared" si="262"/>
        <v>-24894.664012474226</v>
      </c>
      <c r="AV287">
        <f t="shared" si="250"/>
        <v>-2.6461420765894212</v>
      </c>
      <c r="AW287">
        <f t="shared" si="251"/>
        <v>-4968.5091534523253</v>
      </c>
      <c r="AX287">
        <f t="shared" si="252"/>
        <v>-5287.2634608856497</v>
      </c>
      <c r="AY287">
        <f t="shared" si="260"/>
        <v>-2.3251240150175327</v>
      </c>
      <c r="BA287">
        <f t="shared" si="237"/>
        <v>7.2170277912413052</v>
      </c>
      <c r="BB287">
        <f t="shared" si="253"/>
        <v>17.167167553536196</v>
      </c>
      <c r="BC287">
        <f t="shared" si="254"/>
        <v>-0.3210180615718885</v>
      </c>
      <c r="BD287">
        <f t="shared" si="238"/>
        <v>-198.39298009655704</v>
      </c>
      <c r="BF287">
        <f t="shared" si="239"/>
        <v>-24.304612463815115</v>
      </c>
      <c r="BG287">
        <f t="shared" si="240"/>
        <v>-191.42906995379465</v>
      </c>
      <c r="BH287">
        <f t="shared" si="255"/>
        <v>-11.429069953794652</v>
      </c>
      <c r="BI287">
        <f t="shared" si="256"/>
        <v>-11.429069953794652</v>
      </c>
      <c r="BJ287">
        <f t="shared" si="241"/>
        <v>0</v>
      </c>
      <c r="BK287">
        <f t="shared" si="257"/>
        <v>0</v>
      </c>
      <c r="BM287">
        <f t="shared" si="258"/>
        <v>-41.471780017351307</v>
      </c>
      <c r="BN287">
        <f t="shared" si="242"/>
        <v>-173.03608985723761</v>
      </c>
      <c r="BQ287" s="66">
        <f t="shared" si="259"/>
        <v>34.069128353821327</v>
      </c>
      <c r="BR287" s="71"/>
      <c r="BS287" s="71"/>
      <c r="BT287" s="71">
        <v>58884.366000000002</v>
      </c>
      <c r="BU287" s="71">
        <v>1.9421999999999999</v>
      </c>
      <c r="BV287" s="71">
        <v>-134.059</v>
      </c>
      <c r="BY287" s="71"/>
      <c r="BZ287" s="71"/>
      <c r="CA287" s="71"/>
      <c r="CC287" s="71"/>
    </row>
    <row r="288" spans="1:81" ht="13" x14ac:dyDescent="0.3">
      <c r="A288">
        <f t="shared" si="211"/>
        <v>370000</v>
      </c>
      <c r="B288">
        <f t="shared" si="243"/>
        <v>370</v>
      </c>
      <c r="C288">
        <f t="shared" si="212"/>
        <v>1.0067330770339342</v>
      </c>
      <c r="D288">
        <f t="shared" si="213"/>
        <v>0.11571961132949113</v>
      </c>
      <c r="F288">
        <f t="shared" si="214"/>
        <v>5.440754729420876E-4</v>
      </c>
      <c r="G288">
        <f t="shared" si="215"/>
        <v>7.2739318512579695E-3</v>
      </c>
      <c r="H288">
        <f t="shared" si="216"/>
        <v>-3.1343187181487422</v>
      </c>
      <c r="J288">
        <f t="shared" si="217"/>
        <v>15</v>
      </c>
      <c r="M288">
        <f t="shared" si="218"/>
        <v>2.9685886496513231E-3</v>
      </c>
      <c r="N288">
        <f t="shared" si="219"/>
        <v>-1.5707963250000001</v>
      </c>
      <c r="O288">
        <f t="shared" si="220"/>
        <v>127.42038745054411</v>
      </c>
      <c r="P288">
        <f t="shared" si="221"/>
        <v>1.5629482085653457</v>
      </c>
      <c r="Q288">
        <f t="shared" si="222"/>
        <v>48.949361669273024</v>
      </c>
      <c r="R288">
        <f t="shared" si="223"/>
        <v>1.550365629883238</v>
      </c>
      <c r="S288">
        <f t="shared" si="224"/>
        <v>0.99301755199363739</v>
      </c>
      <c r="T288">
        <f t="shared" si="225"/>
        <v>-0.11824203088431241</v>
      </c>
      <c r="U288">
        <f t="shared" si="226"/>
        <v>0.4761910983275115</v>
      </c>
      <c r="V288">
        <f t="shared" si="227"/>
        <v>-1.0744782571664984</v>
      </c>
      <c r="X288">
        <f t="shared" si="244"/>
        <v>-22.861221611484254</v>
      </c>
      <c r="Y288">
        <f t="shared" si="228"/>
        <v>-152.91108433675066</v>
      </c>
      <c r="Z288">
        <f t="shared" si="245"/>
        <v>27.088915663249338</v>
      </c>
      <c r="AC288">
        <v>1</v>
      </c>
      <c r="AD288">
        <f t="shared" si="229"/>
        <v>127.41646337128802</v>
      </c>
      <c r="AE288">
        <f t="shared" si="230"/>
        <v>-2.9621506236401217E-2</v>
      </c>
      <c r="AF288">
        <f t="shared" si="231"/>
        <v>1.6040972070899998E-2</v>
      </c>
      <c r="AG288">
        <f t="shared" si="246"/>
        <v>1775.0771400946664</v>
      </c>
      <c r="AH288">
        <f t="shared" si="247"/>
        <v>-3340.2251645714136</v>
      </c>
      <c r="AJ288">
        <f t="shared" si="232"/>
        <v>21000</v>
      </c>
      <c r="AK288">
        <f t="shared" si="233"/>
        <v>2494.7198738091001</v>
      </c>
      <c r="AL288">
        <v>1</v>
      </c>
      <c r="AM288">
        <f t="shared" si="234"/>
        <v>48.939145965467105</v>
      </c>
      <c r="AN288">
        <f t="shared" si="248"/>
        <v>59.719144747056149</v>
      </c>
      <c r="AO288">
        <f t="shared" si="249"/>
        <v>-427.88406789993883</v>
      </c>
      <c r="AQ288">
        <f t="shared" si="235"/>
        <v>1.8261471399796569E-2</v>
      </c>
      <c r="AR288">
        <f t="shared" si="236"/>
        <v>-13.51348883584946</v>
      </c>
      <c r="AT288">
        <f t="shared" si="261"/>
        <v>-45105.679950232952</v>
      </c>
      <c r="AU288">
        <f t="shared" si="262"/>
        <v>-24048.482541752561</v>
      </c>
      <c r="AV288">
        <f t="shared" si="250"/>
        <v>-2.6517713516621839</v>
      </c>
      <c r="AW288">
        <f t="shared" si="251"/>
        <v>-4828.4684252761699</v>
      </c>
      <c r="AX288">
        <f t="shared" si="252"/>
        <v>-5222.2720993860203</v>
      </c>
      <c r="AY288">
        <f t="shared" si="260"/>
        <v>-2.3170329640519318</v>
      </c>
      <c r="BA288">
        <f t="shared" si="237"/>
        <v>7.1868937457778399</v>
      </c>
      <c r="BB288">
        <f t="shared" si="253"/>
        <v>17.130824482042485</v>
      </c>
      <c r="BC288">
        <f t="shared" si="254"/>
        <v>-0.3347383876102521</v>
      </c>
      <c r="BD288">
        <f t="shared" si="238"/>
        <v>-199.17909687299701</v>
      </c>
      <c r="BF288">
        <f t="shared" si="239"/>
        <v>-24.575880613086134</v>
      </c>
      <c r="BG288">
        <f t="shared" si="240"/>
        <v>-192.13208593332766</v>
      </c>
      <c r="BH288">
        <f t="shared" si="255"/>
        <v>-12.132085933327659</v>
      </c>
      <c r="BI288">
        <f t="shared" si="256"/>
        <v>-12.132085933327659</v>
      </c>
      <c r="BJ288">
        <f t="shared" si="241"/>
        <v>0</v>
      </c>
      <c r="BK288">
        <f t="shared" si="257"/>
        <v>0</v>
      </c>
      <c r="BM288">
        <f t="shared" si="258"/>
        <v>-41.706705095128626</v>
      </c>
      <c r="BN288">
        <f t="shared" si="242"/>
        <v>-172.95298906033065</v>
      </c>
      <c r="BQ288" s="66">
        <f t="shared" si="259"/>
        <v>34.032785282327623</v>
      </c>
      <c r="BR288" s="71"/>
      <c r="BS288" s="71"/>
      <c r="BT288" s="71">
        <v>60255.959000000003</v>
      </c>
      <c r="BU288" s="71">
        <v>2.1075200000000001</v>
      </c>
      <c r="BV288" s="71">
        <v>-133.65100000000001</v>
      </c>
      <c r="BY288" s="71"/>
      <c r="BZ288" s="71"/>
      <c r="CA288" s="71"/>
      <c r="CC288" s="71"/>
    </row>
    <row r="289" spans="1:81" ht="13" x14ac:dyDescent="0.3">
      <c r="A289">
        <f t="shared" si="211"/>
        <v>375000</v>
      </c>
      <c r="B289">
        <f t="shared" si="243"/>
        <v>375</v>
      </c>
      <c r="C289">
        <f t="shared" si="212"/>
        <v>1.0069156524542229</v>
      </c>
      <c r="D289">
        <f t="shared" si="213"/>
        <v>0.11726918639835719</v>
      </c>
      <c r="F289">
        <f t="shared" si="214"/>
        <v>5.2965618746293654E-4</v>
      </c>
      <c r="G289">
        <f t="shared" si="215"/>
        <v>7.1768450836184562E-3</v>
      </c>
      <c r="H289">
        <f t="shared" si="216"/>
        <v>-3.1344158049163817</v>
      </c>
      <c r="J289">
        <f t="shared" si="217"/>
        <v>15</v>
      </c>
      <c r="M289">
        <f t="shared" si="218"/>
        <v>2.9290074676559721E-3</v>
      </c>
      <c r="N289">
        <f t="shared" si="219"/>
        <v>-1.5707963250000001</v>
      </c>
      <c r="O289">
        <f t="shared" si="220"/>
        <v>129.14217923067858</v>
      </c>
      <c r="P289">
        <f t="shared" si="221"/>
        <v>1.5630528459305517</v>
      </c>
      <c r="Q289">
        <f t="shared" si="222"/>
        <v>49.610565298094066</v>
      </c>
      <c r="R289">
        <f t="shared" si="223"/>
        <v>1.5506379648856068</v>
      </c>
      <c r="S289">
        <f t="shared" si="224"/>
        <v>0.99282960071773885</v>
      </c>
      <c r="T289">
        <f t="shared" si="225"/>
        <v>-0.1198247454365962</v>
      </c>
      <c r="U289">
        <f t="shared" si="226"/>
        <v>0.47125934067709974</v>
      </c>
      <c r="V289">
        <f t="shared" si="227"/>
        <v>-1.0800782600401233</v>
      </c>
      <c r="X289">
        <f t="shared" si="244"/>
        <v>-23.068482904470848</v>
      </c>
      <c r="Y289">
        <f t="shared" si="228"/>
        <v>-153.21780335593328</v>
      </c>
      <c r="Z289">
        <f t="shared" si="245"/>
        <v>26.782196644066715</v>
      </c>
      <c r="AC289">
        <v>1</v>
      </c>
      <c r="AD289">
        <f t="shared" si="229"/>
        <v>129.1383074709</v>
      </c>
      <c r="AE289">
        <f t="shared" si="230"/>
        <v>-3.0427496818801473E-2</v>
      </c>
      <c r="AF289">
        <f t="shared" si="231"/>
        <v>1.6257741963749999E-2</v>
      </c>
      <c r="AG289">
        <f t="shared" si="246"/>
        <v>1738.4997331553552</v>
      </c>
      <c r="AH289">
        <f t="shared" si="247"/>
        <v>-3315.2325347670649</v>
      </c>
      <c r="AJ289">
        <f t="shared" si="232"/>
        <v>21000</v>
      </c>
      <c r="AK289">
        <f t="shared" si="233"/>
        <v>2528.4323045362503</v>
      </c>
      <c r="AL289">
        <v>1</v>
      </c>
      <c r="AM289">
        <f t="shared" si="234"/>
        <v>49.600485775811251</v>
      </c>
      <c r="AN289">
        <f t="shared" si="248"/>
        <v>59.487641557073232</v>
      </c>
      <c r="AO289">
        <f t="shared" si="249"/>
        <v>-422.18361435191878</v>
      </c>
      <c r="AQ289">
        <f t="shared" si="235"/>
        <v>1.7777746172895691E-2</v>
      </c>
      <c r="AR289">
        <f t="shared" si="236"/>
        <v>-13.333309629671769</v>
      </c>
      <c r="AT289">
        <f t="shared" si="261"/>
        <v>-44172.11527343317</v>
      </c>
      <c r="AU289">
        <f t="shared" si="262"/>
        <v>-23238.892595769314</v>
      </c>
      <c r="AV289">
        <f t="shared" si="250"/>
        <v>-2.6572847351561544</v>
      </c>
      <c r="AW289">
        <f t="shared" si="251"/>
        <v>-4694.2049898049627</v>
      </c>
      <c r="AX289">
        <f t="shared" si="252"/>
        <v>-5158.8764100059707</v>
      </c>
      <c r="AY289">
        <f t="shared" si="260"/>
        <v>-2.3090693956555479</v>
      </c>
      <c r="BA289">
        <f t="shared" si="237"/>
        <v>7.1559404820589059</v>
      </c>
      <c r="BB289">
        <f t="shared" si="253"/>
        <v>17.093334395254708</v>
      </c>
      <c r="BC289">
        <f t="shared" si="254"/>
        <v>-0.34821533950060646</v>
      </c>
      <c r="BD289">
        <f t="shared" si="238"/>
        <v>-199.95126933789751</v>
      </c>
      <c r="BF289">
        <f t="shared" si="239"/>
        <v>-24.845097581871485</v>
      </c>
      <c r="BG289">
        <f t="shared" si="240"/>
        <v>-192.82103694868064</v>
      </c>
      <c r="BH289">
        <f t="shared" si="255"/>
        <v>-12.821036948680643</v>
      </c>
      <c r="BI289">
        <f t="shared" si="256"/>
        <v>-12.821036948680643</v>
      </c>
      <c r="BJ289">
        <f t="shared" si="241"/>
        <v>0</v>
      </c>
      <c r="BK289">
        <f t="shared" si="257"/>
        <v>0</v>
      </c>
      <c r="BM289">
        <f t="shared" si="258"/>
        <v>-41.9384319771262</v>
      </c>
      <c r="BN289">
        <f t="shared" si="242"/>
        <v>-172.86976761078316</v>
      </c>
      <c r="BQ289" s="66">
        <f t="shared" si="259"/>
        <v>33.995295195539846</v>
      </c>
      <c r="BR289" s="71"/>
      <c r="BS289" s="71"/>
      <c r="BT289" s="71">
        <v>61659.5</v>
      </c>
      <c r="BU289" s="71">
        <v>2.2781099999999999</v>
      </c>
      <c r="BV289" s="71">
        <v>-133.24799999999999</v>
      </c>
      <c r="BY289" s="71"/>
      <c r="BZ289" s="71"/>
      <c r="CA289" s="71"/>
      <c r="CC289" s="71"/>
    </row>
    <row r="290" spans="1:81" ht="13" x14ac:dyDescent="0.3">
      <c r="A290">
        <f t="shared" si="211"/>
        <v>380000</v>
      </c>
      <c r="B290">
        <f t="shared" si="243"/>
        <v>380</v>
      </c>
      <c r="C290">
        <f t="shared" si="212"/>
        <v>1.0071006447831334</v>
      </c>
      <c r="D290">
        <f t="shared" si="213"/>
        <v>0.11881819590877697</v>
      </c>
      <c r="F290">
        <f t="shared" si="214"/>
        <v>5.1580270725850848E-4</v>
      </c>
      <c r="G290">
        <f t="shared" si="215"/>
        <v>7.0823171422854199E-3</v>
      </c>
      <c r="H290">
        <f t="shared" si="216"/>
        <v>-3.1345103328577149</v>
      </c>
      <c r="J290">
        <f t="shared" si="217"/>
        <v>15</v>
      </c>
      <c r="M290">
        <f t="shared" si="218"/>
        <v>2.8904678957131303E-3</v>
      </c>
      <c r="N290">
        <f t="shared" si="219"/>
        <v>-1.5707963250000001</v>
      </c>
      <c r="O290">
        <f t="shared" si="220"/>
        <v>130.8639723875803</v>
      </c>
      <c r="P290">
        <f t="shared" si="221"/>
        <v>1.5631547298438384</v>
      </c>
      <c r="Q290">
        <f t="shared" si="222"/>
        <v>50.271772509561529</v>
      </c>
      <c r="R290">
        <f t="shared" si="223"/>
        <v>1.5509031360512955</v>
      </c>
      <c r="S290">
        <f t="shared" si="224"/>
        <v>0.99263923544487398</v>
      </c>
      <c r="T290">
        <f t="shared" si="225"/>
        <v>-0.12140685701101159</v>
      </c>
      <c r="U290">
        <f t="shared" si="226"/>
        <v>0.46641450935127043</v>
      </c>
      <c r="V290">
        <f t="shared" si="227"/>
        <v>-1.085563289153497</v>
      </c>
      <c r="X290">
        <f t="shared" si="244"/>
        <v>-23.273526258166367</v>
      </c>
      <c r="Y290">
        <f t="shared" si="228"/>
        <v>-153.51835432874984</v>
      </c>
      <c r="Z290">
        <f t="shared" si="245"/>
        <v>26.481645671250163</v>
      </c>
      <c r="AC290">
        <v>1</v>
      </c>
      <c r="AD290">
        <f t="shared" si="229"/>
        <v>130.86015157051202</v>
      </c>
      <c r="AE290">
        <f t="shared" si="230"/>
        <v>-3.1244306066737299E-2</v>
      </c>
      <c r="AF290">
        <f t="shared" si="231"/>
        <v>1.64745118566E-2</v>
      </c>
      <c r="AG290">
        <f t="shared" si="246"/>
        <v>1702.9378171523558</v>
      </c>
      <c r="AH290">
        <f t="shared" si="247"/>
        <v>-3290.3621572261245</v>
      </c>
      <c r="AJ290">
        <f t="shared" si="232"/>
        <v>21000</v>
      </c>
      <c r="AK290">
        <f t="shared" si="233"/>
        <v>2562.1447352634004</v>
      </c>
      <c r="AL290">
        <v>1</v>
      </c>
      <c r="AM290">
        <f t="shared" si="234"/>
        <v>50.261825586155403</v>
      </c>
      <c r="AN290">
        <f t="shared" si="248"/>
        <v>59.26521157449595</v>
      </c>
      <c r="AO290">
        <f t="shared" si="249"/>
        <v>-416.6329922205137</v>
      </c>
      <c r="AQ290">
        <f t="shared" si="235"/>
        <v>1.7312989416569571E-2</v>
      </c>
      <c r="AR290">
        <f t="shared" si="236"/>
        <v>-13.157871956592873</v>
      </c>
      <c r="AT290">
        <f t="shared" si="261"/>
        <v>-43264.681011194618</v>
      </c>
      <c r="AU290">
        <f t="shared" si="262"/>
        <v>-22464.003753335201</v>
      </c>
      <c r="AV290">
        <f t="shared" si="250"/>
        <v>-2.6626854241851099</v>
      </c>
      <c r="AW290">
        <f t="shared" si="251"/>
        <v>-4565.4067851704085</v>
      </c>
      <c r="AX290">
        <f t="shared" si="252"/>
        <v>-5097.0151025627347</v>
      </c>
      <c r="AY290">
        <f t="shared" si="260"/>
        <v>-2.3012317796062094</v>
      </c>
      <c r="BA290">
        <f t="shared" si="237"/>
        <v>7.1242363526068671</v>
      </c>
      <c r="BB290">
        <f t="shared" si="253"/>
        <v>17.0547663823885</v>
      </c>
      <c r="BC290">
        <f t="shared" si="254"/>
        <v>-0.3614536445789005</v>
      </c>
      <c r="BD290">
        <f t="shared" si="238"/>
        <v>-200.70976834765708</v>
      </c>
      <c r="BF290">
        <f t="shared" si="239"/>
        <v>-25.112278610919489</v>
      </c>
      <c r="BG290">
        <f t="shared" si="240"/>
        <v>-193.49620030305675</v>
      </c>
      <c r="BH290">
        <f t="shared" si="255"/>
        <v>-13.496200303056753</v>
      </c>
      <c r="BI290">
        <f t="shared" si="256"/>
        <v>-13.496200303056753</v>
      </c>
      <c r="BJ290">
        <f t="shared" si="241"/>
        <v>0</v>
      </c>
      <c r="BK290">
        <f t="shared" si="257"/>
        <v>0</v>
      </c>
      <c r="BM290">
        <f t="shared" si="258"/>
        <v>-42.167044993307989</v>
      </c>
      <c r="BN290">
        <f t="shared" si="242"/>
        <v>-172.78643195539968</v>
      </c>
      <c r="BQ290" s="66">
        <f t="shared" si="259"/>
        <v>33.956727182673639</v>
      </c>
      <c r="BR290" s="71"/>
      <c r="BS290" s="71"/>
      <c r="BT290" s="71">
        <v>63095.733999999997</v>
      </c>
      <c r="BU290" s="71">
        <v>2.4499300000000002</v>
      </c>
      <c r="BV290" s="71">
        <v>-132.86600000000001</v>
      </c>
      <c r="BY290" s="71"/>
      <c r="BZ290" s="71"/>
      <c r="CA290" s="71"/>
      <c r="CC290" s="71"/>
    </row>
    <row r="291" spans="1:81" ht="13" x14ac:dyDescent="0.3">
      <c r="A291">
        <f t="shared" si="211"/>
        <v>385000</v>
      </c>
      <c r="B291">
        <f t="shared" si="243"/>
        <v>385</v>
      </c>
      <c r="C291">
        <f t="shared" si="212"/>
        <v>1.007288052689042</v>
      </c>
      <c r="D291">
        <f t="shared" si="213"/>
        <v>0.12036663274093953</v>
      </c>
      <c r="F291">
        <f t="shared" si="214"/>
        <v>5.0248580775866226E-4</v>
      </c>
      <c r="G291">
        <f t="shared" si="215"/>
        <v>6.9902481333267222E-3</v>
      </c>
      <c r="H291">
        <f t="shared" si="216"/>
        <v>-3.1346024018666734</v>
      </c>
      <c r="J291">
        <f t="shared" si="217"/>
        <v>15</v>
      </c>
      <c r="M291">
        <f t="shared" si="218"/>
        <v>2.8529293516129594E-3</v>
      </c>
      <c r="N291">
        <f t="shared" si="219"/>
        <v>-1.5707963250000001</v>
      </c>
      <c r="O291">
        <f t="shared" si="220"/>
        <v>132.58576686761208</v>
      </c>
      <c r="P291">
        <f t="shared" si="221"/>
        <v>1.5632539675742532</v>
      </c>
      <c r="Q291">
        <f t="shared" si="222"/>
        <v>50.932983164146684</v>
      </c>
      <c r="R291">
        <f t="shared" si="223"/>
        <v>1.5511614223444872</v>
      </c>
      <c r="S291">
        <f t="shared" si="224"/>
        <v>0.99244646042150686</v>
      </c>
      <c r="T291">
        <f t="shared" si="225"/>
        <v>-0.12298835803634352</v>
      </c>
      <c r="U291">
        <f t="shared" si="226"/>
        <v>0.4616548121609047</v>
      </c>
      <c r="V291">
        <f t="shared" si="227"/>
        <v>-1.0909365292236364</v>
      </c>
      <c r="X291">
        <f t="shared" si="244"/>
        <v>-23.476395364904445</v>
      </c>
      <c r="Y291">
        <f t="shared" si="228"/>
        <v>-153.81290329414767</v>
      </c>
      <c r="Z291">
        <f t="shared" si="245"/>
        <v>26.187096705852326</v>
      </c>
      <c r="AC291">
        <v>1</v>
      </c>
      <c r="AD291">
        <f t="shared" si="229"/>
        <v>132.581995670124</v>
      </c>
      <c r="AE291">
        <f t="shared" si="230"/>
        <v>-3.2071933980208689E-2</v>
      </c>
      <c r="AF291">
        <f t="shared" si="231"/>
        <v>1.6691281749450001E-2</v>
      </c>
      <c r="AG291">
        <f t="shared" si="246"/>
        <v>1668.3586581591628</v>
      </c>
      <c r="AH291">
        <f t="shared" si="247"/>
        <v>-3265.6263046776694</v>
      </c>
      <c r="AJ291">
        <f t="shared" si="232"/>
        <v>21000</v>
      </c>
      <c r="AK291">
        <f t="shared" si="233"/>
        <v>2595.8571659905501</v>
      </c>
      <c r="AL291">
        <v>1</v>
      </c>
      <c r="AM291">
        <f t="shared" si="234"/>
        <v>50.923165396499556</v>
      </c>
      <c r="AN291">
        <f t="shared" si="248"/>
        <v>59.051386842986368</v>
      </c>
      <c r="AO291">
        <f t="shared" si="249"/>
        <v>-411.22637310752265</v>
      </c>
      <c r="AQ291">
        <f t="shared" si="235"/>
        <v>1.6866222185491338E-2</v>
      </c>
      <c r="AR291">
        <f t="shared" si="236"/>
        <v>-12.986991082828331</v>
      </c>
      <c r="AT291">
        <f t="shared" si="261"/>
        <v>-42382.520790884926</v>
      </c>
      <c r="AU291">
        <f t="shared" si="262"/>
        <v>-21722.037795301967</v>
      </c>
      <c r="AV291">
        <f t="shared" si="250"/>
        <v>-2.6679765146706149</v>
      </c>
      <c r="AW291">
        <f t="shared" si="251"/>
        <v>-4441.7824008791058</v>
      </c>
      <c r="AX291">
        <f t="shared" si="252"/>
        <v>-5036.6302423473862</v>
      </c>
      <c r="AY291">
        <f t="shared" si="260"/>
        <v>-2.2935185178922302</v>
      </c>
      <c r="BA291">
        <f t="shared" si="237"/>
        <v>7.091846135466354</v>
      </c>
      <c r="BB291">
        <f t="shared" si="253"/>
        <v>17.015186091756377</v>
      </c>
      <c r="BC291">
        <f t="shared" si="254"/>
        <v>-0.37445799677838476</v>
      </c>
      <c r="BD291">
        <f t="shared" si="238"/>
        <v>-201.45486284484059</v>
      </c>
      <c r="BF291">
        <f t="shared" si="239"/>
        <v>-25.377439069203383</v>
      </c>
      <c r="BG291">
        <f t="shared" si="240"/>
        <v>-194.15785107045667</v>
      </c>
      <c r="BH291">
        <f t="shared" si="255"/>
        <v>-14.157851070456672</v>
      </c>
      <c r="BI291">
        <f t="shared" si="256"/>
        <v>-14.157851070456672</v>
      </c>
      <c r="BJ291">
        <f t="shared" si="241"/>
        <v>0</v>
      </c>
      <c r="BK291">
        <f t="shared" si="257"/>
        <v>0</v>
      </c>
      <c r="BM291">
        <f t="shared" si="258"/>
        <v>-42.39262516095976</v>
      </c>
      <c r="BN291">
        <f t="shared" si="242"/>
        <v>-172.70298822561611</v>
      </c>
      <c r="BQ291" s="66">
        <f t="shared" si="259"/>
        <v>33.917146892041508</v>
      </c>
      <c r="BR291" s="71"/>
      <c r="BS291" s="71"/>
      <c r="BT291" s="71">
        <v>64565.423000000003</v>
      </c>
      <c r="BU291" s="71">
        <v>2.6258699999999999</v>
      </c>
      <c r="BV291" s="71">
        <v>-132.49799999999999</v>
      </c>
      <c r="BY291" s="71"/>
      <c r="BZ291" s="71"/>
      <c r="CA291" s="71"/>
      <c r="CC291" s="71"/>
    </row>
    <row r="292" spans="1:81" ht="13" x14ac:dyDescent="0.3">
      <c r="A292">
        <f t="shared" si="211"/>
        <v>390000</v>
      </c>
      <c r="B292">
        <f t="shared" si="243"/>
        <v>390</v>
      </c>
      <c r="C292">
        <f t="shared" si="212"/>
        <v>1.0074778748239339</v>
      </c>
      <c r="D292">
        <f t="shared" si="213"/>
        <v>0.12191448979128203</v>
      </c>
      <c r="F292">
        <f t="shared" si="214"/>
        <v>4.8967812745988998E-4</v>
      </c>
      <c r="G292">
        <f t="shared" si="215"/>
        <v>6.9005432981245948E-3</v>
      </c>
      <c r="H292">
        <f t="shared" si="216"/>
        <v>-3.1346921067018756</v>
      </c>
      <c r="J292">
        <f t="shared" si="217"/>
        <v>15</v>
      </c>
      <c r="M292">
        <f t="shared" si="218"/>
        <v>2.8163533342845885E-3</v>
      </c>
      <c r="N292">
        <f t="shared" si="219"/>
        <v>-1.5707963250000001</v>
      </c>
      <c r="O292">
        <f t="shared" si="220"/>
        <v>134.30756261988722</v>
      </c>
      <c r="P292">
        <f t="shared" si="221"/>
        <v>1.563350660890388</v>
      </c>
      <c r="Q292">
        <f t="shared" si="222"/>
        <v>51.594197129472668</v>
      </c>
      <c r="R292">
        <f t="shared" si="223"/>
        <v>1.5514130884327062</v>
      </c>
      <c r="S292">
        <f t="shared" si="224"/>
        <v>0.99225127994340423</v>
      </c>
      <c r="T292">
        <f t="shared" si="225"/>
        <v>-0.12456924095943578</v>
      </c>
      <c r="U292">
        <f t="shared" si="226"/>
        <v>0.45697848138692582</v>
      </c>
      <c r="V292">
        <f t="shared" si="227"/>
        <v>-1.0962010623050489</v>
      </c>
      <c r="X292">
        <f t="shared" si="244"/>
        <v>-23.677132677763062</v>
      </c>
      <c r="Y292">
        <f t="shared" si="228"/>
        <v>-154.10161124910863</v>
      </c>
      <c r="Z292">
        <f t="shared" si="245"/>
        <v>25.898388750891371</v>
      </c>
      <c r="AC292">
        <v>1</v>
      </c>
      <c r="AD292">
        <f t="shared" si="229"/>
        <v>134.30383976973602</v>
      </c>
      <c r="AE292">
        <f t="shared" si="230"/>
        <v>-3.291038055921567E-2</v>
      </c>
      <c r="AF292">
        <f t="shared" si="231"/>
        <v>1.6908051642299998E-2</v>
      </c>
      <c r="AG292">
        <f t="shared" si="246"/>
        <v>1634.7305767719906</v>
      </c>
      <c r="AH292">
        <f t="shared" si="247"/>
        <v>-3241.0360787079999</v>
      </c>
      <c r="AJ292">
        <f t="shared" si="232"/>
        <v>21000</v>
      </c>
      <c r="AK292">
        <f t="shared" si="233"/>
        <v>2629.5695967177003</v>
      </c>
      <c r="AL292">
        <v>1</v>
      </c>
      <c r="AM292">
        <f t="shared" si="234"/>
        <v>51.584505206843694</v>
      </c>
      <c r="AN292">
        <f t="shared" si="248"/>
        <v>58.845729187000465</v>
      </c>
      <c r="AO292">
        <f t="shared" si="249"/>
        <v>-405.95822692963907</v>
      </c>
      <c r="AQ292">
        <f t="shared" si="235"/>
        <v>1.6436527882104073E-2</v>
      </c>
      <c r="AR292">
        <f t="shared" si="236"/>
        <v>-12.820491748041176</v>
      </c>
      <c r="AT292">
        <f t="shared" si="261"/>
        <v>-41524.807007474803</v>
      </c>
      <c r="AU292">
        <f t="shared" si="262"/>
        <v>-21011.321249650489</v>
      </c>
      <c r="AV292">
        <f t="shared" si="250"/>
        <v>-2.6731610044248191</v>
      </c>
      <c r="AW292">
        <f t="shared" si="251"/>
        <v>-4323.0594710485866</v>
      </c>
      <c r="AX292">
        <f t="shared" si="252"/>
        <v>-4977.6670066875913</v>
      </c>
      <c r="AY292">
        <f t="shared" si="260"/>
        <v>-2.285927954306632</v>
      </c>
      <c r="BA292">
        <f t="shared" si="237"/>
        <v>7.0588311690333896</v>
      </c>
      <c r="BB292">
        <f t="shared" si="253"/>
        <v>16.974655893944227</v>
      </c>
      <c r="BC292">
        <f t="shared" si="254"/>
        <v>-0.38723305011818709</v>
      </c>
      <c r="BD292">
        <f t="shared" si="238"/>
        <v>-202.18681948510215</v>
      </c>
      <c r="BF292">
        <f t="shared" si="239"/>
        <v>-25.640594462164501</v>
      </c>
      <c r="BG292">
        <f t="shared" si="240"/>
        <v>-194.80626174280758</v>
      </c>
      <c r="BH292">
        <f t="shared" si="255"/>
        <v>-14.806261742807578</v>
      </c>
      <c r="BI292">
        <f t="shared" si="256"/>
        <v>-14.806261742807578</v>
      </c>
      <c r="BJ292">
        <f t="shared" si="241"/>
        <v>0</v>
      </c>
      <c r="BK292">
        <f t="shared" si="257"/>
        <v>0</v>
      </c>
      <c r="BM292">
        <f t="shared" si="258"/>
        <v>-42.615250356108724</v>
      </c>
      <c r="BN292">
        <f t="shared" si="242"/>
        <v>-172.61944225770543</v>
      </c>
      <c r="BQ292" s="66">
        <f t="shared" si="259"/>
        <v>33.876616694229362</v>
      </c>
      <c r="BR292" s="71"/>
      <c r="BS292" s="71"/>
      <c r="BT292" s="71">
        <v>66069.345000000001</v>
      </c>
      <c r="BU292" s="71">
        <v>2.7940900000000002</v>
      </c>
      <c r="BV292" s="71">
        <v>-132.279</v>
      </c>
      <c r="BY292" s="71"/>
      <c r="BZ292" s="71"/>
      <c r="CA292" s="71"/>
      <c r="CC292" s="71"/>
    </row>
    <row r="293" spans="1:81" ht="13" x14ac:dyDescent="0.3">
      <c r="A293">
        <f t="shared" si="211"/>
        <v>395000</v>
      </c>
      <c r="B293">
        <f t="shared" si="243"/>
        <v>395</v>
      </c>
      <c r="C293">
        <f t="shared" si="212"/>
        <v>1.007670109823452</v>
      </c>
      <c r="D293">
        <f t="shared" si="213"/>
        <v>0.1234617599726727</v>
      </c>
      <c r="F293">
        <f t="shared" si="214"/>
        <v>4.7735402717570308E-4</v>
      </c>
      <c r="G293">
        <f t="shared" si="215"/>
        <v>6.813112687419751E-3</v>
      </c>
      <c r="H293">
        <f t="shared" si="216"/>
        <v>-3.1347795373125806</v>
      </c>
      <c r="J293">
        <f t="shared" si="217"/>
        <v>15</v>
      </c>
      <c r="M293">
        <f t="shared" si="218"/>
        <v>2.7807032920784546E-3</v>
      </c>
      <c r="N293">
        <f t="shared" si="219"/>
        <v>-1.5707963250000001</v>
      </c>
      <c r="O293">
        <f t="shared" si="220"/>
        <v>136.02935959609528</v>
      </c>
      <c r="P293">
        <f t="shared" si="221"/>
        <v>1.5634449064084717</v>
      </c>
      <c r="Q293">
        <f t="shared" si="222"/>
        <v>52.255414279862073</v>
      </c>
      <c r="R293">
        <f t="shared" si="223"/>
        <v>1.5516583855909838</v>
      </c>
      <c r="S293">
        <f t="shared" si="224"/>
        <v>0.99205369835537449</v>
      </c>
      <c r="T293">
        <f t="shared" si="225"/>
        <v>-0.12614949824539307</v>
      </c>
      <c r="U293">
        <f t="shared" si="226"/>
        <v>0.45238377524516299</v>
      </c>
      <c r="V293">
        <f t="shared" si="227"/>
        <v>-1.101359871116562</v>
      </c>
      <c r="X293">
        <f t="shared" si="244"/>
        <v>-23.875779459516465</v>
      </c>
      <c r="Y293">
        <f t="shared" si="228"/>
        <v>-154.38463428619025</v>
      </c>
      <c r="Z293">
        <f t="shared" si="245"/>
        <v>25.615365713809751</v>
      </c>
      <c r="AC293">
        <v>1</v>
      </c>
      <c r="AD293">
        <f t="shared" si="229"/>
        <v>136.02568386934803</v>
      </c>
      <c r="AE293">
        <f t="shared" si="230"/>
        <v>-3.3759645803758218E-2</v>
      </c>
      <c r="AF293">
        <f t="shared" si="231"/>
        <v>1.7124821535150003E-2</v>
      </c>
      <c r="AG293">
        <f t="shared" si="246"/>
        <v>1602.0229260472502</v>
      </c>
      <c r="AH293">
        <f t="shared" si="247"/>
        <v>-3216.6014950749677</v>
      </c>
      <c r="AJ293">
        <f t="shared" si="232"/>
        <v>21000</v>
      </c>
      <c r="AK293">
        <f t="shared" si="233"/>
        <v>2663.2820274448504</v>
      </c>
      <c r="AL293">
        <v>1</v>
      </c>
      <c r="AM293">
        <f t="shared" si="234"/>
        <v>52.245845017187847</v>
      </c>
      <c r="AN293">
        <f t="shared" si="248"/>
        <v>58.647827966368624</v>
      </c>
      <c r="AO293">
        <f t="shared" si="249"/>
        <v>-400.82330308073966</v>
      </c>
      <c r="AQ293">
        <f t="shared" si="235"/>
        <v>1.6023047551598221E-2</v>
      </c>
      <c r="AR293">
        <f t="shared" si="236"/>
        <v>-12.658207565762593</v>
      </c>
      <c r="AT293">
        <f t="shared" si="261"/>
        <v>-40690.740091478423</v>
      </c>
      <c r="AU293">
        <f t="shared" si="262"/>
        <v>-20330.278481726556</v>
      </c>
      <c r="AV293">
        <f t="shared" si="250"/>
        <v>-2.6782417961891518</v>
      </c>
      <c r="AW293">
        <f t="shared" si="251"/>
        <v>-4208.983210630915</v>
      </c>
      <c r="AX293">
        <f t="shared" si="252"/>
        <v>-4920.0734633127568</v>
      </c>
      <c r="AY293">
        <f t="shared" si="260"/>
        <v>-2.2784583832742156</v>
      </c>
      <c r="BA293">
        <f t="shared" si="237"/>
        <v>7.0252494869070228</v>
      </c>
      <c r="BB293">
        <f t="shared" si="253"/>
        <v>16.933235038056456</v>
      </c>
      <c r="BC293">
        <f t="shared" si="254"/>
        <v>-0.39978341291493624</v>
      </c>
      <c r="BD293">
        <f t="shared" si="238"/>
        <v>-202.90590230553553</v>
      </c>
      <c r="BF293">
        <f t="shared" si="239"/>
        <v>-25.901760435935884</v>
      </c>
      <c r="BG293">
        <f t="shared" si="240"/>
        <v>-195.44170191697893</v>
      </c>
      <c r="BH293">
        <f t="shared" si="255"/>
        <v>-15.441701916978928</v>
      </c>
      <c r="BI293">
        <f t="shared" si="256"/>
        <v>-15.441701916978928</v>
      </c>
      <c r="BJ293">
        <f t="shared" si="241"/>
        <v>0</v>
      </c>
      <c r="BK293">
        <f t="shared" si="257"/>
        <v>0</v>
      </c>
      <c r="BM293">
        <f t="shared" si="258"/>
        <v>-42.834995473992336</v>
      </c>
      <c r="BN293">
        <f t="shared" si="242"/>
        <v>-172.53579961144337</v>
      </c>
      <c r="BQ293" s="66">
        <f t="shared" si="259"/>
        <v>33.835195838341591</v>
      </c>
      <c r="BR293" s="71"/>
      <c r="BS293" s="71"/>
      <c r="BT293" s="71">
        <v>67608.297999999995</v>
      </c>
      <c r="BU293" s="71">
        <v>2.9581400000000002</v>
      </c>
      <c r="BV293" s="71">
        <v>-132.03399999999999</v>
      </c>
      <c r="BY293" s="71"/>
      <c r="BZ293" s="71"/>
      <c r="CA293" s="71"/>
      <c r="CC293" s="71"/>
    </row>
    <row r="294" spans="1:81" ht="13" x14ac:dyDescent="0.3">
      <c r="A294">
        <f t="shared" si="211"/>
        <v>400000</v>
      </c>
      <c r="B294">
        <f t="shared" si="243"/>
        <v>400</v>
      </c>
      <c r="C294">
        <f t="shared" si="212"/>
        <v>1.0078647563069434</v>
      </c>
      <c r="D294">
        <f t="shared" si="213"/>
        <v>0.12500843621459273</v>
      </c>
      <c r="F294">
        <f t="shared" si="214"/>
        <v>4.6548946153985774E-4</v>
      </c>
      <c r="G294">
        <f t="shared" si="215"/>
        <v>6.7278708598826412E-3</v>
      </c>
      <c r="H294">
        <f t="shared" si="216"/>
        <v>-3.1348647791401176</v>
      </c>
      <c r="J294">
        <f t="shared" si="217"/>
        <v>15</v>
      </c>
      <c r="M294">
        <f t="shared" si="218"/>
        <v>2.7459445009274737E-3</v>
      </c>
      <c r="N294">
        <f t="shared" si="219"/>
        <v>-1.5707963250000001</v>
      </c>
      <c r="O294">
        <f t="shared" si="220"/>
        <v>137.75115775034132</v>
      </c>
      <c r="P294">
        <f t="shared" si="221"/>
        <v>1.5635367959143565</v>
      </c>
      <c r="Q294">
        <f t="shared" si="222"/>
        <v>52.916634495918508</v>
      </c>
      <c r="R294">
        <f t="shared" si="223"/>
        <v>1.5518975525382734</v>
      </c>
      <c r="S294">
        <f t="shared" si="224"/>
        <v>0.99185372005100569</v>
      </c>
      <c r="T294">
        <f t="shared" si="225"/>
        <v>-0.12772912237778139</v>
      </c>
      <c r="U294">
        <f t="shared" si="226"/>
        <v>0.44786897911406331</v>
      </c>
      <c r="V294">
        <f t="shared" si="227"/>
        <v>-1.1064158422956276</v>
      </c>
      <c r="X294">
        <f t="shared" si="244"/>
        <v>-24.072375828784416</v>
      </c>
      <c r="Y294">
        <f t="shared" si="228"/>
        <v>-154.66212373088368</v>
      </c>
      <c r="Z294">
        <f t="shared" si="245"/>
        <v>25.337876269116322</v>
      </c>
      <c r="AC294">
        <v>1</v>
      </c>
      <c r="AD294">
        <f t="shared" si="229"/>
        <v>137.74752796896001</v>
      </c>
      <c r="AE294">
        <f t="shared" si="230"/>
        <v>-3.4619729713836339E-2</v>
      </c>
      <c r="AF294">
        <f t="shared" si="231"/>
        <v>1.7341591428E-2</v>
      </c>
      <c r="AG294">
        <f t="shared" si="246"/>
        <v>1570.2060681164796</v>
      </c>
      <c r="AH294">
        <f t="shared" si="247"/>
        <v>-3192.3315632862236</v>
      </c>
      <c r="AJ294">
        <f t="shared" si="232"/>
        <v>21000</v>
      </c>
      <c r="AK294">
        <f t="shared" si="233"/>
        <v>2696.9944581720001</v>
      </c>
      <c r="AL294">
        <v>1</v>
      </c>
      <c r="AM294">
        <f t="shared" si="234"/>
        <v>52.907184827531999</v>
      </c>
      <c r="AN294">
        <f t="shared" si="248"/>
        <v>58.457298025917055</v>
      </c>
      <c r="AO294">
        <f t="shared" si="249"/>
        <v>-395.81661300331484</v>
      </c>
      <c r="AQ294">
        <f t="shared" si="235"/>
        <v>1.5624975585975647E-2</v>
      </c>
      <c r="AR294">
        <f t="shared" si="236"/>
        <v>-12.499980468780517</v>
      </c>
      <c r="AT294">
        <f t="shared" si="261"/>
        <v>-39879.547759470101</v>
      </c>
      <c r="AU294">
        <f t="shared" si="262"/>
        <v>-19677.425286155332</v>
      </c>
      <c r="AV294">
        <f t="shared" si="250"/>
        <v>-2.6832217006221053</v>
      </c>
      <c r="AW294">
        <f t="shared" si="251"/>
        <v>-4099.3150803484459</v>
      </c>
      <c r="AX294">
        <f t="shared" si="252"/>
        <v>-4863.8003682470044</v>
      </c>
      <c r="AY294">
        <f t="shared" si="260"/>
        <v>-2.2711080579568033</v>
      </c>
      <c r="BA294">
        <f t="shared" si="237"/>
        <v>6.9911559520047408</v>
      </c>
      <c r="BB294">
        <f t="shared" si="253"/>
        <v>16.89097980124037</v>
      </c>
      <c r="BC294">
        <f t="shared" si="254"/>
        <v>-0.41211364266530204</v>
      </c>
      <c r="BD294">
        <f t="shared" si="238"/>
        <v>-203.61237243146542</v>
      </c>
      <c r="BF294">
        <f t="shared" si="239"/>
        <v>-26.160952778165303</v>
      </c>
      <c r="BG294">
        <f t="shared" si="240"/>
        <v>-196.06443801883378</v>
      </c>
      <c r="BH294">
        <f t="shared" si="255"/>
        <v>-16.064438018833783</v>
      </c>
      <c r="BI294">
        <f t="shared" si="256"/>
        <v>-16.064438018833783</v>
      </c>
      <c r="BJ294">
        <f t="shared" si="241"/>
        <v>0</v>
      </c>
      <c r="BK294">
        <f t="shared" si="257"/>
        <v>0</v>
      </c>
      <c r="BM294">
        <f t="shared" si="258"/>
        <v>-43.051932579405673</v>
      </c>
      <c r="BN294">
        <f t="shared" si="242"/>
        <v>-172.45206558736839</v>
      </c>
      <c r="BQ294" s="66">
        <f t="shared" si="259"/>
        <v>33.792940601525508</v>
      </c>
      <c r="BR294" s="71"/>
      <c r="BS294" s="71"/>
      <c r="BT294" s="71">
        <v>69183.096999999994</v>
      </c>
      <c r="BU294" s="71">
        <v>3.15646</v>
      </c>
      <c r="BV294" s="71">
        <v>-131.40799999999999</v>
      </c>
      <c r="BY294" s="71"/>
      <c r="BZ294" s="71"/>
      <c r="CA294" s="71"/>
      <c r="CC294" s="71"/>
    </row>
    <row r="295" spans="1:81" ht="13" x14ac:dyDescent="0.3">
      <c r="A295">
        <f t="shared" si="211"/>
        <v>405000</v>
      </c>
      <c r="B295">
        <f t="shared" si="243"/>
        <v>405</v>
      </c>
      <c r="C295">
        <f t="shared" si="212"/>
        <v>1.0080618128775092</v>
      </c>
      <c r="D295">
        <f t="shared" si="213"/>
        <v>0.12655451146331703</v>
      </c>
      <c r="F295">
        <f t="shared" si="214"/>
        <v>4.5406186155819416E-4</v>
      </c>
      <c r="G295">
        <f t="shared" si="215"/>
        <v>6.6447366030844245E-3</v>
      </c>
      <c r="H295">
        <f t="shared" si="216"/>
        <v>-3.1349479133969158</v>
      </c>
      <c r="J295">
        <f t="shared" si="217"/>
        <v>15</v>
      </c>
      <c r="M295">
        <f t="shared" si="218"/>
        <v>2.7120439515333074E-3</v>
      </c>
      <c r="N295">
        <f t="shared" si="219"/>
        <v>-1.5707963250000001</v>
      </c>
      <c r="O295">
        <f t="shared" si="220"/>
        <v>139.47295703899653</v>
      </c>
      <c r="P295">
        <f t="shared" si="221"/>
        <v>1.5636264166616582</v>
      </c>
      <c r="Q295">
        <f t="shared" si="222"/>
        <v>53.577857664139067</v>
      </c>
      <c r="R295">
        <f t="shared" si="223"/>
        <v>1.5521308162119571</v>
      </c>
      <c r="S295">
        <f t="shared" si="224"/>
        <v>0.99165134947239908</v>
      </c>
      <c r="T295">
        <f t="shared" si="225"/>
        <v>-0.1293081058588274</v>
      </c>
      <c r="U295">
        <f t="shared" si="226"/>
        <v>0.44343240654921134</v>
      </c>
      <c r="V295">
        <f t="shared" si="227"/>
        <v>-1.1113717695763714</v>
      </c>
      <c r="X295">
        <f t="shared" si="244"/>
        <v>-24.266960803607635</v>
      </c>
      <c r="Y295">
        <f t="shared" si="228"/>
        <v>-154.93422627823273</v>
      </c>
      <c r="Z295">
        <f t="shared" si="245"/>
        <v>25.065773721767272</v>
      </c>
      <c r="AC295">
        <v>1</v>
      </c>
      <c r="AD295">
        <f t="shared" si="229"/>
        <v>139.46937206857203</v>
      </c>
      <c r="AE295">
        <f t="shared" si="230"/>
        <v>-3.5490632289450035E-2</v>
      </c>
      <c r="AF295">
        <f t="shared" si="231"/>
        <v>1.7558361320850001E-2</v>
      </c>
      <c r="AG295">
        <f t="shared" si="246"/>
        <v>1539.2513497747223</v>
      </c>
      <c r="AH295">
        <f t="shared" si="247"/>
        <v>-3168.23436079064</v>
      </c>
      <c r="AJ295">
        <f t="shared" si="232"/>
        <v>21000</v>
      </c>
      <c r="AK295">
        <f t="shared" si="233"/>
        <v>2730.7068888991503</v>
      </c>
      <c r="AL295">
        <v>1</v>
      </c>
      <c r="AM295">
        <f t="shared" si="234"/>
        <v>53.568524637876152</v>
      </c>
      <c r="AN295">
        <f t="shared" si="248"/>
        <v>58.273777821007684</v>
      </c>
      <c r="AO295">
        <f t="shared" si="249"/>
        <v>-390.93341404762043</v>
      </c>
      <c r="AQ295">
        <f t="shared" si="235"/>
        <v>1.524155579704954E-2</v>
      </c>
      <c r="AR295">
        <f t="shared" si="236"/>
        <v>-12.345660195610128</v>
      </c>
      <c r="AT295">
        <f t="shared" si="261"/>
        <v>-39090.484253044022</v>
      </c>
      <c r="AU295">
        <f t="shared" si="262"/>
        <v>-19051.36294074107</v>
      </c>
      <c r="AV295">
        <f t="shared" si="250"/>
        <v>-2.6881034392304963</v>
      </c>
      <c r="AW295">
        <f t="shared" si="251"/>
        <v>-3993.8315676427251</v>
      </c>
      <c r="AX295">
        <f t="shared" si="252"/>
        <v>-4808.8009812209984</v>
      </c>
      <c r="AY295">
        <f t="shared" si="260"/>
        <v>-2.2638751976808682</v>
      </c>
      <c r="BA295">
        <f t="shared" si="237"/>
        <v>6.9566023892895457</v>
      </c>
      <c r="BB295">
        <f t="shared" si="253"/>
        <v>16.847943631700232</v>
      </c>
      <c r="BC295">
        <f t="shared" si="254"/>
        <v>-0.42422824154962813</v>
      </c>
      <c r="BD295">
        <f t="shared" si="238"/>
        <v>-204.30648781882434</v>
      </c>
      <c r="BF295">
        <f t="shared" si="239"/>
        <v>-26.418187415983848</v>
      </c>
      <c r="BG295">
        <f t="shared" si="240"/>
        <v>-196.67473306158288</v>
      </c>
      <c r="BH295">
        <f t="shared" si="255"/>
        <v>-16.674733061582884</v>
      </c>
      <c r="BI295">
        <f t="shared" si="256"/>
        <v>-16.674733061582884</v>
      </c>
      <c r="BJ295">
        <f t="shared" si="241"/>
        <v>0</v>
      </c>
      <c r="BK295">
        <f t="shared" si="257"/>
        <v>0</v>
      </c>
      <c r="BM295">
        <f t="shared" si="258"/>
        <v>-43.266131047684084</v>
      </c>
      <c r="BN295">
        <f t="shared" si="242"/>
        <v>-172.36824524275858</v>
      </c>
      <c r="BQ295" s="66">
        <f t="shared" si="259"/>
        <v>33.749904431985371</v>
      </c>
      <c r="BR295" s="71"/>
      <c r="BS295" s="71"/>
      <c r="BT295" s="71">
        <v>70794.577999999994</v>
      </c>
      <c r="BU295" s="71">
        <v>3.32565</v>
      </c>
      <c r="BV295" s="71">
        <v>-131.172</v>
      </c>
      <c r="BY295" s="71"/>
      <c r="BZ295" s="71"/>
      <c r="CA295" s="71"/>
      <c r="CC295" s="71"/>
    </row>
    <row r="296" spans="1:81" ht="13" x14ac:dyDescent="0.3">
      <c r="A296">
        <f t="shared" si="211"/>
        <v>410000</v>
      </c>
      <c r="B296">
        <f t="shared" si="243"/>
        <v>410</v>
      </c>
      <c r="C296">
        <f t="shared" si="212"/>
        <v>1.0082612781220528</v>
      </c>
      <c r="D296">
        <f t="shared" si="213"/>
        <v>0.12809997868209377</v>
      </c>
      <c r="F296">
        <f t="shared" si="214"/>
        <v>4.4305002713641519E-4</v>
      </c>
      <c r="G296">
        <f t="shared" si="215"/>
        <v>6.5636326749486246E-3</v>
      </c>
      <c r="H296">
        <f t="shared" si="216"/>
        <v>-3.1350290173250515</v>
      </c>
      <c r="J296">
        <f t="shared" si="217"/>
        <v>15</v>
      </c>
      <c r="M296">
        <f t="shared" si="218"/>
        <v>2.6789702448072913E-3</v>
      </c>
      <c r="N296">
        <f t="shared" si="219"/>
        <v>-1.5707963250000001</v>
      </c>
      <c r="O296">
        <f t="shared" si="220"/>
        <v>141.19475742056031</v>
      </c>
      <c r="P296">
        <f t="shared" si="221"/>
        <v>1.5637138516480844</v>
      </c>
      <c r="Q296">
        <f t="shared" si="222"/>
        <v>54.239083676555126</v>
      </c>
      <c r="R296">
        <f t="shared" si="223"/>
        <v>1.5523583924857329</v>
      </c>
      <c r="S296">
        <f t="shared" si="224"/>
        <v>0.99144659110990163</v>
      </c>
      <c r="T296">
        <f t="shared" si="225"/>
        <v>-0.13088644120961632</v>
      </c>
      <c r="U296">
        <f t="shared" si="226"/>
        <v>0.43907240010650006</v>
      </c>
      <c r="V296">
        <f t="shared" si="227"/>
        <v>-1.1162303568885361</v>
      </c>
      <c r="X296">
        <f t="shared" si="244"/>
        <v>-24.45957234265402</v>
      </c>
      <c r="Y296">
        <f t="shared" si="228"/>
        <v>-155.20108412824069</v>
      </c>
      <c r="Z296">
        <f t="shared" si="245"/>
        <v>24.798915871759306</v>
      </c>
      <c r="AC296">
        <v>1</v>
      </c>
      <c r="AD296">
        <f t="shared" si="229"/>
        <v>141.19121616818401</v>
      </c>
      <c r="AE296">
        <f t="shared" si="230"/>
        <v>-3.6372353530599311E-2</v>
      </c>
      <c r="AF296">
        <f t="shared" si="231"/>
        <v>1.7775131213700002E-2</v>
      </c>
      <c r="AG296">
        <f t="shared" si="246"/>
        <v>1509.1310773008522</v>
      </c>
      <c r="AH296">
        <f t="shared" si="247"/>
        <v>-3144.3171021164467</v>
      </c>
      <c r="AJ296">
        <f t="shared" si="232"/>
        <v>21000</v>
      </c>
      <c r="AK296">
        <f t="shared" si="233"/>
        <v>2764.4193196263004</v>
      </c>
      <c r="AL296">
        <v>1</v>
      </c>
      <c r="AM296">
        <f t="shared" si="234"/>
        <v>54.229864448220304</v>
      </c>
      <c r="AN296">
        <f t="shared" si="248"/>
        <v>58.096927701957988</v>
      </c>
      <c r="AO296">
        <f t="shared" si="249"/>
        <v>-386.16919450893641</v>
      </c>
      <c r="AQ296">
        <f t="shared" si="235"/>
        <v>1.4872077822608831E-2</v>
      </c>
      <c r="AR296">
        <f t="shared" si="236"/>
        <v>-12.195103814539241</v>
      </c>
      <c r="AT296">
        <f t="shared" si="261"/>
        <v>-38322.829571315116</v>
      </c>
      <c r="AU296">
        <f t="shared" si="262"/>
        <v>-18450.772686072974</v>
      </c>
      <c r="AV296">
        <f t="shared" si="250"/>
        <v>-2.6928896472396793</v>
      </c>
      <c r="AW296">
        <f t="shared" si="251"/>
        <v>-3892.3230723234656</v>
      </c>
      <c r="AX296">
        <f t="shared" si="252"/>
        <v>-4755.0308968255476</v>
      </c>
      <c r="AY296">
        <f t="shared" si="260"/>
        <v>-2.2567579947303731</v>
      </c>
      <c r="BA296">
        <f t="shared" si="237"/>
        <v>6.9216377165535548</v>
      </c>
      <c r="BB296">
        <f t="shared" si="253"/>
        <v>16.804177285411274</v>
      </c>
      <c r="BC296">
        <f t="shared" si="254"/>
        <v>-0.43613165250930619</v>
      </c>
      <c r="BD296">
        <f t="shared" si="238"/>
        <v>-204.98850302940298</v>
      </c>
      <c r="BF296">
        <f t="shared" si="239"/>
        <v>-26.673480411601656</v>
      </c>
      <c r="BG296">
        <f t="shared" si="240"/>
        <v>-197.27284643583803</v>
      </c>
      <c r="BH296">
        <f t="shared" si="255"/>
        <v>-17.272846435838034</v>
      </c>
      <c r="BI296">
        <f t="shared" si="256"/>
        <v>-17.272846435838034</v>
      </c>
      <c r="BJ296">
        <f t="shared" si="241"/>
        <v>0</v>
      </c>
      <c r="BK296">
        <f t="shared" si="257"/>
        <v>0</v>
      </c>
      <c r="BM296">
        <f t="shared" si="258"/>
        <v>-43.47765769701293</v>
      </c>
      <c r="BN296">
        <f t="shared" si="242"/>
        <v>-172.28434340643506</v>
      </c>
      <c r="BQ296" s="66">
        <f t="shared" si="259"/>
        <v>33.706138085696409</v>
      </c>
      <c r="BR296" s="71"/>
      <c r="BS296" s="71"/>
      <c r="BT296" s="71">
        <v>72443.596000000005</v>
      </c>
      <c r="BU296" s="71">
        <v>3.4992100000000002</v>
      </c>
      <c r="BV296" s="71">
        <v>-130.929</v>
      </c>
      <c r="BY296" s="71"/>
      <c r="BZ296" s="71"/>
      <c r="CA296" s="71"/>
      <c r="CC296" s="71"/>
    </row>
    <row r="297" spans="1:81" ht="13" x14ac:dyDescent="0.3">
      <c r="A297">
        <f t="shared" si="211"/>
        <v>415000</v>
      </c>
      <c r="B297">
        <f t="shared" si="243"/>
        <v>415</v>
      </c>
      <c r="C297">
        <f t="shared" si="212"/>
        <v>1.0084631506113302</v>
      </c>
      <c r="D297">
        <f t="shared" si="213"/>
        <v>0.12964483085132264</v>
      </c>
      <c r="F297">
        <f t="shared" si="214"/>
        <v>4.3243402862689939E-4</v>
      </c>
      <c r="G297">
        <f t="shared" si="215"/>
        <v>6.4844855639500949E-3</v>
      </c>
      <c r="H297">
        <f t="shared" si="216"/>
        <v>-3.1351081644360499</v>
      </c>
      <c r="J297">
        <f t="shared" si="217"/>
        <v>15</v>
      </c>
      <c r="M297">
        <f t="shared" si="218"/>
        <v>2.6466934948698542E-3</v>
      </c>
      <c r="N297">
        <f t="shared" si="219"/>
        <v>-1.5707963250000001</v>
      </c>
      <c r="O297">
        <f t="shared" si="220"/>
        <v>142.91655885553183</v>
      </c>
      <c r="P297">
        <f t="shared" si="221"/>
        <v>1.5637991798717865</v>
      </c>
      <c r="Q297">
        <f t="shared" si="222"/>
        <v>54.900312430399197</v>
      </c>
      <c r="R297">
        <f t="shared" si="223"/>
        <v>1.5525804868356428</v>
      </c>
      <c r="S297">
        <f t="shared" si="224"/>
        <v>0.99123944950183596</v>
      </c>
      <c r="T297">
        <f t="shared" si="225"/>
        <v>-0.13246412097028842</v>
      </c>
      <c r="U297">
        <f t="shared" si="226"/>
        <v>0.43478733199384112</v>
      </c>
      <c r="V297">
        <f t="shared" si="227"/>
        <v>-1.1209942213752322</v>
      </c>
      <c r="X297">
        <f t="shared" si="244"/>
        <v>-24.65024738423962</v>
      </c>
      <c r="Y297">
        <f t="shared" si="228"/>
        <v>-155.46283511966689</v>
      </c>
      <c r="Z297">
        <f t="shared" si="245"/>
        <v>24.537164880333108</v>
      </c>
      <c r="AC297">
        <v>1</v>
      </c>
      <c r="AD297">
        <f t="shared" si="229"/>
        <v>142.913060267796</v>
      </c>
      <c r="AE297">
        <f t="shared" si="230"/>
        <v>-3.7264893437284154E-2</v>
      </c>
      <c r="AF297">
        <f t="shared" si="231"/>
        <v>1.7991901106549999E-2</v>
      </c>
      <c r="AG297">
        <f t="shared" si="246"/>
        <v>1479.8184907349894</v>
      </c>
      <c r="AH297">
        <f t="shared" si="247"/>
        <v>-3120.5862032735504</v>
      </c>
      <c r="AJ297">
        <f t="shared" si="232"/>
        <v>21000</v>
      </c>
      <c r="AK297">
        <f t="shared" si="233"/>
        <v>2798.1317503534501</v>
      </c>
      <c r="AL297">
        <v>1</v>
      </c>
      <c r="AM297">
        <f t="shared" si="234"/>
        <v>54.89120425856445</v>
      </c>
      <c r="AN297">
        <f t="shared" si="248"/>
        <v>57.926428342136347</v>
      </c>
      <c r="AO297">
        <f t="shared" si="249"/>
        <v>-381.51965974385337</v>
      </c>
      <c r="AQ297">
        <f t="shared" si="235"/>
        <v>1.4515873833830985E-2</v>
      </c>
      <c r="AR297">
        <f t="shared" si="236"/>
        <v>-12.048175282079718</v>
      </c>
      <c r="AT297">
        <f t="shared" si="261"/>
        <v>-37575.888701370903</v>
      </c>
      <c r="AU297">
        <f t="shared" si="262"/>
        <v>-17874.410597652128</v>
      </c>
      <c r="AV297">
        <f t="shared" si="250"/>
        <v>-2.6975828763990974</v>
      </c>
      <c r="AW297">
        <f t="shared" si="251"/>
        <v>-3794.5928868250139</v>
      </c>
      <c r="AX297">
        <f t="shared" si="252"/>
        <v>-4702.4478898324342</v>
      </c>
      <c r="AY297">
        <f t="shared" si="260"/>
        <v>-2.2497546205461516</v>
      </c>
      <c r="BA297">
        <f t="shared" si="237"/>
        <v>6.8863080727907002</v>
      </c>
      <c r="BB297">
        <f t="shared" si="253"/>
        <v>16.75972895674342</v>
      </c>
      <c r="BC297">
        <f t="shared" si="254"/>
        <v>-0.44782825585294583</v>
      </c>
      <c r="BD297">
        <f t="shared" si="238"/>
        <v>-205.6586690363979</v>
      </c>
      <c r="BF297">
        <f t="shared" si="239"/>
        <v>-26.926847955953619</v>
      </c>
      <c r="BG297">
        <f t="shared" si="240"/>
        <v>-197.85903372888941</v>
      </c>
      <c r="BH297">
        <f t="shared" si="255"/>
        <v>-17.859033728889415</v>
      </c>
      <c r="BI297">
        <f t="shared" si="256"/>
        <v>-17.859033728889415</v>
      </c>
      <c r="BJ297">
        <f t="shared" si="241"/>
        <v>0</v>
      </c>
      <c r="BK297">
        <f t="shared" si="257"/>
        <v>0</v>
      </c>
      <c r="BM297">
        <f t="shared" si="258"/>
        <v>-43.686576912697035</v>
      </c>
      <c r="BN297">
        <f t="shared" si="242"/>
        <v>-172.20036469249149</v>
      </c>
      <c r="BQ297" s="66">
        <f t="shared" si="259"/>
        <v>33.661689757028554</v>
      </c>
      <c r="BR297" s="71"/>
      <c r="BS297" s="71"/>
      <c r="BT297" s="71">
        <v>74131.024000000005</v>
      </c>
      <c r="BU297" s="71">
        <v>3.6540400000000002</v>
      </c>
      <c r="BV297" s="71">
        <v>-130.88900000000001</v>
      </c>
      <c r="BY297" s="71"/>
      <c r="BZ297" s="71"/>
      <c r="CA297" s="71"/>
      <c r="CC297" s="71"/>
    </row>
    <row r="298" spans="1:81" ht="13" x14ac:dyDescent="0.3">
      <c r="A298">
        <f t="shared" si="211"/>
        <v>420000</v>
      </c>
      <c r="B298">
        <f t="shared" si="243"/>
        <v>420</v>
      </c>
      <c r="C298">
        <f t="shared" si="212"/>
        <v>1.0086674288999988</v>
      </c>
      <c r="D298">
        <f t="shared" si="213"/>
        <v>0.13118906096873223</v>
      </c>
      <c r="F298">
        <f t="shared" si="214"/>
        <v>4.2219511653969098E-4</v>
      </c>
      <c r="G298">
        <f t="shared" si="215"/>
        <v>6.4072252664936959E-3</v>
      </c>
      <c r="H298">
        <f t="shared" si="216"/>
        <v>-3.1351854247335065</v>
      </c>
      <c r="J298">
        <f t="shared" si="217"/>
        <v>15</v>
      </c>
      <c r="M298">
        <f t="shared" si="218"/>
        <v>2.6151852389785465E-3</v>
      </c>
      <c r="N298">
        <f t="shared" si="219"/>
        <v>-1.5707963250000001</v>
      </c>
      <c r="O298">
        <f t="shared" si="220"/>
        <v>144.63836130629127</v>
      </c>
      <c r="P298">
        <f t="shared" si="221"/>
        <v>1.5638824765694073</v>
      </c>
      <c r="Q298">
        <f t="shared" si="222"/>
        <v>55.56154382779544</v>
      </c>
      <c r="R298">
        <f t="shared" si="223"/>
        <v>1.5527972949585689</v>
      </c>
      <c r="S298">
        <f t="shared" si="224"/>
        <v>0.99102992923422584</v>
      </c>
      <c r="T298">
        <f t="shared" si="225"/>
        <v>-0.13404113770023426</v>
      </c>
      <c r="U298">
        <f t="shared" si="226"/>
        <v>0.43057560456950694</v>
      </c>
      <c r="V298">
        <f t="shared" si="227"/>
        <v>-1.125665896328093</v>
      </c>
      <c r="X298">
        <f t="shared" si="244"/>
        <v>-24.839021883329831</v>
      </c>
      <c r="Y298">
        <f t="shared" si="228"/>
        <v>-155.71961286187835</v>
      </c>
      <c r="Z298">
        <f t="shared" si="245"/>
        <v>24.280387138121654</v>
      </c>
      <c r="AC298">
        <v>1</v>
      </c>
      <c r="AD298">
        <f t="shared" si="229"/>
        <v>144.63490436740801</v>
      </c>
      <c r="AE298">
        <f t="shared" si="230"/>
        <v>-3.816825200950457E-2</v>
      </c>
      <c r="AF298">
        <f t="shared" si="231"/>
        <v>1.82086709994E-2</v>
      </c>
      <c r="AG298">
        <f t="shared" si="246"/>
        <v>1451.2877378083535</v>
      </c>
      <c r="AH298">
        <f t="shared" si="247"/>
        <v>-3097.0473417214944</v>
      </c>
      <c r="AJ298">
        <f t="shared" si="232"/>
        <v>21000</v>
      </c>
      <c r="AK298">
        <f t="shared" si="233"/>
        <v>2831.8441810806003</v>
      </c>
      <c r="AL298">
        <v>1</v>
      </c>
      <c r="AM298">
        <f t="shared" si="234"/>
        <v>55.552544068908603</v>
      </c>
      <c r="AN298">
        <f t="shared" si="248"/>
        <v>57.761979296145526</v>
      </c>
      <c r="AO298">
        <f t="shared" si="249"/>
        <v>-376.98071927591008</v>
      </c>
      <c r="AQ298">
        <f t="shared" si="235"/>
        <v>1.4172315515425856E-2</v>
      </c>
      <c r="AR298">
        <f t="shared" si="236"/>
        <v>-11.90474503295772</v>
      </c>
      <c r="AT298">
        <f t="shared" si="261"/>
        <v>-36848.990850469978</v>
      </c>
      <c r="AU298">
        <f t="shared" si="262"/>
        <v>-17321.102820159533</v>
      </c>
      <c r="AV298">
        <f t="shared" si="250"/>
        <v>-2.7021855977203963</v>
      </c>
      <c r="AW298">
        <f t="shared" si="251"/>
        <v>-3700.4562620539587</v>
      </c>
      <c r="AX298">
        <f t="shared" si="252"/>
        <v>-4651.011773285144</v>
      </c>
      <c r="AY298">
        <f t="shared" si="260"/>
        <v>-2.2428632313715164</v>
      </c>
      <c r="BA298">
        <f t="shared" si="237"/>
        <v>6.8506569437704341</v>
      </c>
      <c r="BB298">
        <f t="shared" si="253"/>
        <v>16.714644403203906</v>
      </c>
      <c r="BC298">
        <f t="shared" si="254"/>
        <v>-0.45932236634887991</v>
      </c>
      <c r="BD298">
        <f t="shared" si="238"/>
        <v>-206.31723305782447</v>
      </c>
      <c r="BF298">
        <f t="shared" si="239"/>
        <v>-27.178306360765504</v>
      </c>
      <c r="BG298">
        <f t="shared" si="240"/>
        <v>-198.43354657086357</v>
      </c>
      <c r="BH298">
        <f t="shared" si="255"/>
        <v>-18.43354657086357</v>
      </c>
      <c r="BI298">
        <f t="shared" si="256"/>
        <v>-18.43354657086357</v>
      </c>
      <c r="BJ298">
        <f t="shared" si="241"/>
        <v>0</v>
      </c>
      <c r="BK298">
        <f t="shared" si="257"/>
        <v>0</v>
      </c>
      <c r="BM298">
        <f t="shared" si="258"/>
        <v>-43.892950763969409</v>
      </c>
      <c r="BN298">
        <f t="shared" si="242"/>
        <v>-172.1163135130391</v>
      </c>
      <c r="BQ298" s="66">
        <f t="shared" si="259"/>
        <v>33.616605203489044</v>
      </c>
      <c r="BR298" s="71"/>
      <c r="BS298" s="71"/>
      <c r="BT298" s="71">
        <v>75857.758000000002</v>
      </c>
      <c r="BU298" s="71">
        <v>3.8307899999999999</v>
      </c>
      <c r="BV298" s="71">
        <v>-130.62200000000001</v>
      </c>
      <c r="BY298" s="71"/>
      <c r="BZ298" s="71"/>
      <c r="CA298" s="71"/>
      <c r="CC298" s="71"/>
    </row>
    <row r="299" spans="1:81" ht="13" x14ac:dyDescent="0.3">
      <c r="A299">
        <f t="shared" si="211"/>
        <v>425000</v>
      </c>
      <c r="B299">
        <f t="shared" si="243"/>
        <v>425</v>
      </c>
      <c r="C299">
        <f t="shared" si="212"/>
        <v>1.0088741115266697</v>
      </c>
      <c r="D299">
        <f t="shared" si="213"/>
        <v>0.13273266204955597</v>
      </c>
      <c r="F299">
        <f t="shared" si="214"/>
        <v>4.1231563865291106E-4</v>
      </c>
      <c r="G299">
        <f t="shared" si="215"/>
        <v>6.3317850800531572E-3</v>
      </c>
      <c r="H299">
        <f t="shared" si="216"/>
        <v>-3.1352608649199469</v>
      </c>
      <c r="J299">
        <f t="shared" si="217"/>
        <v>15</v>
      </c>
      <c r="M299">
        <f t="shared" si="218"/>
        <v>2.5844183538140928E-3</v>
      </c>
      <c r="N299">
        <f t="shared" si="219"/>
        <v>-1.5707963250000001</v>
      </c>
      <c r="O299">
        <f t="shared" si="220"/>
        <v>146.36016473698902</v>
      </c>
      <c r="P299">
        <f t="shared" si="221"/>
        <v>1.5639638134373228</v>
      </c>
      <c r="Q299">
        <f t="shared" si="222"/>
        <v>56.222777775472039</v>
      </c>
      <c r="R299">
        <f t="shared" si="223"/>
        <v>1.5530090033471033</v>
      </c>
      <c r="S299">
        <f t="shared" si="224"/>
        <v>0.99081803494052323</v>
      </c>
      <c r="T299">
        <f t="shared" si="225"/>
        <v>-0.13561748397828843</v>
      </c>
      <c r="U299">
        <f t="shared" si="226"/>
        <v>0.42643565070355594</v>
      </c>
      <c r="V299">
        <f t="shared" si="227"/>
        <v>-1.130247834038993</v>
      </c>
      <c r="X299">
        <f t="shared" si="244"/>
        <v>-25.025930846669787</v>
      </c>
      <c r="Y299">
        <f t="shared" si="228"/>
        <v>-155.9715468644811</v>
      </c>
      <c r="Z299">
        <f t="shared" si="245"/>
        <v>24.028453135518902</v>
      </c>
      <c r="AC299">
        <v>1</v>
      </c>
      <c r="AD299">
        <f t="shared" si="229"/>
        <v>146.35674846702003</v>
      </c>
      <c r="AE299">
        <f t="shared" si="230"/>
        <v>-3.9082429247260561E-2</v>
      </c>
      <c r="AF299">
        <f t="shared" si="231"/>
        <v>1.8425440892250001E-2</v>
      </c>
      <c r="AG299">
        <f t="shared" si="246"/>
        <v>1423.5138476944599</v>
      </c>
      <c r="AH299">
        <f t="shared" si="247"/>
        <v>-3073.7055121886169</v>
      </c>
      <c r="AJ299">
        <f t="shared" si="232"/>
        <v>21000</v>
      </c>
      <c r="AK299">
        <f t="shared" si="233"/>
        <v>2865.55661180775</v>
      </c>
      <c r="AL299">
        <v>1</v>
      </c>
      <c r="AM299">
        <f t="shared" si="234"/>
        <v>56.213883879252755</v>
      </c>
      <c r="AN299">
        <f t="shared" si="248"/>
        <v>57.603297675935607</v>
      </c>
      <c r="AO299">
        <f t="shared" si="249"/>
        <v>-372.54847480932409</v>
      </c>
      <c r="AQ299">
        <f t="shared" si="235"/>
        <v>1.384081129299475E-2</v>
      </c>
      <c r="AR299">
        <f t="shared" si="236"/>
        <v>-11.764689599045537</v>
      </c>
      <c r="AT299">
        <f t="shared" si="261"/>
        <v>-36141.48868323546</v>
      </c>
      <c r="AU299">
        <f t="shared" si="262"/>
        <v>-16789.741136032746</v>
      </c>
      <c r="AV299">
        <f t="shared" si="250"/>
        <v>-2.7067002041460055</v>
      </c>
      <c r="AW299">
        <f t="shared" si="251"/>
        <v>-3609.7395507623651</v>
      </c>
      <c r="AX299">
        <f t="shared" si="252"/>
        <v>-4600.6842681175985</v>
      </c>
      <c r="AY299">
        <f t="shared" si="260"/>
        <v>-2.2360819733820509</v>
      </c>
      <c r="BA299">
        <f t="shared" si="237"/>
        <v>6.8147252844950748</v>
      </c>
      <c r="BB299">
        <f t="shared" si="253"/>
        <v>16.668967064506692</v>
      </c>
      <c r="BC299">
        <f t="shared" si="254"/>
        <v>-0.47061823076395459</v>
      </c>
      <c r="BD299">
        <f t="shared" si="238"/>
        <v>-206.96443841549979</v>
      </c>
      <c r="BF299">
        <f t="shared" si="239"/>
        <v>-27.427872049363778</v>
      </c>
      <c r="BG299">
        <f t="shared" si="240"/>
        <v>-198.99663250554846</v>
      </c>
      <c r="BH299">
        <f t="shared" si="255"/>
        <v>-18.996632505548462</v>
      </c>
      <c r="BI299">
        <f t="shared" si="256"/>
        <v>-18.996632505548462</v>
      </c>
      <c r="BJ299">
        <f t="shared" si="241"/>
        <v>0</v>
      </c>
      <c r="BK299">
        <f t="shared" si="257"/>
        <v>0</v>
      </c>
      <c r="BM299">
        <f t="shared" si="258"/>
        <v>-44.096839113870473</v>
      </c>
      <c r="BN299">
        <f t="shared" si="242"/>
        <v>-172.03219409004868</v>
      </c>
      <c r="BQ299" s="66">
        <f t="shared" si="259"/>
        <v>33.570927864791827</v>
      </c>
      <c r="BR299" s="71"/>
      <c r="BS299" s="71"/>
      <c r="BT299" s="71">
        <v>77624.712</v>
      </c>
      <c r="BU299" s="71">
        <v>4.0309799999999996</v>
      </c>
      <c r="BV299" s="71">
        <v>-130.36099999999999</v>
      </c>
      <c r="BY299" s="71"/>
      <c r="BZ299" s="71"/>
      <c r="CA299" s="71"/>
      <c r="CC299" s="71"/>
    </row>
    <row r="300" spans="1:81" ht="13" x14ac:dyDescent="0.3">
      <c r="A300">
        <f t="shared" ref="A300:A363" si="263">A299+5000</f>
        <v>430000</v>
      </c>
      <c r="B300">
        <f t="shared" si="243"/>
        <v>430</v>
      </c>
      <c r="C300">
        <f t="shared" si="212"/>
        <v>1.0090831970139575</v>
      </c>
      <c r="D300">
        <f t="shared" si="213"/>
        <v>0.13427562712670685</v>
      </c>
      <c r="F300">
        <f t="shared" si="214"/>
        <v>4.0277896383749854E-4</v>
      </c>
      <c r="G300">
        <f t="shared" si="215"/>
        <v>6.258101410783124E-3</v>
      </c>
      <c r="H300">
        <f t="shared" si="216"/>
        <v>-3.135334548589217</v>
      </c>
      <c r="J300">
        <f t="shared" si="217"/>
        <v>15</v>
      </c>
      <c r="M300">
        <f t="shared" si="218"/>
        <v>2.5543669776069522E-3</v>
      </c>
      <c r="N300">
        <f t="shared" si="219"/>
        <v>-1.5707963250000001</v>
      </c>
      <c r="O300">
        <f t="shared" si="220"/>
        <v>148.08196911344274</v>
      </c>
      <c r="P300">
        <f t="shared" si="221"/>
        <v>1.5640432588374547</v>
      </c>
      <c r="Q300">
        <f t="shared" si="222"/>
        <v>56.884014184493743</v>
      </c>
      <c r="R300">
        <f t="shared" si="223"/>
        <v>1.5532157898243386</v>
      </c>
      <c r="S300">
        <f t="shared" si="224"/>
        <v>0.9906037713013286</v>
      </c>
      <c r="T300">
        <f t="shared" si="225"/>
        <v>-0.13719315240292196</v>
      </c>
      <c r="U300">
        <f t="shared" si="226"/>
        <v>0.4223659340172764</v>
      </c>
      <c r="V300">
        <f t="shared" si="227"/>
        <v>-1.1347424085680051</v>
      </c>
      <c r="X300">
        <f t="shared" si="244"/>
        <v>-25.211008366178728</v>
      </c>
      <c r="Y300">
        <f t="shared" si="228"/>
        <v>-156.21876266450263</v>
      </c>
      <c r="Z300">
        <f t="shared" si="245"/>
        <v>23.781237335497366</v>
      </c>
      <c r="AC300">
        <v>1</v>
      </c>
      <c r="AD300">
        <f t="shared" si="229"/>
        <v>148.07859256663201</v>
      </c>
      <c r="AE300">
        <f t="shared" si="230"/>
        <v>-4.0007425150552112E-2</v>
      </c>
      <c r="AF300">
        <f t="shared" si="231"/>
        <v>1.8642210785100002E-2</v>
      </c>
      <c r="AG300">
        <f t="shared" si="246"/>
        <v>1396.4727047270508</v>
      </c>
      <c r="AH300">
        <f t="shared" si="247"/>
        <v>-3050.5650786123479</v>
      </c>
      <c r="AJ300">
        <f t="shared" si="232"/>
        <v>21000</v>
      </c>
      <c r="AK300">
        <f t="shared" si="233"/>
        <v>2899.2690425349001</v>
      </c>
      <c r="AL300">
        <v>1</v>
      </c>
      <c r="AM300">
        <f t="shared" si="234"/>
        <v>56.875223689596908</v>
      </c>
      <c r="AN300">
        <f t="shared" si="248"/>
        <v>57.45011693395152</v>
      </c>
      <c r="AO300">
        <f t="shared" si="249"/>
        <v>-368.21920907709182</v>
      </c>
      <c r="AQ300">
        <f t="shared" si="235"/>
        <v>1.3520803784743395E-2</v>
      </c>
      <c r="AR300">
        <f t="shared" si="236"/>
        <v>-11.627891254879319</v>
      </c>
      <c r="AT300">
        <f t="shared" si="261"/>
        <v>-35452.757566605396</v>
      </c>
      <c r="AU300">
        <f t="shared" si="262"/>
        <v>-16279.278842833852</v>
      </c>
      <c r="AV300">
        <f t="shared" si="250"/>
        <v>-2.7111290131467314</v>
      </c>
      <c r="AW300">
        <f t="shared" si="251"/>
        <v>-3522.2794212220824</v>
      </c>
      <c r="AX300">
        <f t="shared" si="252"/>
        <v>-4551.4288831954</v>
      </c>
      <c r="AY300">
        <f t="shared" si="260"/>
        <v>-2.2294089873357699</v>
      </c>
      <c r="BA300">
        <f t="shared" si="237"/>
        <v>6.7785516382868112</v>
      </c>
      <c r="BB300">
        <f t="shared" si="253"/>
        <v>16.622738176174913</v>
      </c>
      <c r="BC300">
        <f t="shared" si="254"/>
        <v>-0.48172002581096152</v>
      </c>
      <c r="BD300">
        <f t="shared" si="238"/>
        <v>-207.60052441743937</v>
      </c>
      <c r="BF300">
        <f t="shared" si="239"/>
        <v>-27.675561546510757</v>
      </c>
      <c r="BG300">
        <f t="shared" si="240"/>
        <v>-199.54853488380323</v>
      </c>
      <c r="BH300">
        <f t="shared" si="255"/>
        <v>-19.548534883803228</v>
      </c>
      <c r="BI300">
        <f t="shared" si="256"/>
        <v>-19.548534883803228</v>
      </c>
      <c r="BJ300">
        <f t="shared" si="241"/>
        <v>0</v>
      </c>
      <c r="BK300">
        <f t="shared" si="257"/>
        <v>0</v>
      </c>
      <c r="BM300">
        <f t="shared" si="258"/>
        <v>-44.298299722685677</v>
      </c>
      <c r="BN300">
        <f t="shared" si="242"/>
        <v>-171.94801046636388</v>
      </c>
      <c r="BQ300" s="66">
        <f t="shared" si="259"/>
        <v>33.524698976460051</v>
      </c>
      <c r="BR300" s="71"/>
      <c r="BS300" s="71"/>
      <c r="BT300" s="71">
        <v>79432.823000000004</v>
      </c>
      <c r="BU300" s="71">
        <v>4.23407</v>
      </c>
      <c r="BV300" s="71">
        <v>-130.17400000000001</v>
      </c>
      <c r="BY300" s="71"/>
      <c r="BZ300" s="71"/>
      <c r="CA300" s="71"/>
      <c r="CC300" s="71"/>
    </row>
    <row r="301" spans="1:81" ht="13" x14ac:dyDescent="0.3">
      <c r="A301">
        <f t="shared" si="263"/>
        <v>435000</v>
      </c>
      <c r="B301">
        <f t="shared" si="243"/>
        <v>435</v>
      </c>
      <c r="C301">
        <f t="shared" si="212"/>
        <v>1.0092946838685326</v>
      </c>
      <c r="D301">
        <f t="shared" si="213"/>
        <v>0.1358179492509512</v>
      </c>
      <c r="F301">
        <f t="shared" si="214"/>
        <v>3.9356941198174139E-4</v>
      </c>
      <c r="G301">
        <f t="shared" si="215"/>
        <v>6.1861135944361705E-3</v>
      </c>
      <c r="H301">
        <f t="shared" si="216"/>
        <v>-3.1354065364055641</v>
      </c>
      <c r="J301">
        <f t="shared" si="217"/>
        <v>15</v>
      </c>
      <c r="M301">
        <f t="shared" si="218"/>
        <v>2.5250064376344588E-3</v>
      </c>
      <c r="N301">
        <f t="shared" si="219"/>
        <v>-1.5707963250000001</v>
      </c>
      <c r="O301">
        <f t="shared" si="220"/>
        <v>149.80377440304159</v>
      </c>
      <c r="P301">
        <f t="shared" si="221"/>
        <v>1.5641208779888855</v>
      </c>
      <c r="Q301">
        <f t="shared" si="222"/>
        <v>57.545252970012648</v>
      </c>
      <c r="R301">
        <f t="shared" si="223"/>
        <v>1.5534178240418071</v>
      </c>
      <c r="S301">
        <f t="shared" si="224"/>
        <v>0.99038714304411202</v>
      </c>
      <c r="T301">
        <f t="shared" si="225"/>
        <v>-0.13876813559243348</v>
      </c>
      <c r="U301">
        <f t="shared" si="226"/>
        <v>0.41836494901420779</v>
      </c>
      <c r="V301">
        <f t="shared" si="227"/>
        <v>-1.1391519184276875</v>
      </c>
      <c r="X301">
        <f t="shared" si="244"/>
        <v>-25.394287650730085</v>
      </c>
      <c r="Y301">
        <f t="shared" si="228"/>
        <v>-156.46138195094369</v>
      </c>
      <c r="Z301">
        <f t="shared" si="245"/>
        <v>23.538618049056311</v>
      </c>
      <c r="AC301">
        <v>1</v>
      </c>
      <c r="AD301">
        <f t="shared" si="229"/>
        <v>149.80043666624402</v>
      </c>
      <c r="AE301">
        <f t="shared" si="230"/>
        <v>-4.0943239719379257E-2</v>
      </c>
      <c r="AF301">
        <f t="shared" si="231"/>
        <v>1.8858980677949999E-2</v>
      </c>
      <c r="AG301">
        <f t="shared" si="246"/>
        <v>1370.1410222093086</v>
      </c>
      <c r="AH301">
        <f t="shared" si="247"/>
        <v>-3027.629822455373</v>
      </c>
      <c r="AJ301">
        <f t="shared" si="232"/>
        <v>21000</v>
      </c>
      <c r="AK301">
        <f t="shared" si="233"/>
        <v>2932.9814732620503</v>
      </c>
      <c r="AL301">
        <v>1</v>
      </c>
      <c r="AM301">
        <f t="shared" si="234"/>
        <v>57.536563499941053</v>
      </c>
      <c r="AN301">
        <f t="shared" si="248"/>
        <v>57.302185743538928</v>
      </c>
      <c r="AO301">
        <f t="shared" si="249"/>
        <v>-363.9893754564942</v>
      </c>
      <c r="AQ301">
        <f t="shared" si="235"/>
        <v>1.3211767457038635E-2</v>
      </c>
      <c r="AR301">
        <f t="shared" si="236"/>
        <v>-11.494237687623613</v>
      </c>
      <c r="AT301">
        <f t="shared" si="261"/>
        <v>-34782.19482487096</v>
      </c>
      <c r="AU301">
        <f t="shared" si="262"/>
        <v>-15788.726915997653</v>
      </c>
      <c r="AV301">
        <f t="shared" si="250"/>
        <v>-2.7154742692474372</v>
      </c>
      <c r="AW301">
        <f t="shared" si="251"/>
        <v>-3437.9221347206171</v>
      </c>
      <c r="AX301">
        <f t="shared" si="252"/>
        <v>-4503.2108047940274</v>
      </c>
      <c r="AY301">
        <f t="shared" si="260"/>
        <v>-2.2228424127780282</v>
      </c>
      <c r="BA301">
        <f t="shared" si="237"/>
        <v>6.7421722523066006</v>
      </c>
      <c r="BB301">
        <f t="shared" si="253"/>
        <v>16.575996877880684</v>
      </c>
      <c r="BC301">
        <f t="shared" si="254"/>
        <v>-0.49263185646940899</v>
      </c>
      <c r="BD301">
        <f t="shared" si="238"/>
        <v>-208.22572626164427</v>
      </c>
      <c r="BF301">
        <f t="shared" si="239"/>
        <v>-27.921391467508716</v>
      </c>
      <c r="BG301">
        <f t="shared" si="240"/>
        <v>-200.08949277759606</v>
      </c>
      <c r="BH301">
        <f t="shared" si="255"/>
        <v>-20.089492777596064</v>
      </c>
      <c r="BI301">
        <f t="shared" si="256"/>
        <v>-20.089492777596064</v>
      </c>
      <c r="BJ301">
        <f t="shared" si="241"/>
        <v>0</v>
      </c>
      <c r="BK301">
        <f t="shared" si="257"/>
        <v>0</v>
      </c>
      <c r="BM301">
        <f t="shared" si="258"/>
        <v>-44.497388345389403</v>
      </c>
      <c r="BN301">
        <f t="shared" si="242"/>
        <v>-171.8637665159518</v>
      </c>
      <c r="BQ301" s="66">
        <f t="shared" si="259"/>
        <v>33.477957678165822</v>
      </c>
      <c r="BR301" s="71"/>
      <c r="BS301" s="71"/>
      <c r="BT301" s="71">
        <v>81283.051999999996</v>
      </c>
      <c r="BU301" s="71">
        <v>4.4202000000000004</v>
      </c>
      <c r="BV301" s="71">
        <v>-130.05699999999999</v>
      </c>
      <c r="BY301" s="71"/>
      <c r="BZ301" s="71"/>
      <c r="CA301" s="71"/>
      <c r="CC301" s="71"/>
    </row>
    <row r="302" spans="1:81" ht="13" x14ac:dyDescent="0.3">
      <c r="A302">
        <f t="shared" si="263"/>
        <v>440000</v>
      </c>
      <c r="B302">
        <f t="shared" si="243"/>
        <v>440</v>
      </c>
      <c r="C302">
        <f t="shared" si="212"/>
        <v>1.0095085705811724</v>
      </c>
      <c r="D302">
        <f t="shared" si="213"/>
        <v>0.13735962149108083</v>
      </c>
      <c r="F302">
        <f t="shared" si="214"/>
        <v>3.8467218946362954E-4</v>
      </c>
      <c r="G302">
        <f t="shared" si="215"/>
        <v>6.1157637295231335E-3</v>
      </c>
      <c r="H302">
        <f t="shared" si="216"/>
        <v>-3.1354768862704772</v>
      </c>
      <c r="J302">
        <f t="shared" si="217"/>
        <v>15</v>
      </c>
      <c r="M302">
        <f t="shared" si="218"/>
        <v>2.4963131826613396E-3</v>
      </c>
      <c r="N302">
        <f t="shared" si="219"/>
        <v>-1.5707963250000001</v>
      </c>
      <c r="O302">
        <f t="shared" si="220"/>
        <v>151.52558057465708</v>
      </c>
      <c r="P302">
        <f t="shared" si="221"/>
        <v>1.5641967331464153</v>
      </c>
      <c r="Q302">
        <f t="shared" si="222"/>
        <v>58.206494051036145</v>
      </c>
      <c r="R302">
        <f t="shared" si="223"/>
        <v>1.5536152679434898</v>
      </c>
      <c r="S302">
        <f t="shared" si="224"/>
        <v>0.99016815494293042</v>
      </c>
      <c r="T302">
        <f t="shared" si="225"/>
        <v>-0.14034242618513851</v>
      </c>
      <c r="U302">
        <f t="shared" si="226"/>
        <v>0.41443122111503056</v>
      </c>
      <c r="V302">
        <f t="shared" si="227"/>
        <v>-1.1434785891841723</v>
      </c>
      <c r="X302">
        <f t="shared" si="244"/>
        <v>-25.575801056427775</v>
      </c>
      <c r="Y302">
        <f t="shared" si="228"/>
        <v>-156.69952268655334</v>
      </c>
      <c r="Z302">
        <f t="shared" si="245"/>
        <v>23.300477313446663</v>
      </c>
      <c r="AC302">
        <v>1</v>
      </c>
      <c r="AD302">
        <f t="shared" si="229"/>
        <v>151.52228076585601</v>
      </c>
      <c r="AE302">
        <f t="shared" si="230"/>
        <v>-4.1889872953741969E-2</v>
      </c>
      <c r="AF302">
        <f t="shared" si="231"/>
        <v>1.90757505708E-2</v>
      </c>
      <c r="AG302">
        <f t="shared" si="246"/>
        <v>1344.4963164204596</v>
      </c>
      <c r="AH302">
        <f t="shared" si="247"/>
        <v>-3004.902987637628</v>
      </c>
      <c r="AJ302">
        <f t="shared" si="232"/>
        <v>21000</v>
      </c>
      <c r="AK302">
        <f t="shared" si="233"/>
        <v>2966.6939039892</v>
      </c>
      <c r="AL302">
        <v>1</v>
      </c>
      <c r="AM302">
        <f t="shared" si="234"/>
        <v>58.197903310285199</v>
      </c>
      <c r="AN302">
        <f t="shared" si="248"/>
        <v>57.159266967825999</v>
      </c>
      <c r="AO302">
        <f t="shared" si="249"/>
        <v>-359.85558829111602</v>
      </c>
      <c r="AQ302">
        <f t="shared" si="235"/>
        <v>1.2913206465384214E-2</v>
      </c>
      <c r="AR302">
        <f t="shared" si="236"/>
        <v>-11.363621689538107</v>
      </c>
      <c r="AT302">
        <f t="shared" si="261"/>
        <v>-34129.219006750922</v>
      </c>
      <c r="AU302">
        <f t="shared" si="262"/>
        <v>-15317.15043546744</v>
      </c>
      <c r="AV302">
        <f t="shared" si="250"/>
        <v>-2.7197381464803234</v>
      </c>
      <c r="AW302">
        <f t="shared" si="251"/>
        <v>-3356.5228810600602</v>
      </c>
      <c r="AX302">
        <f t="shared" si="252"/>
        <v>-4455.996794634103</v>
      </c>
      <c r="AY302">
        <f t="shared" si="260"/>
        <v>-2.2163803918337499</v>
      </c>
      <c r="BA302">
        <f t="shared" si="237"/>
        <v>6.7056211893565703</v>
      </c>
      <c r="BB302">
        <f t="shared" si="253"/>
        <v>16.528780316723605</v>
      </c>
      <c r="BC302">
        <f t="shared" si="254"/>
        <v>-0.50335775464657351</v>
      </c>
      <c r="BD302">
        <f t="shared" si="238"/>
        <v>-208.84027495938508</v>
      </c>
      <c r="BF302">
        <f t="shared" si="239"/>
        <v>-28.165378506783803</v>
      </c>
      <c r="BG302">
        <f t="shared" si="240"/>
        <v>-200.61974091283747</v>
      </c>
      <c r="BH302">
        <f t="shared" si="255"/>
        <v>-20.619740912837472</v>
      </c>
      <c r="BI302">
        <f t="shared" si="256"/>
        <v>-20.619740912837472</v>
      </c>
      <c r="BJ302">
        <f t="shared" si="241"/>
        <v>0</v>
      </c>
      <c r="BK302">
        <f t="shared" si="257"/>
        <v>0</v>
      </c>
      <c r="BM302">
        <f t="shared" si="258"/>
        <v>-44.694158823507408</v>
      </c>
      <c r="BN302">
        <f t="shared" si="242"/>
        <v>-171.77946595345242</v>
      </c>
      <c r="BQ302" s="66">
        <f t="shared" si="259"/>
        <v>33.430741117008736</v>
      </c>
      <c r="BR302" s="71"/>
      <c r="BS302" s="71"/>
      <c r="BT302" s="71">
        <v>83176.376999999993</v>
      </c>
      <c r="BU302" s="71">
        <v>4.5639399999999997</v>
      </c>
      <c r="BV302" s="71">
        <v>-130.11600000000001</v>
      </c>
      <c r="BY302" s="71"/>
      <c r="BZ302" s="71"/>
      <c r="CA302" s="71"/>
      <c r="CC302" s="71"/>
    </row>
    <row r="303" spans="1:81" ht="13" x14ac:dyDescent="0.3">
      <c r="A303">
        <f t="shared" si="263"/>
        <v>445000</v>
      </c>
      <c r="B303">
        <f t="shared" si="243"/>
        <v>445</v>
      </c>
      <c r="C303">
        <f t="shared" si="212"/>
        <v>1.0097248556268148</v>
      </c>
      <c r="D303">
        <f t="shared" si="213"/>
        <v>0.13890063693408444</v>
      </c>
      <c r="F303">
        <f t="shared" si="214"/>
        <v>3.7607332967462418E-4</v>
      </c>
      <c r="G303">
        <f t="shared" si="215"/>
        <v>6.0469965217508992E-3</v>
      </c>
      <c r="H303">
        <f t="shared" si="216"/>
        <v>-3.1355456534782493</v>
      </c>
      <c r="J303">
        <f t="shared" si="217"/>
        <v>15</v>
      </c>
      <c r="M303">
        <f t="shared" si="218"/>
        <v>2.4682647199348079E-3</v>
      </c>
      <c r="N303">
        <f t="shared" si="219"/>
        <v>-1.5707963250000001</v>
      </c>
      <c r="O303">
        <f t="shared" si="220"/>
        <v>153.24738759855958</v>
      </c>
      <c r="P303">
        <f t="shared" si="221"/>
        <v>1.5642708837670785</v>
      </c>
      <c r="Q303">
        <f t="shared" si="222"/>
        <v>58.867737350210383</v>
      </c>
      <c r="R303">
        <f t="shared" si="223"/>
        <v>1.5538082761985692</v>
      </c>
      <c r="S303">
        <f t="shared" si="224"/>
        <v>0.9899468118181437</v>
      </c>
      <c r="T303">
        <f t="shared" si="225"/>
        <v>-0.1419160168395579</v>
      </c>
      <c r="U303">
        <f t="shared" si="226"/>
        <v>0.41056330660745904</v>
      </c>
      <c r="V303">
        <f t="shared" si="227"/>
        <v>-1.1477245759758257</v>
      </c>
      <c r="X303">
        <f t="shared" si="244"/>
        <v>-25.755580115479091</v>
      </c>
      <c r="Y303">
        <f t="shared" si="228"/>
        <v>-156.93329922671612</v>
      </c>
      <c r="Z303">
        <f t="shared" si="245"/>
        <v>23.066700773283884</v>
      </c>
      <c r="AC303">
        <v>1</v>
      </c>
      <c r="AD303">
        <f t="shared" si="229"/>
        <v>153.244124865468</v>
      </c>
      <c r="AE303">
        <f t="shared" si="230"/>
        <v>-4.2847324853640255E-2</v>
      </c>
      <c r="AF303">
        <f t="shared" si="231"/>
        <v>1.9292520463650001E-2</v>
      </c>
      <c r="AG303">
        <f t="shared" si="246"/>
        <v>1319.5168809095437</v>
      </c>
      <c r="AH303">
        <f t="shared" si="247"/>
        <v>-2982.3873223098626</v>
      </c>
      <c r="AJ303">
        <f t="shared" si="232"/>
        <v>21000</v>
      </c>
      <c r="AK303">
        <f t="shared" si="233"/>
        <v>3000.4063347163501</v>
      </c>
      <c r="AL303">
        <v>1</v>
      </c>
      <c r="AM303">
        <f t="shared" si="234"/>
        <v>58.859243120629351</v>
      </c>
      <c r="AN303">
        <f t="shared" si="248"/>
        <v>57.021136709180446</v>
      </c>
      <c r="AO303">
        <f t="shared" si="249"/>
        <v>-355.81461386394545</v>
      </c>
      <c r="AQ303">
        <f t="shared" si="235"/>
        <v>1.2624652664243575E-2</v>
      </c>
      <c r="AR303">
        <f t="shared" si="236"/>
        <v>-11.235940871176782</v>
      </c>
      <c r="AT303">
        <f t="shared" si="261"/>
        <v>-33493.269166114776</v>
      </c>
      <c r="AU303">
        <f t="shared" si="262"/>
        <v>-14863.665256473652</v>
      </c>
      <c r="AV303">
        <f t="shared" si="250"/>
        <v>-2.7239227507657562</v>
      </c>
      <c r="AW303">
        <f t="shared" si="251"/>
        <v>-3277.9451668276884</v>
      </c>
      <c r="AX303">
        <f t="shared" si="252"/>
        <v>-4409.7550956869709</v>
      </c>
      <c r="AY303">
        <f t="shared" si="260"/>
        <v>-2.2100210726177427</v>
      </c>
      <c r="BA303">
        <f t="shared" si="237"/>
        <v>6.6689304358613644</v>
      </c>
      <c r="BB303">
        <f t="shared" si="253"/>
        <v>16.48112374564667</v>
      </c>
      <c r="BC303">
        <f t="shared" si="254"/>
        <v>-0.51390167814801346</v>
      </c>
      <c r="BD303">
        <f t="shared" si="238"/>
        <v>-209.4443972762167</v>
      </c>
      <c r="BF303">
        <f t="shared" si="239"/>
        <v>-28.407539426130526</v>
      </c>
      <c r="BG303">
        <f t="shared" si="240"/>
        <v>-201.13950961929834</v>
      </c>
      <c r="BH303">
        <f t="shared" si="255"/>
        <v>-21.139509619298337</v>
      </c>
      <c r="BI303">
        <f t="shared" si="256"/>
        <v>-21.139509619298337</v>
      </c>
      <c r="BJ303">
        <f t="shared" si="241"/>
        <v>0</v>
      </c>
      <c r="BK303">
        <f t="shared" si="257"/>
        <v>0</v>
      </c>
      <c r="BM303">
        <f t="shared" si="258"/>
        <v>-44.888663171777196</v>
      </c>
      <c r="BN303">
        <f t="shared" si="242"/>
        <v>-171.69511234308166</v>
      </c>
      <c r="BQ303" s="66">
        <f t="shared" si="259"/>
        <v>33.383084545931808</v>
      </c>
      <c r="BR303" s="71"/>
      <c r="BS303" s="71"/>
      <c r="BT303" s="71">
        <v>85113.804000000004</v>
      </c>
      <c r="BU303" s="71">
        <v>4.7605300000000002</v>
      </c>
      <c r="BV303" s="71">
        <v>-129.97300000000001</v>
      </c>
      <c r="BY303" s="71"/>
      <c r="BZ303" s="71"/>
      <c r="CA303" s="71"/>
      <c r="CC303" s="71"/>
    </row>
    <row r="304" spans="1:81" ht="13" x14ac:dyDescent="0.3">
      <c r="A304">
        <f t="shared" si="263"/>
        <v>450000</v>
      </c>
      <c r="B304">
        <f t="shared" si="243"/>
        <v>450</v>
      </c>
      <c r="C304">
        <f t="shared" si="212"/>
        <v>1.0099435374646106</v>
      </c>
      <c r="D304">
        <f t="shared" si="213"/>
        <v>0.14044098868531718</v>
      </c>
      <c r="F304">
        <f t="shared" si="214"/>
        <v>3.6775963814786642E-4</v>
      </c>
      <c r="G304">
        <f t="shared" si="215"/>
        <v>5.9797591388578569E-3</v>
      </c>
      <c r="H304">
        <f t="shared" si="216"/>
        <v>-3.1356128908611423</v>
      </c>
      <c r="J304">
        <f t="shared" si="217"/>
        <v>15</v>
      </c>
      <c r="M304">
        <f t="shared" si="218"/>
        <v>2.4408395563799766E-3</v>
      </c>
      <c r="N304">
        <f t="shared" si="219"/>
        <v>-1.5707963250000001</v>
      </c>
      <c r="O304">
        <f t="shared" si="220"/>
        <v>154.96919544634068</v>
      </c>
      <c r="P304">
        <f t="shared" si="221"/>
        <v>1.5643433866655618</v>
      </c>
      <c r="Q304">
        <f t="shared" si="222"/>
        <v>59.528982793618226</v>
      </c>
      <c r="R304">
        <f t="shared" si="223"/>
        <v>1.5539969966053493</v>
      </c>
      <c r="S304">
        <f t="shared" si="224"/>
        <v>0.98972311853612693</v>
      </c>
      <c r="T304">
        <f t="shared" si="225"/>
        <v>-0.14348890023460448</v>
      </c>
      <c r="U304">
        <f t="shared" si="226"/>
        <v>0.40675979252122102</v>
      </c>
      <c r="V304">
        <f t="shared" si="227"/>
        <v>-1.1518919659505216</v>
      </c>
      <c r="X304">
        <f t="shared" si="244"/>
        <v>-25.933655563755526</v>
      </c>
      <c r="Y304">
        <f t="shared" si="228"/>
        <v>-157.16282243536801</v>
      </c>
      <c r="Z304">
        <f t="shared" si="245"/>
        <v>22.837177564631986</v>
      </c>
      <c r="AC304">
        <v>1</v>
      </c>
      <c r="AD304">
        <f t="shared" si="229"/>
        <v>154.96596896508001</v>
      </c>
      <c r="AE304">
        <f t="shared" si="230"/>
        <v>-4.3815595419074121E-2</v>
      </c>
      <c r="AF304">
        <f t="shared" si="231"/>
        <v>1.9509290356499998E-2</v>
      </c>
      <c r="AG304">
        <f t="shared" si="246"/>
        <v>1295.1817611517806</v>
      </c>
      <c r="AH304">
        <f t="shared" si="247"/>
        <v>-2960.0851176808578</v>
      </c>
      <c r="AJ304">
        <f t="shared" si="232"/>
        <v>21000</v>
      </c>
      <c r="AK304">
        <f t="shared" si="233"/>
        <v>3034.1187654435003</v>
      </c>
      <c r="AL304">
        <v>1</v>
      </c>
      <c r="AM304">
        <f t="shared" si="234"/>
        <v>59.520582930973497</v>
      </c>
      <c r="AN304">
        <f t="shared" si="248"/>
        <v>56.887583432126029</v>
      </c>
      <c r="AO304">
        <f t="shared" si="249"/>
        <v>-351.86336197103066</v>
      </c>
      <c r="AQ304">
        <f t="shared" si="235"/>
        <v>1.2345663770785468E-2</v>
      </c>
      <c r="AR304">
        <f t="shared" si="236"/>
        <v>-11.111097393706922</v>
      </c>
      <c r="AT304">
        <f t="shared" si="261"/>
        <v>-32873.804157669198</v>
      </c>
      <c r="AU304">
        <f t="shared" si="262"/>
        <v>-14427.434906306085</v>
      </c>
      <c r="AV304">
        <f t="shared" si="250"/>
        <v>-2.7280301222208889</v>
      </c>
      <c r="AW304">
        <f t="shared" si="251"/>
        <v>-3202.0602517291222</v>
      </c>
      <c r="AX304">
        <f t="shared" si="252"/>
        <v>-4364.4553450461481</v>
      </c>
      <c r="AY304">
        <f t="shared" si="260"/>
        <v>-2.203762612292099</v>
      </c>
      <c r="BA304">
        <f t="shared" si="237"/>
        <v>6.6321300059617201</v>
      </c>
      <c r="BB304">
        <f t="shared" si="253"/>
        <v>16.433060617184513</v>
      </c>
      <c r="BC304">
        <f t="shared" si="254"/>
        <v>-0.5242675099287899</v>
      </c>
      <c r="BD304">
        <f t="shared" si="238"/>
        <v>-210.03831568907643</v>
      </c>
      <c r="BF304">
        <f t="shared" si="239"/>
        <v>-28.647891042771462</v>
      </c>
      <c r="BG304">
        <f t="shared" si="240"/>
        <v>-201.64902479601568</v>
      </c>
      <c r="BH304">
        <f t="shared" si="255"/>
        <v>-21.649024796015681</v>
      </c>
      <c r="BI304">
        <f t="shared" si="256"/>
        <v>-21.649024796015681</v>
      </c>
      <c r="BJ304">
        <f t="shared" si="241"/>
        <v>0</v>
      </c>
      <c r="BK304">
        <f t="shared" si="257"/>
        <v>0</v>
      </c>
      <c r="BM304">
        <f t="shared" si="258"/>
        <v>-45.080951659955979</v>
      </c>
      <c r="BN304">
        <f t="shared" si="242"/>
        <v>-171.61070910693928</v>
      </c>
      <c r="BQ304" s="66">
        <f t="shared" si="259"/>
        <v>33.335021417469648</v>
      </c>
      <c r="BR304" s="71"/>
      <c r="BS304" s="71"/>
      <c r="BT304" s="71">
        <v>87096.358999999997</v>
      </c>
      <c r="BU304" s="71">
        <v>4.9475499999999997</v>
      </c>
      <c r="BV304" s="71">
        <v>-129.96199999999999</v>
      </c>
      <c r="BY304" s="71"/>
      <c r="BZ304" s="71"/>
      <c r="CA304" s="71"/>
      <c r="CC304" s="71"/>
    </row>
    <row r="305" spans="1:81" ht="13" x14ac:dyDescent="0.3">
      <c r="A305">
        <f t="shared" si="263"/>
        <v>455000</v>
      </c>
      <c r="B305">
        <f t="shared" si="243"/>
        <v>455</v>
      </c>
      <c r="C305">
        <f t="shared" si="212"/>
        <v>1.0101646145379772</v>
      </c>
      <c r="D305">
        <f t="shared" si="213"/>
        <v>0.14198066986866964</v>
      </c>
      <c r="F305">
        <f t="shared" si="214"/>
        <v>3.5971864188785523E-4</v>
      </c>
      <c r="G305">
        <f t="shared" si="215"/>
        <v>5.9140010750449177E-3</v>
      </c>
      <c r="H305">
        <f t="shared" si="216"/>
        <v>-3.1356786489249551</v>
      </c>
      <c r="J305">
        <f t="shared" si="217"/>
        <v>15</v>
      </c>
      <c r="M305">
        <f t="shared" si="218"/>
        <v>2.4140171436725045E-3</v>
      </c>
      <c r="N305">
        <f t="shared" si="219"/>
        <v>-1.5707963250000001</v>
      </c>
      <c r="O305">
        <f t="shared" si="220"/>
        <v>156.69100409084075</v>
      </c>
      <c r="P305">
        <f t="shared" si="221"/>
        <v>1.5644142961593768</v>
      </c>
      <c r="Q305">
        <f t="shared" si="222"/>
        <v>60.190230310590501</v>
      </c>
      <c r="R305">
        <f t="shared" si="223"/>
        <v>1.5541815704685622</v>
      </c>
      <c r="S305">
        <f t="shared" si="224"/>
        <v>0.98949708000898218</v>
      </c>
      <c r="T305">
        <f t="shared" si="225"/>
        <v>-0.14506106906976829</v>
      </c>
      <c r="U305">
        <f t="shared" si="226"/>
        <v>0.40301929643723561</v>
      </c>
      <c r="V305">
        <f t="shared" si="227"/>
        <v>-1.1559827806227909</v>
      </c>
      <c r="X305">
        <f t="shared" si="244"/>
        <v>-26.11005736712481</v>
      </c>
      <c r="Y305">
        <f t="shared" si="228"/>
        <v>-157.38819979788371</v>
      </c>
      <c r="Z305">
        <f t="shared" si="245"/>
        <v>22.611800202116285</v>
      </c>
      <c r="AC305">
        <v>1</v>
      </c>
      <c r="AD305">
        <f t="shared" si="229"/>
        <v>156.68781306469202</v>
      </c>
      <c r="AE305">
        <f t="shared" si="230"/>
        <v>-4.4794684650043555E-2</v>
      </c>
      <c r="AF305">
        <f t="shared" si="231"/>
        <v>1.9726060249350003E-2</v>
      </c>
      <c r="AG305">
        <f t="shared" si="246"/>
        <v>1271.4707296302543</v>
      </c>
      <c r="AH305">
        <f t="shared" si="247"/>
        <v>-2937.9982440973085</v>
      </c>
      <c r="AJ305">
        <f t="shared" si="232"/>
        <v>21000</v>
      </c>
      <c r="AK305">
        <f t="shared" si="233"/>
        <v>3067.8311961706499</v>
      </c>
      <c r="AL305">
        <v>1</v>
      </c>
      <c r="AM305">
        <f t="shared" si="234"/>
        <v>60.181922741317649</v>
      </c>
      <c r="AN305">
        <f t="shared" si="248"/>
        <v>56.758407153301761</v>
      </c>
      <c r="AO305">
        <f t="shared" si="249"/>
        <v>-347.99887804960741</v>
      </c>
      <c r="AQ305">
        <f t="shared" si="235"/>
        <v>1.207582166909592E-2</v>
      </c>
      <c r="AR305">
        <f t="shared" si="236"/>
        <v>-10.988997718877286</v>
      </c>
      <c r="AT305">
        <f t="shared" si="261"/>
        <v>-32270.301948662305</v>
      </c>
      <c r="AU305">
        <f t="shared" si="262"/>
        <v>-14007.667690385939</v>
      </c>
      <c r="AV305">
        <f t="shared" si="250"/>
        <v>-2.7320622373966441</v>
      </c>
      <c r="AW305">
        <f t="shared" si="251"/>
        <v>-3128.7466287402431</v>
      </c>
      <c r="AX305">
        <f t="shared" si="252"/>
        <v>-4320.0684932329659</v>
      </c>
      <c r="AY305">
        <f t="shared" si="260"/>
        <v>-2.1976031797979569</v>
      </c>
      <c r="BA305">
        <f t="shared" si="237"/>
        <v>6.5952480416866468</v>
      </c>
      <c r="BB305">
        <f t="shared" si="253"/>
        <v>16.384622672735109</v>
      </c>
      <c r="BC305">
        <f t="shared" si="254"/>
        <v>-0.53445905759868717</v>
      </c>
      <c r="BD305">
        <f t="shared" si="238"/>
        <v>-210.62224835793518</v>
      </c>
      <c r="BF305">
        <f t="shared" si="239"/>
        <v>-28.886450217363667</v>
      </c>
      <c r="BG305">
        <f t="shared" si="240"/>
        <v>-202.14850789070155</v>
      </c>
      <c r="BH305">
        <f t="shared" si="255"/>
        <v>-22.148507890701552</v>
      </c>
      <c r="BI305">
        <f t="shared" si="256"/>
        <v>-22.148507890701552</v>
      </c>
      <c r="BJ305">
        <f t="shared" si="241"/>
        <v>0</v>
      </c>
      <c r="BK305">
        <f t="shared" si="257"/>
        <v>0</v>
      </c>
      <c r="BM305">
        <f t="shared" si="258"/>
        <v>-45.271072890098779</v>
      </c>
      <c r="BN305">
        <f t="shared" si="242"/>
        <v>-171.5262595327664</v>
      </c>
      <c r="BQ305" s="66">
        <f t="shared" si="259"/>
        <v>33.286583473020251</v>
      </c>
      <c r="BR305" s="71"/>
      <c r="BS305" s="71"/>
      <c r="BT305" s="71">
        <v>89125.093999999997</v>
      </c>
      <c r="BU305" s="71">
        <v>5.2143100000000002</v>
      </c>
      <c r="BV305" s="71">
        <v>-129.73099999999999</v>
      </c>
      <c r="BY305" s="71"/>
      <c r="BZ305" s="71"/>
      <c r="CA305" s="71"/>
      <c r="CC305" s="71"/>
    </row>
    <row r="306" spans="1:81" ht="13" x14ac:dyDescent="0.3">
      <c r="A306">
        <f t="shared" si="263"/>
        <v>460000</v>
      </c>
      <c r="B306">
        <f t="shared" si="243"/>
        <v>460</v>
      </c>
      <c r="C306">
        <f t="shared" si="212"/>
        <v>1.0103880852746523</v>
      </c>
      <c r="D306">
        <f t="shared" si="213"/>
        <v>0.14351967362673501</v>
      </c>
      <c r="F306">
        <f t="shared" si="214"/>
        <v>3.5193854253787757E-4</v>
      </c>
      <c r="G306">
        <f t="shared" si="215"/>
        <v>5.8496740242698925E-3</v>
      </c>
      <c r="H306">
        <f t="shared" si="216"/>
        <v>-3.1357429759757305</v>
      </c>
      <c r="J306">
        <f t="shared" si="217"/>
        <v>15</v>
      </c>
      <c r="M306">
        <f t="shared" si="218"/>
        <v>2.3877778268934554E-3</v>
      </c>
      <c r="N306">
        <f t="shared" si="219"/>
        <v>-1.5707963250000001</v>
      </c>
      <c r="O306">
        <f t="shared" si="220"/>
        <v>158.41281350608079</v>
      </c>
      <c r="P306">
        <f t="shared" si="221"/>
        <v>1.5644836642045648</v>
      </c>
      <c r="Q306">
        <f t="shared" si="222"/>
        <v>60.851479833529538</v>
      </c>
      <c r="R306">
        <f t="shared" si="223"/>
        <v>1.5543621329520831</v>
      </c>
      <c r="S306">
        <f t="shared" si="224"/>
        <v>0.98926870119424704</v>
      </c>
      <c r="T306">
        <f t="shared" si="225"/>
        <v>-0.14663251606530051</v>
      </c>
      <c r="U306">
        <f t="shared" si="226"/>
        <v>0.39934046623923125</v>
      </c>
      <c r="V306">
        <f t="shared" si="227"/>
        <v>-1.1599989781522797</v>
      </c>
      <c r="X306">
        <f t="shared" si="244"/>
        <v>-26.284814746630474</v>
      </c>
      <c r="Y306">
        <f t="shared" si="228"/>
        <v>-157.60953553089925</v>
      </c>
      <c r="Z306">
        <f t="shared" si="245"/>
        <v>22.390464469100749</v>
      </c>
      <c r="AC306">
        <v>1</v>
      </c>
      <c r="AD306">
        <f t="shared" si="229"/>
        <v>158.40965716430401</v>
      </c>
      <c r="AE306">
        <f t="shared" si="230"/>
        <v>-4.5784592546548569E-2</v>
      </c>
      <c r="AF306">
        <f t="shared" si="231"/>
        <v>1.99428301422E-2</v>
      </c>
      <c r="AG306">
        <f t="shared" si="246"/>
        <v>1248.3642613945092</v>
      </c>
      <c r="AH306">
        <f t="shared" si="247"/>
        <v>-2916.1281845629346</v>
      </c>
      <c r="AJ306">
        <f t="shared" si="232"/>
        <v>21000</v>
      </c>
      <c r="AK306">
        <f t="shared" si="233"/>
        <v>3101.5436268978001</v>
      </c>
      <c r="AL306">
        <v>1</v>
      </c>
      <c r="AM306">
        <f t="shared" si="234"/>
        <v>60.843262551661802</v>
      </c>
      <c r="AN306">
        <f t="shared" si="248"/>
        <v>56.633418692671491</v>
      </c>
      <c r="AO306">
        <f t="shared" si="249"/>
        <v>-344.21833581860255</v>
      </c>
      <c r="AQ306">
        <f t="shared" si="235"/>
        <v>1.1814730842709308E-2</v>
      </c>
      <c r="AR306">
        <f t="shared" si="236"/>
        <v>-10.869552375292562</v>
      </c>
      <c r="AT306">
        <f t="shared" si="261"/>
        <v>-31682.258947431597</v>
      </c>
      <c r="AU306">
        <f t="shared" si="262"/>
        <v>-13603.613992274482</v>
      </c>
      <c r="AV306">
        <f t="shared" si="250"/>
        <v>-2.7360210114438392</v>
      </c>
      <c r="AW306">
        <f t="shared" si="251"/>
        <v>-3057.8895442489088</v>
      </c>
      <c r="AX306">
        <f t="shared" si="252"/>
        <v>-4276.5667293692177</v>
      </c>
      <c r="AY306">
        <f t="shared" si="260"/>
        <v>-2.1915409582872059</v>
      </c>
      <c r="BA306">
        <f t="shared" si="237"/>
        <v>6.5583109091990792</v>
      </c>
      <c r="BB306">
        <f t="shared" si="253"/>
        <v>16.335840027541881</v>
      </c>
      <c r="BC306">
        <f t="shared" si="254"/>
        <v>-0.54448005315663339</v>
      </c>
      <c r="BD306">
        <f t="shared" si="238"/>
        <v>-211.1964091105809</v>
      </c>
      <c r="BF306">
        <f t="shared" si="239"/>
        <v>-29.123233842062643</v>
      </c>
      <c r="BG306">
        <f t="shared" si="240"/>
        <v>-202.6381758917768</v>
      </c>
      <c r="BH306">
        <f t="shared" si="255"/>
        <v>-22.638175891776797</v>
      </c>
      <c r="BI306">
        <f t="shared" si="256"/>
        <v>-22.638175891776797</v>
      </c>
      <c r="BJ306">
        <f t="shared" si="241"/>
        <v>0</v>
      </c>
      <c r="BK306">
        <f t="shared" si="257"/>
        <v>0</v>
      </c>
      <c r="BM306">
        <f t="shared" si="258"/>
        <v>-45.459073869604524</v>
      </c>
      <c r="BN306">
        <f t="shared" si="242"/>
        <v>-171.44176678119589</v>
      </c>
      <c r="BQ306" s="66">
        <f t="shared" si="259"/>
        <v>33.237800827827016</v>
      </c>
      <c r="BR306" s="71"/>
      <c r="BS306" s="71"/>
      <c r="BT306" s="71">
        <v>91201.084000000003</v>
      </c>
      <c r="BU306" s="71">
        <v>5.4050900000000004</v>
      </c>
      <c r="BV306" s="71">
        <v>-129.68299999999999</v>
      </c>
      <c r="BY306" s="71"/>
      <c r="BZ306" s="71"/>
      <c r="CA306" s="71"/>
      <c r="CC306" s="71"/>
    </row>
    <row r="307" spans="1:81" ht="13" x14ac:dyDescent="0.3">
      <c r="A307">
        <f t="shared" si="263"/>
        <v>465000</v>
      </c>
      <c r="B307">
        <f t="shared" si="243"/>
        <v>465</v>
      </c>
      <c r="C307">
        <f t="shared" si="212"/>
        <v>1.0106139480867484</v>
      </c>
      <c r="D307">
        <f t="shared" si="213"/>
        <v>0.14505799312097531</v>
      </c>
      <c r="F307">
        <f t="shared" si="214"/>
        <v>3.4440817305652092E-4</v>
      </c>
      <c r="G307">
        <f t="shared" si="215"/>
        <v>5.7867317617362529E-3</v>
      </c>
      <c r="H307">
        <f t="shared" si="216"/>
        <v>-3.135805918238264</v>
      </c>
      <c r="J307">
        <f t="shared" si="217"/>
        <v>15</v>
      </c>
      <c r="M307">
        <f t="shared" si="218"/>
        <v>2.3621027964967514E-3</v>
      </c>
      <c r="N307">
        <f t="shared" si="219"/>
        <v>-1.5707963250000001</v>
      </c>
      <c r="O307">
        <f t="shared" si="220"/>
        <v>160.13462366719926</v>
      </c>
      <c r="P307">
        <f t="shared" si="221"/>
        <v>1.5645515405226467</v>
      </c>
      <c r="Q307">
        <f t="shared" si="222"/>
        <v>61.512731297744118</v>
      </c>
      <c r="R307">
        <f t="shared" si="223"/>
        <v>1.5545388134089051</v>
      </c>
      <c r="S307">
        <f t="shared" si="224"/>
        <v>0.98903798709460133</v>
      </c>
      <c r="T307">
        <f t="shared" si="225"/>
        <v>-0.14820323396239574</v>
      </c>
      <c r="U307">
        <f t="shared" si="226"/>
        <v>0.39572197981523782</v>
      </c>
      <c r="V307">
        <f t="shared" si="227"/>
        <v>-1.1639424555451148</v>
      </c>
      <c r="X307">
        <f t="shared" si="244"/>
        <v>-26.457956202588502</v>
      </c>
      <c r="Y307">
        <f t="shared" si="228"/>
        <v>-157.82693068905178</v>
      </c>
      <c r="Z307">
        <f t="shared" si="245"/>
        <v>22.173069310948222</v>
      </c>
      <c r="AC307">
        <v>1</v>
      </c>
      <c r="AD307">
        <f t="shared" si="229"/>
        <v>160.13150126391602</v>
      </c>
      <c r="AE307">
        <f t="shared" si="230"/>
        <v>-4.6785319108589143E-2</v>
      </c>
      <c r="AF307">
        <f t="shared" si="231"/>
        <v>2.0159600035050001E-2</v>
      </c>
      <c r="AG307">
        <f t="shared" si="246"/>
        <v>1225.8435101379146</v>
      </c>
      <c r="AH307">
        <f t="shared" si="247"/>
        <v>-2894.4760658715445</v>
      </c>
      <c r="AJ307">
        <f t="shared" si="232"/>
        <v>21000</v>
      </c>
      <c r="AK307">
        <f t="shared" si="233"/>
        <v>3135.2560576249502</v>
      </c>
      <c r="AL307">
        <v>1</v>
      </c>
      <c r="AM307">
        <f t="shared" si="234"/>
        <v>61.504602362005954</v>
      </c>
      <c r="AN307">
        <f t="shared" si="248"/>
        <v>56.512438980747206</v>
      </c>
      <c r="AO307">
        <f t="shared" si="249"/>
        <v>-340.51903039303198</v>
      </c>
      <c r="AQ307">
        <f t="shared" si="235"/>
        <v>1.1562016924480374E-2</v>
      </c>
      <c r="AR307">
        <f t="shared" si="236"/>
        <v>-10.752675739766747</v>
      </c>
      <c r="AT307">
        <f t="shared" si="261"/>
        <v>-31109.189349421475</v>
      </c>
      <c r="AU307">
        <f t="shared" si="262"/>
        <v>-13214.563753471577</v>
      </c>
      <c r="AV307">
        <f t="shared" si="250"/>
        <v>-2.7399083002094664</v>
      </c>
      <c r="AW307">
        <f t="shared" si="251"/>
        <v>-2989.3805547279844</v>
      </c>
      <c r="AX307">
        <f t="shared" si="252"/>
        <v>-4233.9234117067863</v>
      </c>
      <c r="AY307">
        <f t="shared" si="260"/>
        <v>-2.1855741472780981</v>
      </c>
      <c r="BA307">
        <f t="shared" si="237"/>
        <v>6.5213432911342313</v>
      </c>
      <c r="BB307">
        <f t="shared" si="253"/>
        <v>16.286741251568586</v>
      </c>
      <c r="BC307">
        <f t="shared" si="254"/>
        <v>-0.55433415293136834</v>
      </c>
      <c r="BD307">
        <f t="shared" si="238"/>
        <v>-211.76100743921918</v>
      </c>
      <c r="BF307">
        <f t="shared" si="239"/>
        <v>-29.358258828736581</v>
      </c>
      <c r="BG307">
        <f t="shared" si="240"/>
        <v>-203.11824133175196</v>
      </c>
      <c r="BH307">
        <f t="shared" si="255"/>
        <v>-23.11824133175196</v>
      </c>
      <c r="BI307">
        <f t="shared" si="256"/>
        <v>-23.11824133175196</v>
      </c>
      <c r="BJ307">
        <f t="shared" si="241"/>
        <v>0</v>
      </c>
      <c r="BK307">
        <f t="shared" si="257"/>
        <v>0</v>
      </c>
      <c r="BM307">
        <f t="shared" si="258"/>
        <v>-45.645000080305167</v>
      </c>
      <c r="BN307">
        <f t="shared" si="242"/>
        <v>-171.3572338925328</v>
      </c>
      <c r="BQ307" s="66">
        <f t="shared" si="259"/>
        <v>33.188702051853724</v>
      </c>
      <c r="BR307" s="71"/>
      <c r="BS307" s="71"/>
      <c r="BT307" s="71">
        <v>93325.43</v>
      </c>
      <c r="BU307" s="71">
        <v>5.6014999999999997</v>
      </c>
      <c r="BV307" s="71">
        <v>-129.64400000000001</v>
      </c>
      <c r="BY307" s="71"/>
      <c r="BZ307" s="71"/>
      <c r="CA307" s="71"/>
      <c r="CC307" s="71"/>
    </row>
    <row r="308" spans="1:81" ht="13" x14ac:dyDescent="0.3">
      <c r="A308">
        <f t="shared" si="263"/>
        <v>470000</v>
      </c>
      <c r="B308">
        <f t="shared" si="243"/>
        <v>470</v>
      </c>
      <c r="C308">
        <f t="shared" si="212"/>
        <v>1.0108422013708083</v>
      </c>
      <c r="D308">
        <f t="shared" si="213"/>
        <v>0.14659562153188621</v>
      </c>
      <c r="F308">
        <f t="shared" si="214"/>
        <v>3.3711695760592922E-4</v>
      </c>
      <c r="G308">
        <f t="shared" si="215"/>
        <v>5.7251300329643918E-3</v>
      </c>
      <c r="H308">
        <f t="shared" si="216"/>
        <v>-3.1358675199670358</v>
      </c>
      <c r="J308">
        <f t="shared" si="217"/>
        <v>15</v>
      </c>
      <c r="M308">
        <f t="shared" si="218"/>
        <v>2.3369740433425304E-3</v>
      </c>
      <c r="N308">
        <f t="shared" si="219"/>
        <v>-1.5707963250000001</v>
      </c>
      <c r="O308">
        <f t="shared" si="220"/>
        <v>161.85643455039244</v>
      </c>
      <c r="P308">
        <f t="shared" si="221"/>
        <v>1.5646179727194716</v>
      </c>
      <c r="Q308">
        <f t="shared" si="222"/>
        <v>62.173984641294929</v>
      </c>
      <c r="R308">
        <f t="shared" si="223"/>
        <v>1.5547117356900644</v>
      </c>
      <c r="S308">
        <f t="shared" si="224"/>
        <v>0.98880494275757214</v>
      </c>
      <c r="T308">
        <f t="shared" si="225"/>
        <v>-0.14977321552337303</v>
      </c>
      <c r="U308">
        <f t="shared" si="226"/>
        <v>0.3921625447156612</v>
      </c>
      <c r="V308">
        <f t="shared" si="227"/>
        <v>-1.1678150507798761</v>
      </c>
      <c r="X308">
        <f t="shared" si="244"/>
        <v>-26.629509537665182</v>
      </c>
      <c r="Y308">
        <f t="shared" si="228"/>
        <v>-158.04048326863617</v>
      </c>
      <c r="Z308">
        <f t="shared" si="245"/>
        <v>21.959516731363834</v>
      </c>
      <c r="AC308">
        <v>1</v>
      </c>
      <c r="AD308">
        <f t="shared" si="229"/>
        <v>161.85334536352801</v>
      </c>
      <c r="AE308">
        <f t="shared" si="230"/>
        <v>-4.7796864336165291E-2</v>
      </c>
      <c r="AF308">
        <f t="shared" si="231"/>
        <v>2.0376369927900002E-2</v>
      </c>
      <c r="AG308">
        <f t="shared" si="246"/>
        <v>1203.8902848270379</v>
      </c>
      <c r="AH308">
        <f t="shared" si="247"/>
        <v>-2873.0426875175358</v>
      </c>
      <c r="AJ308">
        <f t="shared" si="232"/>
        <v>21000</v>
      </c>
      <c r="AK308">
        <f t="shared" si="233"/>
        <v>3168.9684883521004</v>
      </c>
      <c r="AL308">
        <v>1</v>
      </c>
      <c r="AM308">
        <f t="shared" si="234"/>
        <v>62.1659421723501</v>
      </c>
      <c r="AN308">
        <f t="shared" si="248"/>
        <v>56.395298417089002</v>
      </c>
      <c r="AO308">
        <f t="shared" si="249"/>
        <v>-336.89837183708147</v>
      </c>
      <c r="AQ308">
        <f t="shared" si="235"/>
        <v>1.131732535386447E-2</v>
      </c>
      <c r="AR308">
        <f t="shared" si="236"/>
        <v>-10.638285832632603</v>
      </c>
      <c r="AT308">
        <f t="shared" si="261"/>
        <v>-30550.624501122755</v>
      </c>
      <c r="AU308">
        <f t="shared" si="262"/>
        <v>-12839.844119969684</v>
      </c>
      <c r="AV308">
        <f t="shared" si="250"/>
        <v>-2.7437259022642873</v>
      </c>
      <c r="AW308">
        <f t="shared" si="251"/>
        <v>-2923.1171168125634</v>
      </c>
      <c r="AX308">
        <f t="shared" si="252"/>
        <v>-4192.1130030550212</v>
      </c>
      <c r="AY308">
        <f t="shared" si="260"/>
        <v>-2.1797009645571745</v>
      </c>
      <c r="BA308">
        <f t="shared" si="237"/>
        <v>6.484368275070552</v>
      </c>
      <c r="BB308">
        <f t="shared" si="253"/>
        <v>16.237353446444548</v>
      </c>
      <c r="BC308">
        <f t="shared" si="254"/>
        <v>-0.56402493770711271</v>
      </c>
      <c r="BD308">
        <f t="shared" si="238"/>
        <v>-212.31624850767344</v>
      </c>
      <c r="BF308">
        <f t="shared" si="239"/>
        <v>-29.591542097407995</v>
      </c>
      <c r="BG308">
        <f t="shared" si="240"/>
        <v>-203.58891230077433</v>
      </c>
      <c r="BH308">
        <f t="shared" si="255"/>
        <v>-23.588912300774325</v>
      </c>
      <c r="BI308">
        <f t="shared" si="256"/>
        <v>-23.588912300774325</v>
      </c>
      <c r="BJ308">
        <f t="shared" si="241"/>
        <v>0</v>
      </c>
      <c r="BK308">
        <f t="shared" si="257"/>
        <v>0</v>
      </c>
      <c r="BM308">
        <f t="shared" si="258"/>
        <v>-45.828895543852539</v>
      </c>
      <c r="BN308">
        <f t="shared" si="242"/>
        <v>-171.27266379310092</v>
      </c>
      <c r="BQ308" s="66">
        <f t="shared" si="259"/>
        <v>33.139314246729683</v>
      </c>
      <c r="BR308" s="71"/>
      <c r="BS308" s="71"/>
      <c r="BT308" s="71">
        <v>95499.259000000005</v>
      </c>
      <c r="BU308" s="71">
        <v>5.7946099999999996</v>
      </c>
      <c r="BV308" s="71">
        <v>-129.63</v>
      </c>
      <c r="BY308" s="71"/>
      <c r="BZ308" s="71"/>
      <c r="CA308" s="71"/>
      <c r="CC308" s="71"/>
    </row>
    <row r="309" spans="1:81" ht="13" x14ac:dyDescent="0.3">
      <c r="A309">
        <f t="shared" si="263"/>
        <v>475000</v>
      </c>
      <c r="B309">
        <f t="shared" si="243"/>
        <v>475</v>
      </c>
      <c r="C309">
        <f t="shared" si="212"/>
        <v>1.0110728435078589</v>
      </c>
      <c r="D309">
        <f t="shared" si="213"/>
        <v>0.14813255205916054</v>
      </c>
      <c r="F309">
        <f t="shared" si="214"/>
        <v>3.3005487438251581E-4</v>
      </c>
      <c r="G309">
        <f t="shared" si="215"/>
        <v>5.6648264498851747E-3</v>
      </c>
      <c r="H309">
        <f t="shared" si="216"/>
        <v>-3.1359278235501149</v>
      </c>
      <c r="J309">
        <f t="shared" si="217"/>
        <v>15</v>
      </c>
      <c r="M309">
        <f t="shared" si="218"/>
        <v>2.312374316570504E-3</v>
      </c>
      <c r="N309">
        <f t="shared" si="219"/>
        <v>-1.5707963250000001</v>
      </c>
      <c r="O309">
        <f t="shared" si="220"/>
        <v>163.57824613285885</v>
      </c>
      <c r="P309">
        <f t="shared" si="221"/>
        <v>1.5646830063965596</v>
      </c>
      <c r="Q309">
        <f t="shared" si="222"/>
        <v>62.835239804849785</v>
      </c>
      <c r="R309">
        <f t="shared" si="223"/>
        <v>1.5548810184340656</v>
      </c>
      <c r="S309">
        <f t="shared" si="224"/>
        <v>0.9885695732752352</v>
      </c>
      <c r="T309">
        <f t="shared" si="225"/>
        <v>-0.15134245353185516</v>
      </c>
      <c r="U309">
        <f t="shared" si="226"/>
        <v>0.38866089777398249</v>
      </c>
      <c r="V309">
        <f t="shared" si="227"/>
        <v>-1.1716185448599887</v>
      </c>
      <c r="X309">
        <f t="shared" si="244"/>
        <v>-26.799501878995038</v>
      </c>
      <c r="Y309">
        <f t="shared" si="228"/>
        <v>-158.25028830819014</v>
      </c>
      <c r="Z309">
        <f t="shared" si="245"/>
        <v>21.749711691809864</v>
      </c>
      <c r="AC309">
        <v>1</v>
      </c>
      <c r="AD309">
        <f t="shared" si="229"/>
        <v>163.57518946314002</v>
      </c>
      <c r="AE309">
        <f t="shared" si="230"/>
        <v>-4.881922822927702E-2</v>
      </c>
      <c r="AF309">
        <f t="shared" si="231"/>
        <v>2.0593139820750003E-2</v>
      </c>
      <c r="AG309">
        <f t="shared" si="246"/>
        <v>1182.4870269088726</v>
      </c>
      <c r="AH309">
        <f t="shared" si="247"/>
        <v>-2851.8285485367337</v>
      </c>
      <c r="AJ309">
        <f t="shared" si="232"/>
        <v>21000</v>
      </c>
      <c r="AK309">
        <f t="shared" si="233"/>
        <v>3202.6809190792505</v>
      </c>
      <c r="AL309">
        <v>1</v>
      </c>
      <c r="AM309">
        <f t="shared" si="234"/>
        <v>62.827281982694252</v>
      </c>
      <c r="AN309">
        <f t="shared" si="248"/>
        <v>56.281836275789594</v>
      </c>
      <c r="AO309">
        <f t="shared" si="249"/>
        <v>-333.35387912361301</v>
      </c>
      <c r="AQ309">
        <f t="shared" si="235"/>
        <v>1.1080320132609272E-2</v>
      </c>
      <c r="AR309">
        <f t="shared" si="236"/>
        <v>-10.526304125978807</v>
      </c>
      <c r="AT309">
        <f t="shared" si="261"/>
        <v>-30006.112282235568</v>
      </c>
      <c r="AU309">
        <f t="shared" si="262"/>
        <v>-12478.817243548381</v>
      </c>
      <c r="AV309">
        <f t="shared" si="250"/>
        <v>-2.7474755608630579</v>
      </c>
      <c r="AW309">
        <f t="shared" si="251"/>
        <v>-2859.0022079506475</v>
      </c>
      <c r="AX309">
        <f t="shared" si="252"/>
        <v>-4151.1110106918495</v>
      </c>
      <c r="AY309">
        <f t="shared" si="260"/>
        <v>-2.1739196478484026</v>
      </c>
      <c r="BA309">
        <f t="shared" si="237"/>
        <v>6.4474074381906306</v>
      </c>
      <c r="BB309">
        <f t="shared" si="253"/>
        <v>16.187702318652853</v>
      </c>
      <c r="BC309">
        <f t="shared" si="254"/>
        <v>-0.57355591301465525</v>
      </c>
      <c r="BD309">
        <f t="shared" si="238"/>
        <v>-212.862333168063</v>
      </c>
      <c r="BF309">
        <f t="shared" si="239"/>
        <v>-29.823100564985651</v>
      </c>
      <c r="BG309">
        <f t="shared" si="240"/>
        <v>-204.05039246924952</v>
      </c>
      <c r="BH309">
        <f t="shared" si="255"/>
        <v>-24.050392469249516</v>
      </c>
      <c r="BI309">
        <f t="shared" si="256"/>
        <v>-24.050392469249516</v>
      </c>
      <c r="BJ309">
        <f t="shared" si="241"/>
        <v>0</v>
      </c>
      <c r="BK309">
        <f t="shared" si="257"/>
        <v>0</v>
      </c>
      <c r="BM309">
        <f t="shared" si="258"/>
        <v>-46.010802883638505</v>
      </c>
      <c r="BN309">
        <f t="shared" si="242"/>
        <v>-171.18805930118651</v>
      </c>
      <c r="BQ309" s="66">
        <f t="shared" si="259"/>
        <v>33.089663118937992</v>
      </c>
      <c r="BR309" s="71"/>
      <c r="BS309" s="71"/>
      <c r="BT309" s="71">
        <v>97723.721999999994</v>
      </c>
      <c r="BU309" s="71">
        <v>5.9855799999999997</v>
      </c>
      <c r="BV309" s="71">
        <v>-129.62100000000001</v>
      </c>
      <c r="BY309" s="71"/>
      <c r="BZ309" s="71"/>
      <c r="CA309" s="71"/>
      <c r="CC309" s="71"/>
    </row>
    <row r="310" spans="1:81" ht="13" x14ac:dyDescent="0.3">
      <c r="A310">
        <f t="shared" si="263"/>
        <v>480000</v>
      </c>
      <c r="B310">
        <f t="shared" si="243"/>
        <v>480</v>
      </c>
      <c r="C310">
        <f t="shared" si="212"/>
        <v>1.0113058728634687</v>
      </c>
      <c r="D310">
        <f t="shared" si="213"/>
        <v>0.14966877792185065</v>
      </c>
      <c r="F310">
        <f t="shared" si="214"/>
        <v>3.2321242114598497E-4</v>
      </c>
      <c r="G310">
        <f t="shared" si="215"/>
        <v>5.6057803934424144E-3</v>
      </c>
      <c r="H310">
        <f t="shared" si="216"/>
        <v>-3.1359868696065578</v>
      </c>
      <c r="J310">
        <f t="shared" si="217"/>
        <v>15</v>
      </c>
      <c r="M310">
        <f t="shared" si="218"/>
        <v>2.288287084106228E-3</v>
      </c>
      <c r="N310">
        <f t="shared" si="219"/>
        <v>-1.5707963250000001</v>
      </c>
      <c r="O310">
        <f t="shared" si="220"/>
        <v>165.30005839274699</v>
      </c>
      <c r="P310">
        <f t="shared" si="221"/>
        <v>1.5647466852554857</v>
      </c>
      <c r="Q310">
        <f t="shared" si="222"/>
        <v>63.496496731547893</v>
      </c>
      <c r="R310">
        <f t="shared" si="223"/>
        <v>1.5550467753382298</v>
      </c>
      <c r="S310">
        <f t="shared" si="224"/>
        <v>0.98833188378391712</v>
      </c>
      <c r="T310">
        <f t="shared" si="225"/>
        <v>-0.15291094079294668</v>
      </c>
      <c r="U310">
        <f t="shared" si="226"/>
        <v>0.38521580469552164</v>
      </c>
      <c r="V310">
        <f t="shared" si="227"/>
        <v>-1.1753546637943986</v>
      </c>
      <c r="X310">
        <f t="shared" si="244"/>
        <v>-26.967959699392896</v>
      </c>
      <c r="Y310">
        <f t="shared" si="228"/>
        <v>-158.45643798603254</v>
      </c>
      <c r="Z310">
        <f t="shared" si="245"/>
        <v>21.54356201396746</v>
      </c>
      <c r="AC310">
        <v>1</v>
      </c>
      <c r="AD310">
        <f t="shared" si="229"/>
        <v>165.29703356275201</v>
      </c>
      <c r="AE310">
        <f t="shared" si="230"/>
        <v>-4.9852410787924323E-2</v>
      </c>
      <c r="AF310">
        <f t="shared" si="231"/>
        <v>2.08099097136E-2</v>
      </c>
      <c r="AG310">
        <f t="shared" si="246"/>
        <v>1161.6167881152194</v>
      </c>
      <c r="AH310">
        <f t="shared" si="247"/>
        <v>-2830.8338724203986</v>
      </c>
      <c r="AJ310">
        <f t="shared" si="232"/>
        <v>21000</v>
      </c>
      <c r="AK310">
        <f t="shared" si="233"/>
        <v>3236.3933498063998</v>
      </c>
      <c r="AL310">
        <v>1</v>
      </c>
      <c r="AM310">
        <f t="shared" si="234"/>
        <v>63.488621793038405</v>
      </c>
      <c r="AN310">
        <f t="shared" si="248"/>
        <v>56.171900154051997</v>
      </c>
      <c r="AO310">
        <f t="shared" si="249"/>
        <v>-329.88317447052316</v>
      </c>
      <c r="AQ310">
        <f t="shared" si="235"/>
        <v>1.0850682670700227E-2</v>
      </c>
      <c r="AR310">
        <f t="shared" si="236"/>
        <v>-10.416655363872218</v>
      </c>
      <c r="AT310">
        <f t="shared" si="261"/>
        <v>-29475.216506226312</v>
      </c>
      <c r="AU310">
        <f t="shared" si="262"/>
        <v>-12130.878226727522</v>
      </c>
      <c r="AV310">
        <f t="shared" si="250"/>
        <v>-2.7511589658387994</v>
      </c>
      <c r="AW310">
        <f t="shared" si="251"/>
        <v>-2796.9439750623474</v>
      </c>
      <c r="AX310">
        <f t="shared" si="252"/>
        <v>-4110.8939303847774</v>
      </c>
      <c r="AY310">
        <f t="shared" si="260"/>
        <v>-2.1682284562690093</v>
      </c>
      <c r="BA310">
        <f t="shared" si="237"/>
        <v>6.4104809282038726</v>
      </c>
      <c r="BB310">
        <f t="shared" si="253"/>
        <v>16.137812249128938</v>
      </c>
      <c r="BC310">
        <f t="shared" si="254"/>
        <v>-0.58293050956979009</v>
      </c>
      <c r="BD310">
        <f t="shared" si="238"/>
        <v>-213.39945798592387</v>
      </c>
      <c r="BF310">
        <f t="shared" si="239"/>
        <v>-30.052951134337693</v>
      </c>
      <c r="BG310">
        <f t="shared" si="240"/>
        <v>-204.50288111853376</v>
      </c>
      <c r="BH310">
        <f t="shared" si="255"/>
        <v>-24.502881118533764</v>
      </c>
      <c r="BI310">
        <f t="shared" si="256"/>
        <v>-24.502881118533764</v>
      </c>
      <c r="BJ310">
        <f t="shared" si="241"/>
        <v>0</v>
      </c>
      <c r="BK310">
        <f t="shared" si="257"/>
        <v>0</v>
      </c>
      <c r="BM310">
        <f t="shared" si="258"/>
        <v>-46.190763383466631</v>
      </c>
      <c r="BN310">
        <f t="shared" si="242"/>
        <v>-171.10342313260989</v>
      </c>
      <c r="BQ310" s="66">
        <f t="shared" si="259"/>
        <v>33.039773049414073</v>
      </c>
      <c r="BR310" s="71"/>
      <c r="BS310" s="71"/>
      <c r="BT310" s="71">
        <v>100000</v>
      </c>
      <c r="BU310" s="71">
        <v>6.1811499999999997</v>
      </c>
      <c r="BV310" s="71">
        <v>-129.59</v>
      </c>
      <c r="BY310" s="71"/>
      <c r="BZ310" s="71"/>
      <c r="CA310" s="71"/>
      <c r="CC310" s="71"/>
    </row>
    <row r="311" spans="1:81" ht="13" x14ac:dyDescent="0.3">
      <c r="A311">
        <f t="shared" si="263"/>
        <v>485000</v>
      </c>
      <c r="B311">
        <f t="shared" si="243"/>
        <v>485</v>
      </c>
      <c r="C311">
        <f t="shared" si="212"/>
        <v>1.0115412877878029</v>
      </c>
      <c r="D311">
        <f t="shared" si="213"/>
        <v>0.15120429235852928</v>
      </c>
      <c r="F311">
        <f t="shared" si="214"/>
        <v>3.1658058322507241E-4</v>
      </c>
      <c r="G311">
        <f t="shared" si="215"/>
        <v>5.5479529222333592E-3</v>
      </c>
      <c r="H311">
        <f t="shared" si="216"/>
        <v>-3.1360446970777667</v>
      </c>
      <c r="J311">
        <f t="shared" si="217"/>
        <v>15</v>
      </c>
      <c r="M311">
        <f t="shared" si="218"/>
        <v>2.2646964956102877E-3</v>
      </c>
      <c r="N311">
        <f t="shared" si="219"/>
        <v>-1.5707963250000001</v>
      </c>
      <c r="O311">
        <f t="shared" si="220"/>
        <v>167.02187130910647</v>
      </c>
      <c r="P311">
        <f t="shared" si="221"/>
        <v>1.5648090511958077</v>
      </c>
      <c r="Q311">
        <f t="shared" si="222"/>
        <v>64.157755366872507</v>
      </c>
      <c r="R311">
        <f t="shared" si="223"/>
        <v>1.5552091154132677</v>
      </c>
      <c r="S311">
        <f t="shared" si="224"/>
        <v>0.98809187946389188</v>
      </c>
      <c r="T311">
        <f t="shared" si="225"/>
        <v>-0.15447867013341021</v>
      </c>
      <c r="U311">
        <f t="shared" si="226"/>
        <v>0.38182605961915439</v>
      </c>
      <c r="V311">
        <f t="shared" si="227"/>
        <v>-1.1790250805084685</v>
      </c>
      <c r="X311">
        <f t="shared" si="244"/>
        <v>-27.13490883771026</v>
      </c>
      <c r="Y311">
        <f t="shared" si="228"/>
        <v>-158.65902171478766</v>
      </c>
      <c r="Z311">
        <f t="shared" si="245"/>
        <v>21.340978285212344</v>
      </c>
      <c r="AC311">
        <v>1</v>
      </c>
      <c r="AD311">
        <f t="shared" si="229"/>
        <v>167.01887766236402</v>
      </c>
      <c r="AE311">
        <f t="shared" si="230"/>
        <v>-5.0896412012107199E-2</v>
      </c>
      <c r="AF311">
        <f t="shared" si="231"/>
        <v>2.1026679606450001E-2</v>
      </c>
      <c r="AG311">
        <f t="shared" si="246"/>
        <v>1141.263208877883</v>
      </c>
      <c r="AH311">
        <f t="shared" si="247"/>
        <v>-2810.0586302358174</v>
      </c>
      <c r="AJ311">
        <f t="shared" si="232"/>
        <v>21000</v>
      </c>
      <c r="AK311">
        <f t="shared" si="233"/>
        <v>3270.1057805335499</v>
      </c>
      <c r="AL311">
        <v>1</v>
      </c>
      <c r="AM311">
        <f t="shared" si="234"/>
        <v>64.14996160338255</v>
      </c>
      <c r="AN311">
        <f t="shared" si="248"/>
        <v>56.065345460327123</v>
      </c>
      <c r="AO311">
        <f t="shared" si="249"/>
        <v>-326.48397802681336</v>
      </c>
      <c r="AQ311">
        <f t="shared" si="235"/>
        <v>1.0628110715154942E-2</v>
      </c>
      <c r="AR311">
        <f t="shared" si="236"/>
        <v>-10.309267393700294</v>
      </c>
      <c r="AT311">
        <f t="shared" si="261"/>
        <v>-28957.516339337137</v>
      </c>
      <c r="AU311">
        <f t="shared" si="262"/>
        <v>-11795.45320115275</v>
      </c>
      <c r="AV311">
        <f t="shared" si="250"/>
        <v>-2.7547777554326296</v>
      </c>
      <c r="AW311">
        <f t="shared" si="251"/>
        <v>-2736.8554088810561</v>
      </c>
      <c r="AX311">
        <f t="shared" si="252"/>
        <v>-4071.439194183879</v>
      </c>
      <c r="AY311">
        <f t="shared" si="260"/>
        <v>-2.1626256715901286</v>
      </c>
      <c r="BA311">
        <f t="shared" si="237"/>
        <v>6.3736075406145796</v>
      </c>
      <c r="BB311">
        <f t="shared" si="253"/>
        <v>16.087706359431643</v>
      </c>
      <c r="BC311">
        <f t="shared" si="254"/>
        <v>-0.59215208384250095</v>
      </c>
      <c r="BD311">
        <f t="shared" si="238"/>
        <v>-213.92781527282034</v>
      </c>
      <c r="BF311">
        <f t="shared" si="239"/>
        <v>-30.281110683746341</v>
      </c>
      <c r="BG311">
        <f t="shared" si="240"/>
        <v>-204.94657317877059</v>
      </c>
      <c r="BH311">
        <f t="shared" si="255"/>
        <v>-24.946573178770592</v>
      </c>
      <c r="BI311">
        <f t="shared" si="256"/>
        <v>-24.946573178770592</v>
      </c>
      <c r="BJ311">
        <f t="shared" si="241"/>
        <v>0</v>
      </c>
      <c r="BK311">
        <f t="shared" si="257"/>
        <v>0</v>
      </c>
      <c r="BM311">
        <f t="shared" si="258"/>
        <v>-46.368817043177984</v>
      </c>
      <c r="BN311">
        <f t="shared" si="242"/>
        <v>-171.01875790595025</v>
      </c>
      <c r="BQ311" s="66">
        <f t="shared" si="259"/>
        <v>32.989667159716781</v>
      </c>
      <c r="BR311" s="71"/>
      <c r="BS311" s="71"/>
      <c r="BT311" s="71">
        <v>102329.299</v>
      </c>
      <c r="BU311" s="71">
        <v>6.3762999999999996</v>
      </c>
      <c r="BV311" s="71">
        <v>-129.61099999999999</v>
      </c>
      <c r="BY311" s="71"/>
      <c r="BZ311" s="71"/>
      <c r="CA311" s="71"/>
      <c r="CC311" s="71"/>
    </row>
    <row r="312" spans="1:81" ht="13" x14ac:dyDescent="0.3">
      <c r="A312">
        <f t="shared" si="263"/>
        <v>490000</v>
      </c>
      <c r="B312">
        <f t="shared" si="243"/>
        <v>490</v>
      </c>
      <c r="C312">
        <f t="shared" si="212"/>
        <v>1.0117790866156804</v>
      </c>
      <c r="D312">
        <f t="shared" si="213"/>
        <v>0.15273908862744934</v>
      </c>
      <c r="F312">
        <f t="shared" si="214"/>
        <v>3.1015080379867999E-4</v>
      </c>
      <c r="G312">
        <f t="shared" si="215"/>
        <v>5.4913066867547941E-3</v>
      </c>
      <c r="H312">
        <f t="shared" si="216"/>
        <v>-3.1361013433132454</v>
      </c>
      <c r="J312">
        <f t="shared" si="217"/>
        <v>15</v>
      </c>
      <c r="M312">
        <f t="shared" si="218"/>
        <v>2.2415873476958966E-3</v>
      </c>
      <c r="N312">
        <f t="shared" si="219"/>
        <v>-1.5707963250000001</v>
      </c>
      <c r="O312">
        <f t="shared" si="220"/>
        <v>168.74368486184187</v>
      </c>
      <c r="P312">
        <f t="shared" si="221"/>
        <v>1.5648701444070006</v>
      </c>
      <c r="Q312">
        <f t="shared" si="222"/>
        <v>64.81901565853137</v>
      </c>
      <c r="R312">
        <f t="shared" si="223"/>
        <v>1.5553681432222755</v>
      </c>
      <c r="S312">
        <f t="shared" si="224"/>
        <v>0.98784956553907921</v>
      </c>
      <c r="T312">
        <f t="shared" si="225"/>
        <v>-0.15604563440184144</v>
      </c>
      <c r="U312">
        <f t="shared" si="226"/>
        <v>0.37849048465637497</v>
      </c>
      <c r="V312">
        <f t="shared" si="227"/>
        <v>-1.1826314166870484</v>
      </c>
      <c r="X312">
        <f t="shared" si="244"/>
        <v>-27.300374518382146</v>
      </c>
      <c r="Y312">
        <f t="shared" si="228"/>
        <v>-158.85812623293913</v>
      </c>
      <c r="Z312">
        <f t="shared" si="245"/>
        <v>21.141873767060872</v>
      </c>
      <c r="AC312">
        <v>1</v>
      </c>
      <c r="AD312">
        <f t="shared" si="229"/>
        <v>168.740721761976</v>
      </c>
      <c r="AE312">
        <f t="shared" si="230"/>
        <v>-5.1951231901825656E-2</v>
      </c>
      <c r="AF312">
        <f t="shared" si="231"/>
        <v>2.1243449499300002E-2</v>
      </c>
      <c r="AG312">
        <f t="shared" si="246"/>
        <v>1121.410497363476</v>
      </c>
      <c r="AH312">
        <f t="shared" si="247"/>
        <v>-2789.5025620779825</v>
      </c>
      <c r="AJ312">
        <f t="shared" si="232"/>
        <v>21000</v>
      </c>
      <c r="AK312">
        <f t="shared" si="233"/>
        <v>3303.8182112607001</v>
      </c>
      <c r="AL312">
        <v>1</v>
      </c>
      <c r="AM312">
        <f t="shared" si="234"/>
        <v>64.811301413726696</v>
      </c>
      <c r="AN312">
        <f t="shared" si="248"/>
        <v>55.962034938801082</v>
      </c>
      <c r="AO312">
        <f t="shared" si="249"/>
        <v>-323.15410288344185</v>
      </c>
      <c r="AQ312">
        <f t="shared" si="235"/>
        <v>1.0412317354938198E-2</v>
      </c>
      <c r="AR312">
        <f t="shared" si="236"/>
        <v>-10.204071007839433</v>
      </c>
      <c r="AT312">
        <f t="shared" si="261"/>
        <v>-28452.60573801005</v>
      </c>
      <c r="AU312">
        <f t="shared" si="262"/>
        <v>-11471.997529972214</v>
      </c>
      <c r="AV312">
        <f t="shared" si="250"/>
        <v>-2.758333518060736</v>
      </c>
      <c r="AW312">
        <f t="shared" si="251"/>
        <v>-2678.6540418641885</v>
      </c>
      <c r="AX312">
        <f t="shared" si="252"/>
        <v>-4032.7251216808822</v>
      </c>
      <c r="AY312">
        <f t="shared" si="260"/>
        <v>-2.1571095993191047</v>
      </c>
      <c r="BA312">
        <f t="shared" si="237"/>
        <v>6.3368047924286888</v>
      </c>
      <c r="BB312">
        <f t="shared" si="253"/>
        <v>16.037406574643548</v>
      </c>
      <c r="BC312">
        <f t="shared" si="254"/>
        <v>-0.60122391874163128</v>
      </c>
      <c r="BD312">
        <f t="shared" si="238"/>
        <v>-214.44759312557395</v>
      </c>
      <c r="BF312">
        <f t="shared" si="239"/>
        <v>-30.507596056775196</v>
      </c>
      <c r="BG312">
        <f t="shared" si="240"/>
        <v>-205.3816592730241</v>
      </c>
      <c r="BH312">
        <f t="shared" si="255"/>
        <v>-25.381659273024098</v>
      </c>
      <c r="BI312">
        <f t="shared" si="256"/>
        <v>-25.381659273024098</v>
      </c>
      <c r="BJ312">
        <f t="shared" si="241"/>
        <v>0</v>
      </c>
      <c r="BK312">
        <f t="shared" si="257"/>
        <v>0</v>
      </c>
      <c r="BM312">
        <f t="shared" si="258"/>
        <v>-46.54500263141874</v>
      </c>
      <c r="BN312">
        <f t="shared" si="242"/>
        <v>-170.93406614745015</v>
      </c>
      <c r="BQ312" s="66">
        <f t="shared" si="259"/>
        <v>32.939367374928686</v>
      </c>
      <c r="BR312" s="71"/>
      <c r="BS312" s="71"/>
      <c r="BT312" s="71">
        <v>104712.855</v>
      </c>
      <c r="BU312" s="71">
        <v>6.5692300000000001</v>
      </c>
      <c r="BV312" s="71">
        <v>-129.61699999999999</v>
      </c>
      <c r="BY312" s="71"/>
      <c r="BZ312" s="71"/>
      <c r="CA312" s="71"/>
      <c r="CC312" s="71"/>
    </row>
    <row r="313" spans="1:81" ht="13" x14ac:dyDescent="0.3">
      <c r="A313">
        <f t="shared" si="263"/>
        <v>495000</v>
      </c>
      <c r="B313">
        <f t="shared" si="243"/>
        <v>495</v>
      </c>
      <c r="C313">
        <f t="shared" si="212"/>
        <v>1.0120192676666304</v>
      </c>
      <c r="D313">
        <f t="shared" si="213"/>
        <v>0.15427316000670205</v>
      </c>
      <c r="F313">
        <f t="shared" si="214"/>
        <v>3.0391495626930839E-4</v>
      </c>
      <c r="G313">
        <f t="shared" si="215"/>
        <v>5.4358058488574775E-3</v>
      </c>
      <c r="H313">
        <f t="shared" si="216"/>
        <v>-3.1361568441511429</v>
      </c>
      <c r="J313">
        <f t="shared" si="217"/>
        <v>15</v>
      </c>
      <c r="M313">
        <f t="shared" si="218"/>
        <v>2.2189450512545244E-3</v>
      </c>
      <c r="N313">
        <f t="shared" si="219"/>
        <v>-1.5707963250000001</v>
      </c>
      <c r="O313">
        <f t="shared" si="220"/>
        <v>170.46549903166985</v>
      </c>
      <c r="P313">
        <f t="shared" si="221"/>
        <v>1.5649300034548161</v>
      </c>
      <c r="Q313">
        <f t="shared" si="222"/>
        <v>65.480277556344419</v>
      </c>
      <c r="R313">
        <f t="shared" si="223"/>
        <v>1.5555239591052541</v>
      </c>
      <c r="S313">
        <f t="shared" si="224"/>
        <v>0.98760494727673831</v>
      </c>
      <c r="T313">
        <f t="shared" si="225"/>
        <v>-0.15761182646884256</v>
      </c>
      <c r="U313">
        <f t="shared" si="226"/>
        <v>0.37520792941164016</v>
      </c>
      <c r="V313">
        <f t="shared" si="227"/>
        <v>-1.1861752445517082</v>
      </c>
      <c r="X313">
        <f t="shared" si="244"/>
        <v>-27.464381370207271</v>
      </c>
      <c r="Y313">
        <f t="shared" si="228"/>
        <v>-159.05383569346134</v>
      </c>
      <c r="Z313">
        <f t="shared" si="245"/>
        <v>20.946164306538662</v>
      </c>
      <c r="AC313">
        <v>1</v>
      </c>
      <c r="AD313">
        <f t="shared" si="229"/>
        <v>170.46256586158802</v>
      </c>
      <c r="AE313">
        <f t="shared" si="230"/>
        <v>-5.3016870457079687E-2</v>
      </c>
      <c r="AF313">
        <f t="shared" si="231"/>
        <v>2.1460219392149999E-2</v>
      </c>
      <c r="AG313">
        <f t="shared" si="246"/>
        <v>1102.0434091323978</v>
      </c>
      <c r="AH313">
        <f t="shared" si="247"/>
        <v>-2769.1651969685245</v>
      </c>
      <c r="AJ313">
        <f t="shared" si="232"/>
        <v>21000</v>
      </c>
      <c r="AK313">
        <f t="shared" si="233"/>
        <v>3337.5306419878498</v>
      </c>
      <c r="AL313">
        <v>1</v>
      </c>
      <c r="AM313">
        <f t="shared" si="234"/>
        <v>65.472641224070841</v>
      </c>
      <c r="AN313">
        <f t="shared" si="248"/>
        <v>55.861838227312049</v>
      </c>
      <c r="AO313">
        <f t="shared" si="249"/>
        <v>-319.89145038603743</v>
      </c>
      <c r="AQ313">
        <f t="shared" si="235"/>
        <v>1.0203030095877873E-2</v>
      </c>
      <c r="AR313">
        <f t="shared" si="236"/>
        <v>-10.100999794919096</v>
      </c>
      <c r="AT313">
        <f t="shared" si="261"/>
        <v>-27960.092904605819</v>
      </c>
      <c r="AU313">
        <f t="shared" si="262"/>
        <v>-11159.994125483419</v>
      </c>
      <c r="AV313">
        <f t="shared" si="250"/>
        <v>-2.7618277940201206</v>
      </c>
      <c r="AW313">
        <f t="shared" si="251"/>
        <v>-2622.2616677536275</v>
      </c>
      <c r="AX313">
        <f t="shared" si="252"/>
        <v>-3994.7308744571433</v>
      </c>
      <c r="AY313">
        <f t="shared" si="260"/>
        <v>-2.1516785696190572</v>
      </c>
      <c r="BA313">
        <f t="shared" si="237"/>
        <v>6.3000889923999805</v>
      </c>
      <c r="BB313">
        <f t="shared" si="253"/>
        <v>15.986933683151864</v>
      </c>
      <c r="BC313">
        <f t="shared" si="254"/>
        <v>-0.61014922440106334</v>
      </c>
      <c r="BD313">
        <f t="shared" si="238"/>
        <v>-214.95897547130795</v>
      </c>
      <c r="BF313">
        <f t="shared" si="239"/>
        <v>-30.732424052572394</v>
      </c>
      <c r="BG313">
        <f t="shared" si="240"/>
        <v>-205.8083257669293</v>
      </c>
      <c r="BH313">
        <f t="shared" si="255"/>
        <v>-25.8083257669293</v>
      </c>
      <c r="BI313">
        <f t="shared" si="256"/>
        <v>-25.8083257669293</v>
      </c>
      <c r="BJ313">
        <f t="shared" si="241"/>
        <v>0</v>
      </c>
      <c r="BK313">
        <f t="shared" si="257"/>
        <v>0</v>
      </c>
      <c r="BM313">
        <f t="shared" si="258"/>
        <v>-46.719357735724259</v>
      </c>
      <c r="BN313">
        <f t="shared" si="242"/>
        <v>-170.84935029562135</v>
      </c>
      <c r="BQ313" s="66">
        <f t="shared" si="259"/>
        <v>32.888894483436999</v>
      </c>
      <c r="BR313" s="71"/>
      <c r="BS313" s="71"/>
      <c r="BT313" s="71">
        <v>107151.931</v>
      </c>
      <c r="BU313" s="71">
        <v>6.77081</v>
      </c>
      <c r="BV313" s="71">
        <v>-129.57599999999999</v>
      </c>
      <c r="BY313" s="71"/>
      <c r="BZ313" s="71"/>
      <c r="CA313" s="71"/>
      <c r="CC313" s="71"/>
    </row>
    <row r="314" spans="1:81" ht="13" x14ac:dyDescent="0.3">
      <c r="A314">
        <f t="shared" si="263"/>
        <v>500000</v>
      </c>
      <c r="B314">
        <f t="shared" si="243"/>
        <v>500</v>
      </c>
      <c r="C314">
        <f t="shared" si="212"/>
        <v>1.0122618292449514</v>
      </c>
      <c r="D314">
        <f t="shared" si="213"/>
        <v>0.15580649979437419</v>
      </c>
      <c r="F314">
        <f t="shared" si="214"/>
        <v>2.9786531856210261E-4</v>
      </c>
      <c r="G314">
        <f t="shared" si="215"/>
        <v>5.3814160060434131E-3</v>
      </c>
      <c r="H314">
        <f t="shared" si="216"/>
        <v>-3.136211233993957</v>
      </c>
      <c r="J314">
        <f t="shared" si="217"/>
        <v>15</v>
      </c>
      <c r="M314">
        <f t="shared" si="218"/>
        <v>2.1967556007419791E-3</v>
      </c>
      <c r="N314">
        <f t="shared" si="219"/>
        <v>-1.5707963250000001</v>
      </c>
      <c r="O314">
        <f t="shared" si="220"/>
        <v>172.18731380007816</v>
      </c>
      <c r="P314">
        <f t="shared" si="221"/>
        <v>1.5649886653624652</v>
      </c>
      <c r="Q314">
        <f t="shared" si="222"/>
        <v>66.141541012138248</v>
      </c>
      <c r="R314">
        <f t="shared" si="223"/>
        <v>1.5556766593901652</v>
      </c>
      <c r="S314">
        <f t="shared" si="224"/>
        <v>0.98735802998715949</v>
      </c>
      <c r="T314">
        <f t="shared" si="225"/>
        <v>-0.1591772392271939</v>
      </c>
      <c r="U314">
        <f t="shared" si="226"/>
        <v>0.37197727048752172</v>
      </c>
      <c r="V314">
        <f t="shared" si="227"/>
        <v>-1.1896580885741266</v>
      </c>
      <c r="X314">
        <f t="shared" si="244"/>
        <v>-27.626953444401316</v>
      </c>
      <c r="Y314">
        <f t="shared" si="228"/>
        <v>-159.24623174958379</v>
      </c>
      <c r="Z314">
        <f t="shared" si="245"/>
        <v>20.753768250416215</v>
      </c>
      <c r="AC314">
        <v>1</v>
      </c>
      <c r="AD314">
        <f t="shared" si="229"/>
        <v>172.1844099612</v>
      </c>
      <c r="AE314">
        <f t="shared" si="230"/>
        <v>-5.4093327677869292E-2</v>
      </c>
      <c r="AF314">
        <f t="shared" si="231"/>
        <v>2.1676989285E-2</v>
      </c>
      <c r="AG314">
        <f t="shared" si="246"/>
        <v>1083.1472274229343</v>
      </c>
      <c r="AH314">
        <f t="shared" si="247"/>
        <v>-2749.0458713101862</v>
      </c>
      <c r="AJ314">
        <f t="shared" si="232"/>
        <v>21000</v>
      </c>
      <c r="AK314">
        <f t="shared" si="233"/>
        <v>3371.2430727149999</v>
      </c>
      <c r="AL314">
        <v>1</v>
      </c>
      <c r="AM314">
        <f t="shared" si="234"/>
        <v>66.133981034415001</v>
      </c>
      <c r="AN314">
        <f t="shared" si="248"/>
        <v>55.764631446037484</v>
      </c>
      <c r="AO314">
        <f t="shared" si="249"/>
        <v>-316.69400572838549</v>
      </c>
      <c r="AQ314">
        <f t="shared" si="235"/>
        <v>9.9999900000099992E-3</v>
      </c>
      <c r="AR314">
        <f t="shared" si="236"/>
        <v>-9.9999900000099995</v>
      </c>
      <c r="AT314">
        <f t="shared" si="261"/>
        <v>-27479.59976122787</v>
      </c>
      <c r="AU314">
        <f t="shared" si="262"/>
        <v>-10858.951873990569</v>
      </c>
      <c r="AV314">
        <f t="shared" si="250"/>
        <v>-2.7652620771347878</v>
      </c>
      <c r="AW314">
        <f t="shared" si="251"/>
        <v>-2567.6040810393547</v>
      </c>
      <c r="AX314">
        <f t="shared" si="252"/>
        <v>-3957.4364134688881</v>
      </c>
      <c r="AY314">
        <f t="shared" si="260"/>
        <v>-2.1463309380802</v>
      </c>
      <c r="BA314">
        <f t="shared" si="237"/>
        <v>6.2634753079222705</v>
      </c>
      <c r="BB314">
        <f t="shared" si="253"/>
        <v>15.936307393455673</v>
      </c>
      <c r="BC314">
        <f t="shared" si="254"/>
        <v>-0.61893113905458774</v>
      </c>
      <c r="BD314">
        <f t="shared" si="238"/>
        <v>-215.46214211757396</v>
      </c>
      <c r="BF314">
        <f t="shared" si="239"/>
        <v>-30.955611416625874</v>
      </c>
      <c r="BG314">
        <f t="shared" si="240"/>
        <v>-206.22675482314699</v>
      </c>
      <c r="BH314">
        <f t="shared" si="255"/>
        <v>-26.22675482314699</v>
      </c>
      <c r="BI314">
        <f t="shared" si="256"/>
        <v>-26.22675482314699</v>
      </c>
      <c r="BJ314">
        <f t="shared" si="241"/>
        <v>0</v>
      </c>
      <c r="BK314">
        <f t="shared" si="257"/>
        <v>0</v>
      </c>
      <c r="BM314">
        <f t="shared" si="258"/>
        <v>-46.891918810081549</v>
      </c>
      <c r="BN314">
        <f t="shared" si="242"/>
        <v>-170.76461270557303</v>
      </c>
      <c r="BQ314" s="66">
        <f t="shared" si="259"/>
        <v>32.838268193740809</v>
      </c>
      <c r="BR314" s="71"/>
      <c r="BS314" s="71"/>
      <c r="BT314" s="71">
        <v>109647.82</v>
      </c>
      <c r="BU314" s="71">
        <v>6.9849899999999998</v>
      </c>
      <c r="BV314" s="71">
        <v>-129.52799999999999</v>
      </c>
      <c r="BY314" s="71"/>
      <c r="BZ314" s="71"/>
      <c r="CA314" s="71"/>
      <c r="CC314" s="71"/>
    </row>
    <row r="315" spans="1:81" ht="13" x14ac:dyDescent="0.3">
      <c r="A315">
        <f t="shared" si="263"/>
        <v>505000</v>
      </c>
      <c r="B315">
        <f t="shared" si="243"/>
        <v>505</v>
      </c>
      <c r="C315">
        <f t="shared" si="212"/>
        <v>1.0125067696397672</v>
      </c>
      <c r="D315">
        <f t="shared" si="213"/>
        <v>0.15733910130870357</v>
      </c>
      <c r="F315">
        <f t="shared" si="214"/>
        <v>2.9199454919761616E-4</v>
      </c>
      <c r="G315">
        <f t="shared" si="215"/>
        <v>5.3281041202695454E-3</v>
      </c>
      <c r="H315">
        <f t="shared" si="216"/>
        <v>-3.1362645458797305</v>
      </c>
      <c r="J315">
        <f t="shared" si="217"/>
        <v>15</v>
      </c>
      <c r="M315">
        <f t="shared" si="218"/>
        <v>2.175005545289088E-3</v>
      </c>
      <c r="N315">
        <f t="shared" si="219"/>
        <v>-1.5707963250000001</v>
      </c>
      <c r="O315">
        <f t="shared" si="220"/>
        <v>173.90912914928791</v>
      </c>
      <c r="P315">
        <f t="shared" si="221"/>
        <v>1.5650461656869752</v>
      </c>
      <c r="Q315">
        <f t="shared" si="222"/>
        <v>66.802805979646678</v>
      </c>
      <c r="R315">
        <f t="shared" si="223"/>
        <v>1.555826336591456</v>
      </c>
      <c r="S315">
        <f t="shared" si="224"/>
        <v>0.98710881902335768</v>
      </c>
      <c r="T315">
        <f t="shared" si="225"/>
        <v>-0.16074186559202458</v>
      </c>
      <c r="U315">
        <f t="shared" si="226"/>
        <v>0.36879741097782193</v>
      </c>
      <c r="V315">
        <f t="shared" si="227"/>
        <v>-1.1930814271276196</v>
      </c>
      <c r="X315">
        <f t="shared" si="244"/>
        <v>-27.788114231960257</v>
      </c>
      <c r="Y315">
        <f t="shared" si="228"/>
        <v>-159.43539363774715</v>
      </c>
      <c r="Z315">
        <f t="shared" si="245"/>
        <v>20.564606362252846</v>
      </c>
      <c r="AC315">
        <v>1</v>
      </c>
      <c r="AD315">
        <f t="shared" si="229"/>
        <v>173.90625406081202</v>
      </c>
      <c r="AE315">
        <f t="shared" si="230"/>
        <v>-5.5180603564194457E-2</v>
      </c>
      <c r="AF315">
        <f t="shared" si="231"/>
        <v>2.1893759177850001E-2</v>
      </c>
      <c r="AG315">
        <f t="shared" si="246"/>
        <v>1064.7077440583528</v>
      </c>
      <c r="AH315">
        <f t="shared" si="247"/>
        <v>-2729.1437459978229</v>
      </c>
      <c r="AJ315">
        <f t="shared" si="232"/>
        <v>21000</v>
      </c>
      <c r="AK315">
        <f t="shared" si="233"/>
        <v>3404.9555034421501</v>
      </c>
      <c r="AL315">
        <v>1</v>
      </c>
      <c r="AM315">
        <f t="shared" si="234"/>
        <v>66.795320844759146</v>
      </c>
      <c r="AN315">
        <f t="shared" si="248"/>
        <v>55.670296814528619</v>
      </c>
      <c r="AO315">
        <f t="shared" si="249"/>
        <v>-313.55983380726275</v>
      </c>
      <c r="AQ315">
        <f t="shared" si="235"/>
        <v>9.8029508842751838E-3</v>
      </c>
      <c r="AR315">
        <f t="shared" si="236"/>
        <v>-9.900980393117937</v>
      </c>
      <c r="AT315">
        <f t="shared" si="261"/>
        <v>-27010.761441403774</v>
      </c>
      <c r="AU315">
        <f t="shared" si="262"/>
        <v>-10568.404160420725</v>
      </c>
      <c r="AV315">
        <f t="shared" si="250"/>
        <v>-2.7686378163440661</v>
      </c>
      <c r="AW315">
        <f t="shared" si="251"/>
        <v>-2514.6108347359282</v>
      </c>
      <c r="AX315">
        <f t="shared" si="252"/>
        <v>-3920.8224591411877</v>
      </c>
      <c r="AY315">
        <f t="shared" si="260"/>
        <v>-2.1410650863562992</v>
      </c>
      <c r="BA315">
        <f t="shared" si="237"/>
        <v>6.2269778286784163</v>
      </c>
      <c r="BB315">
        <f t="shared" si="253"/>
        <v>15.885546388140021</v>
      </c>
      <c r="BC315">
        <f t="shared" si="254"/>
        <v>-0.62757272998776692</v>
      </c>
      <c r="BD315">
        <f t="shared" si="238"/>
        <v>-215.9572688068894</v>
      </c>
      <c r="BF315">
        <f t="shared" si="239"/>
        <v>-31.17717483198129</v>
      </c>
      <c r="BG315">
        <f t="shared" si="240"/>
        <v>-206.63712445997186</v>
      </c>
      <c r="BH315">
        <f t="shared" si="255"/>
        <v>-26.637124459971858</v>
      </c>
      <c r="BI315">
        <f t="shared" si="256"/>
        <v>-26.637124459971858</v>
      </c>
      <c r="BJ315">
        <f t="shared" si="241"/>
        <v>0</v>
      </c>
      <c r="BK315">
        <f t="shared" si="257"/>
        <v>0</v>
      </c>
      <c r="BM315">
        <f t="shared" si="258"/>
        <v>-47.062721220121311</v>
      </c>
      <c r="BN315">
        <f t="shared" si="242"/>
        <v>-170.67985565308246</v>
      </c>
      <c r="BQ315" s="66">
        <f t="shared" si="259"/>
        <v>32.78750718842516</v>
      </c>
      <c r="BR315" s="71"/>
      <c r="BS315" s="71"/>
      <c r="BT315" s="71">
        <v>112201.845</v>
      </c>
      <c r="BU315" s="71">
        <v>7.2120699999999998</v>
      </c>
      <c r="BV315" s="71">
        <v>-129.44300000000001</v>
      </c>
      <c r="BY315" s="71"/>
      <c r="BZ315" s="71"/>
      <c r="CA315" s="71"/>
      <c r="CC315" s="71"/>
    </row>
    <row r="316" spans="1:81" ht="13" x14ac:dyDescent="0.3">
      <c r="A316">
        <f t="shared" si="263"/>
        <v>510000</v>
      </c>
      <c r="B316">
        <f t="shared" si="243"/>
        <v>510</v>
      </c>
      <c r="C316">
        <f t="shared" si="212"/>
        <v>1.0127540871250864</v>
      </c>
      <c r="D316">
        <f t="shared" si="213"/>
        <v>0.15887095788823347</v>
      </c>
      <c r="F316">
        <f t="shared" si="214"/>
        <v>2.8629566499975182E-4</v>
      </c>
      <c r="G316">
        <f t="shared" si="215"/>
        <v>5.275838450947889E-3</v>
      </c>
      <c r="H316">
        <f t="shared" si="216"/>
        <v>-3.1363168115490523</v>
      </c>
      <c r="J316">
        <f t="shared" si="217"/>
        <v>15</v>
      </c>
      <c r="M316">
        <f t="shared" si="218"/>
        <v>2.1536819615117441E-3</v>
      </c>
      <c r="N316">
        <f t="shared" si="219"/>
        <v>-1.5707963250000001</v>
      </c>
      <c r="O316">
        <f t="shared" si="220"/>
        <v>175.63094506221714</v>
      </c>
      <c r="P316">
        <f t="shared" si="221"/>
        <v>1.5651025385910571</v>
      </c>
      <c r="Q316">
        <f t="shared" si="222"/>
        <v>67.464072414417458</v>
      </c>
      <c r="R316">
        <f t="shared" si="223"/>
        <v>1.5559730795969107</v>
      </c>
      <c r="S316">
        <f t="shared" si="224"/>
        <v>0.98685731978075852</v>
      </c>
      <c r="T316">
        <f t="shared" si="225"/>
        <v>-0.16230569850098103</v>
      </c>
      <c r="U316">
        <f t="shared" si="226"/>
        <v>0.3656672799514647</v>
      </c>
      <c r="V316">
        <f t="shared" si="227"/>
        <v>-1.1964466940787946</v>
      </c>
      <c r="X316">
        <f t="shared" si="244"/>
        <v>-27.94788668036815</v>
      </c>
      <c r="Y316">
        <f t="shared" si="228"/>
        <v>-159.62139825781446</v>
      </c>
      <c r="Z316">
        <f t="shared" si="245"/>
        <v>20.378601742185538</v>
      </c>
      <c r="AC316">
        <v>1</v>
      </c>
      <c r="AD316">
        <f t="shared" si="229"/>
        <v>175.62809816042403</v>
      </c>
      <c r="AE316">
        <f t="shared" si="230"/>
        <v>-5.6278698116055188E-2</v>
      </c>
      <c r="AF316">
        <f t="shared" si="231"/>
        <v>2.2110529070700002E-2</v>
      </c>
      <c r="AG316">
        <f t="shared" si="246"/>
        <v>1046.711240972219</v>
      </c>
      <c r="AH316">
        <f t="shared" si="247"/>
        <v>-2709.4578222799801</v>
      </c>
      <c r="AJ316">
        <f t="shared" si="232"/>
        <v>21000</v>
      </c>
      <c r="AK316">
        <f t="shared" si="233"/>
        <v>3438.6679341692998</v>
      </c>
      <c r="AL316">
        <v>1</v>
      </c>
      <c r="AM316">
        <f t="shared" si="234"/>
        <v>67.456660655103306</v>
      </c>
      <c r="AN316">
        <f t="shared" si="248"/>
        <v>55.578722294881068</v>
      </c>
      <c r="AO316">
        <f t="shared" si="249"/>
        <v>-310.48707532071717</v>
      </c>
      <c r="AQ316">
        <f t="shared" si="235"/>
        <v>9.6116785739344731E-3</v>
      </c>
      <c r="AR316">
        <f t="shared" si="236"/>
        <v>-9.8039121454131628</v>
      </c>
      <c r="AT316">
        <f t="shared" si="261"/>
        <v>-26553.225799327447</v>
      </c>
      <c r="AU316">
        <f t="shared" si="262"/>
        <v>-10287.90748580541</v>
      </c>
      <c r="AV316">
        <f t="shared" si="250"/>
        <v>-2.771956417234775</v>
      </c>
      <c r="AW316">
        <f t="shared" si="251"/>
        <v>-2463.2150150223256</v>
      </c>
      <c r="AX316">
        <f t="shared" si="252"/>
        <v>-3884.870453962687</v>
      </c>
      <c r="AY316">
        <f t="shared" si="260"/>
        <v>-2.1358794226786477</v>
      </c>
      <c r="BA316">
        <f t="shared" si="237"/>
        <v>6.1906096271597759</v>
      </c>
      <c r="BB316">
        <f t="shared" si="253"/>
        <v>15.834668375151717</v>
      </c>
      <c r="BC316">
        <f t="shared" si="254"/>
        <v>-0.63607699455612732</v>
      </c>
      <c r="BD316">
        <f t="shared" si="238"/>
        <v>-216.44452727507587</v>
      </c>
      <c r="BF316">
        <f t="shared" si="239"/>
        <v>-31.397130910927942</v>
      </c>
      <c r="BG316">
        <f t="shared" si="240"/>
        <v>-207.0396086135006</v>
      </c>
      <c r="BH316">
        <f t="shared" si="255"/>
        <v>-27.039608613500604</v>
      </c>
      <c r="BI316">
        <f t="shared" si="256"/>
        <v>-27.039608613500604</v>
      </c>
      <c r="BJ316">
        <f t="shared" si="241"/>
        <v>0</v>
      </c>
      <c r="BK316">
        <f t="shared" si="257"/>
        <v>0</v>
      </c>
      <c r="BM316">
        <f t="shared" si="258"/>
        <v>-47.231799286079664</v>
      </c>
      <c r="BN316">
        <f t="shared" si="242"/>
        <v>-170.59508133842476</v>
      </c>
      <c r="BQ316" s="66">
        <f t="shared" si="259"/>
        <v>32.736629175436853</v>
      </c>
      <c r="BR316" s="71"/>
      <c r="BS316" s="71"/>
      <c r="BT316" s="71">
        <v>114815.36199999999</v>
      </c>
      <c r="BU316" s="71">
        <v>7.47248</v>
      </c>
      <c r="BV316" s="71">
        <v>-129.58500000000001</v>
      </c>
      <c r="BY316" s="71"/>
      <c r="BZ316" s="71"/>
      <c r="CA316" s="71"/>
      <c r="CC316" s="71"/>
    </row>
    <row r="317" spans="1:81" ht="13" x14ac:dyDescent="0.3">
      <c r="A317">
        <f t="shared" si="263"/>
        <v>515000</v>
      </c>
      <c r="B317">
        <f t="shared" si="243"/>
        <v>515</v>
      </c>
      <c r="C317">
        <f t="shared" si="212"/>
        <v>1.0130037799598612</v>
      </c>
      <c r="D317">
        <f t="shared" si="213"/>
        <v>0.16040206289196568</v>
      </c>
      <c r="F317">
        <f t="shared" si="214"/>
        <v>2.8076202031239163E-4</v>
      </c>
      <c r="G317">
        <f t="shared" si="215"/>
        <v>5.2245884918562637E-3</v>
      </c>
      <c r="H317">
        <f t="shared" si="216"/>
        <v>-3.136368061508144</v>
      </c>
      <c r="J317">
        <f t="shared" si="217"/>
        <v>15</v>
      </c>
      <c r="M317">
        <f t="shared" si="218"/>
        <v>2.1327724279048338E-3</v>
      </c>
      <c r="N317">
        <f t="shared" si="219"/>
        <v>-1.5707963250000001</v>
      </c>
      <c r="O317">
        <f t="shared" si="220"/>
        <v>177.35276152244742</v>
      </c>
      <c r="P317">
        <f t="shared" si="221"/>
        <v>1.5651578169107863</v>
      </c>
      <c r="Q317">
        <f t="shared" si="222"/>
        <v>68.125340273724149</v>
      </c>
      <c r="R317">
        <f t="shared" si="223"/>
        <v>1.5561169738436262</v>
      </c>
      <c r="S317">
        <f t="shared" si="224"/>
        <v>0.98660353769688702</v>
      </c>
      <c r="T317">
        <f t="shared" si="225"/>
        <v>-0.16386873091439424</v>
      </c>
      <c r="U317">
        <f t="shared" si="226"/>
        <v>0.36258583192967275</v>
      </c>
      <c r="V317">
        <f t="shared" si="227"/>
        <v>-1.199755280321287</v>
      </c>
      <c r="X317">
        <f t="shared" si="244"/>
        <v>-28.10629320968139</v>
      </c>
      <c r="Y317">
        <f t="shared" si="228"/>
        <v>-159.80432025060296</v>
      </c>
      <c r="Z317">
        <f t="shared" si="245"/>
        <v>20.195679749397044</v>
      </c>
      <c r="AC317">
        <v>1</v>
      </c>
      <c r="AD317">
        <f t="shared" si="229"/>
        <v>177.34994226003602</v>
      </c>
      <c r="AE317">
        <f t="shared" si="230"/>
        <v>-5.7387611333451508E-2</v>
      </c>
      <c r="AF317">
        <f t="shared" si="231"/>
        <v>2.2327298963549999E-2</v>
      </c>
      <c r="AG317">
        <f t="shared" si="246"/>
        <v>1029.1444723449663</v>
      </c>
      <c r="AH317">
        <f t="shared" si="247"/>
        <v>-2689.9869564586829</v>
      </c>
      <c r="AJ317">
        <f t="shared" si="232"/>
        <v>21000</v>
      </c>
      <c r="AK317">
        <f t="shared" si="233"/>
        <v>3472.3803648964508</v>
      </c>
      <c r="AL317">
        <v>1</v>
      </c>
      <c r="AM317">
        <f t="shared" si="234"/>
        <v>68.118000465447452</v>
      </c>
      <c r="AN317">
        <f t="shared" si="248"/>
        <v>55.489801259023217</v>
      </c>
      <c r="AO317">
        <f t="shared" si="249"/>
        <v>-307.47394309327944</v>
      </c>
      <c r="AQ317">
        <f t="shared" si="235"/>
        <v>9.4259502064754398E-3</v>
      </c>
      <c r="AR317">
        <f t="shared" si="236"/>
        <v>-9.7087287126697017</v>
      </c>
      <c r="AT317">
        <f t="shared" si="261"/>
        <v>-26106.652936325805</v>
      </c>
      <c r="AU317">
        <f t="shared" si="262"/>
        <v>-10017.040171248531</v>
      </c>
      <c r="AV317">
        <f t="shared" si="250"/>
        <v>-2.7752192435189333</v>
      </c>
      <c r="AW317">
        <f t="shared" si="251"/>
        <v>-2413.3530314229324</v>
      </c>
      <c r="AX317">
        <f t="shared" si="252"/>
        <v>-3849.5625273917067</v>
      </c>
      <c r="AY317">
        <f t="shared" si="260"/>
        <v>-2.1307723822590057</v>
      </c>
      <c r="BA317">
        <f t="shared" si="237"/>
        <v>6.1543828161715526</v>
      </c>
      <c r="BB317">
        <f t="shared" si="253"/>
        <v>15.783690136506561</v>
      </c>
      <c r="BC317">
        <f t="shared" si="254"/>
        <v>-0.64444686125992767</v>
      </c>
      <c r="BD317">
        <f t="shared" si="238"/>
        <v>-216.92408531283868</v>
      </c>
      <c r="BF317">
        <f t="shared" si="239"/>
        <v>-31.615496187153962</v>
      </c>
      <c r="BG317">
        <f t="shared" si="240"/>
        <v>-207.43437720281747</v>
      </c>
      <c r="BH317">
        <f t="shared" si="255"/>
        <v>-27.434377202817473</v>
      </c>
      <c r="BI317">
        <f t="shared" si="256"/>
        <v>-27.434377202817473</v>
      </c>
      <c r="BJ317">
        <f t="shared" si="241"/>
        <v>0</v>
      </c>
      <c r="BK317">
        <f t="shared" si="257"/>
        <v>0</v>
      </c>
      <c r="BM317">
        <f t="shared" si="258"/>
        <v>-47.399186323660523</v>
      </c>
      <c r="BN317">
        <f t="shared" si="242"/>
        <v>-170.51029188997882</v>
      </c>
      <c r="BQ317" s="66">
        <f t="shared" si="259"/>
        <v>32.685650936791696</v>
      </c>
      <c r="BR317" s="71"/>
      <c r="BS317" s="71"/>
      <c r="BT317" s="71">
        <v>117489.755</v>
      </c>
      <c r="BU317" s="71">
        <v>7.6753600000000004</v>
      </c>
      <c r="BV317" s="71">
        <v>-129.61699999999999</v>
      </c>
      <c r="BY317" s="71"/>
      <c r="BZ317" s="71"/>
      <c r="CA317" s="71"/>
      <c r="CC317" s="71"/>
    </row>
    <row r="318" spans="1:81" ht="13" x14ac:dyDescent="0.3">
      <c r="A318">
        <f t="shared" si="263"/>
        <v>520000</v>
      </c>
      <c r="B318">
        <f t="shared" si="243"/>
        <v>520</v>
      </c>
      <c r="C318">
        <f t="shared" si="212"/>
        <v>1.0132558463880463</v>
      </c>
      <c r="D318">
        <f t="shared" si="213"/>
        <v>0.16193240969951195</v>
      </c>
      <c r="F318">
        <f t="shared" si="214"/>
        <v>2.7538728760913197E-4</v>
      </c>
      <c r="G318">
        <f t="shared" si="215"/>
        <v>5.1743249116958396E-3</v>
      </c>
      <c r="H318">
        <f t="shared" si="216"/>
        <v>-3.1364183250883042</v>
      </c>
      <c r="J318">
        <f t="shared" si="217"/>
        <v>15</v>
      </c>
      <c r="M318">
        <f t="shared" si="218"/>
        <v>2.1122650007134413E-3</v>
      </c>
      <c r="N318">
        <f t="shared" si="219"/>
        <v>-1.5707963250000001</v>
      </c>
      <c r="O318">
        <f t="shared" si="220"/>
        <v>179.07457851419173</v>
      </c>
      <c r="P318">
        <f t="shared" si="221"/>
        <v>1.565212032219379</v>
      </c>
      <c r="Q318">
        <f t="shared" si="222"/>
        <v>68.786609516483153</v>
      </c>
      <c r="R318">
        <f t="shared" si="223"/>
        <v>1.5562581014838368</v>
      </c>
      <c r="S318">
        <f t="shared" si="224"/>
        <v>0.98634747825105307</v>
      </c>
      <c r="T318">
        <f t="shared" si="225"/>
        <v>-0.16543095581544565</v>
      </c>
      <c r="U318">
        <f t="shared" si="226"/>
        <v>0.35955204635865984</v>
      </c>
      <c r="V318">
        <f t="shared" si="227"/>
        <v>-1.2030085352535136</v>
      </c>
      <c r="X318">
        <f t="shared" si="244"/>
        <v>-28.263355728019619</v>
      </c>
      <c r="Y318">
        <f t="shared" si="228"/>
        <v>-159.98423207280436</v>
      </c>
      <c r="Z318">
        <f t="shared" si="245"/>
        <v>20.01576792719564</v>
      </c>
      <c r="AC318">
        <v>1</v>
      </c>
      <c r="AD318">
        <f t="shared" si="229"/>
        <v>179.07178635964803</v>
      </c>
      <c r="AE318">
        <f t="shared" si="230"/>
        <v>-5.8507343216383415E-2</v>
      </c>
      <c r="AF318">
        <f t="shared" si="231"/>
        <v>2.2544068856400003E-2</v>
      </c>
      <c r="AG318">
        <f t="shared" si="246"/>
        <v>1011.9946473428738</v>
      </c>
      <c r="AH318">
        <f t="shared" si="247"/>
        <v>-2670.7298735090462</v>
      </c>
      <c r="AJ318">
        <f t="shared" si="232"/>
        <v>21000</v>
      </c>
      <c r="AK318">
        <f t="shared" si="233"/>
        <v>3506.0927956236005</v>
      </c>
      <c r="AL318">
        <v>1</v>
      </c>
      <c r="AM318">
        <f t="shared" si="234"/>
        <v>68.779340275791597</v>
      </c>
      <c r="AN318">
        <f t="shared" si="248"/>
        <v>55.403432178277036</v>
      </c>
      <c r="AO318">
        <f t="shared" si="249"/>
        <v>-304.51871861285701</v>
      </c>
      <c r="AQ318">
        <f t="shared" si="235"/>
        <v>9.2455535821435071E-3</v>
      </c>
      <c r="AR318">
        <f t="shared" si="236"/>
        <v>-9.6153757254292476</v>
      </c>
      <c r="AT318">
        <f t="shared" si="261"/>
        <v>-25670.714744180757</v>
      </c>
      <c r="AU318">
        <f t="shared" si="262"/>
        <v>-9755.4011424739601</v>
      </c>
      <c r="AV318">
        <f t="shared" si="250"/>
        <v>-2.7784276184587209</v>
      </c>
      <c r="AW318">
        <f t="shared" si="251"/>
        <v>-2364.9644213223701</v>
      </c>
      <c r="AX318">
        <f t="shared" si="252"/>
        <v>-3814.8814629009939</v>
      </c>
      <c r="AY318">
        <f t="shared" si="260"/>
        <v>-2.1257424275920411</v>
      </c>
      <c r="BA318">
        <f t="shared" si="237"/>
        <v>6.118308603440151</v>
      </c>
      <c r="BB318">
        <f t="shared" si="253"/>
        <v>15.732627574552264</v>
      </c>
      <c r="BC318">
        <f t="shared" si="254"/>
        <v>-0.65268519086667975</v>
      </c>
      <c r="BD318">
        <f t="shared" si="238"/>
        <v>-217.3961068300826</v>
      </c>
      <c r="BF318">
        <f t="shared" si="239"/>
        <v>-31.832287108368348</v>
      </c>
      <c r="BG318">
        <f t="shared" si="240"/>
        <v>-207.82159619770721</v>
      </c>
      <c r="BH318">
        <f t="shared" si="255"/>
        <v>-27.821596197707208</v>
      </c>
      <c r="BI318">
        <f t="shared" si="256"/>
        <v>-27.821596197707208</v>
      </c>
      <c r="BJ318">
        <f t="shared" si="241"/>
        <v>0</v>
      </c>
      <c r="BK318">
        <f t="shared" si="257"/>
        <v>0</v>
      </c>
      <c r="BM318">
        <f t="shared" si="258"/>
        <v>-47.564914682920616</v>
      </c>
      <c r="BN318">
        <f t="shared" si="242"/>
        <v>-170.42548936762461</v>
      </c>
      <c r="BQ318" s="66">
        <f t="shared" si="259"/>
        <v>32.634588374837399</v>
      </c>
      <c r="BR318" s="71"/>
      <c r="BS318" s="71"/>
      <c r="BT318" s="71">
        <v>120226.443</v>
      </c>
      <c r="BU318" s="71">
        <v>7.9446199999999996</v>
      </c>
      <c r="BV318" s="71">
        <v>-129.863</v>
      </c>
      <c r="BY318" s="71"/>
      <c r="BZ318" s="71"/>
      <c r="CA318" s="71"/>
      <c r="CC318" s="71"/>
    </row>
    <row r="319" spans="1:81" ht="13" x14ac:dyDescent="0.3">
      <c r="A319">
        <f t="shared" si="263"/>
        <v>525000</v>
      </c>
      <c r="B319">
        <f t="shared" si="243"/>
        <v>525</v>
      </c>
      <c r="C319">
        <f t="shared" si="212"/>
        <v>1.0135102846386583</v>
      </c>
      <c r="D319">
        <f t="shared" si="213"/>
        <v>0.16346199171124454</v>
      </c>
      <c r="F319">
        <f t="shared" si="214"/>
        <v>2.7016543939040882E-4</v>
      </c>
      <c r="G319">
        <f t="shared" si="215"/>
        <v>5.1250194980518148E-3</v>
      </c>
      <c r="H319">
        <f t="shared" si="216"/>
        <v>-3.1364676305019485</v>
      </c>
      <c r="J319">
        <f t="shared" si="217"/>
        <v>15</v>
      </c>
      <c r="M319">
        <f t="shared" si="218"/>
        <v>2.0921481911828372E-3</v>
      </c>
      <c r="N319">
        <f t="shared" si="219"/>
        <v>-1.5707963250000001</v>
      </c>
      <c r="O319">
        <f t="shared" si="220"/>
        <v>180.79639602226442</v>
      </c>
      <c r="P319">
        <f t="shared" si="221"/>
        <v>1.5652652148873256</v>
      </c>
      <c r="Q319">
        <f t="shared" si="222"/>
        <v>69.447880103175578</v>
      </c>
      <c r="R319">
        <f t="shared" si="223"/>
        <v>1.5563965415412711</v>
      </c>
      <c r="S319">
        <f t="shared" si="224"/>
        <v>0.98608914696403493</v>
      </c>
      <c r="T319">
        <f t="shared" si="225"/>
        <v>-0.16699236621033095</v>
      </c>
      <c r="U319">
        <f t="shared" si="226"/>
        <v>0.35656492707981979</v>
      </c>
      <c r="V319">
        <f t="shared" si="227"/>
        <v>-1.2062077682023484</v>
      </c>
      <c r="X319">
        <f t="shared" si="244"/>
        <v>-28.419095646491069</v>
      </c>
      <c r="Y319">
        <f t="shared" si="228"/>
        <v>-160.16120406936321</v>
      </c>
      <c r="Z319">
        <f t="shared" si="245"/>
        <v>19.838795930636792</v>
      </c>
      <c r="AC319">
        <v>1</v>
      </c>
      <c r="AD319">
        <f t="shared" si="229"/>
        <v>180.79363045926002</v>
      </c>
      <c r="AE319">
        <f t="shared" si="230"/>
        <v>-5.9637893764850881E-2</v>
      </c>
      <c r="AF319">
        <f t="shared" si="231"/>
        <v>2.2760838749250001E-2</v>
      </c>
      <c r="AG319">
        <f t="shared" si="246"/>
        <v>995.24941344907791</v>
      </c>
      <c r="AH319">
        <f t="shared" si="247"/>
        <v>-2651.6851796946639</v>
      </c>
      <c r="AJ319">
        <f t="shared" si="232"/>
        <v>21000</v>
      </c>
      <c r="AK319">
        <f t="shared" si="233"/>
        <v>3539.8052263507507</v>
      </c>
      <c r="AL319">
        <v>1</v>
      </c>
      <c r="AM319">
        <f t="shared" si="234"/>
        <v>69.440680086135757</v>
      </c>
      <c r="AN319">
        <f t="shared" si="248"/>
        <v>55.319518333504007</v>
      </c>
      <c r="AO319">
        <f t="shared" si="249"/>
        <v>-301.61974876522305</v>
      </c>
      <c r="AQ319">
        <f t="shared" si="235"/>
        <v>9.0702865575632129E-3</v>
      </c>
      <c r="AR319">
        <f t="shared" si="236"/>
        <v>-9.5238008854413732</v>
      </c>
      <c r="AT319">
        <f t="shared" si="261"/>
        <v>-25245.094464911577</v>
      </c>
      <c r="AU319">
        <f t="shared" si="262"/>
        <v>-9502.6087894816083</v>
      </c>
      <c r="AV319">
        <f t="shared" si="250"/>
        <v>-2.7815828262403808</v>
      </c>
      <c r="AW319">
        <f t="shared" si="251"/>
        <v>-2317.991667710919</v>
      </c>
      <c r="AX319">
        <f t="shared" si="252"/>
        <v>-3780.8106670034545</v>
      </c>
      <c r="AY319">
        <f t="shared" si="260"/>
        <v>-2.1207880486669932</v>
      </c>
      <c r="BA319">
        <f t="shared" si="237"/>
        <v>6.0823973434385561</v>
      </c>
      <c r="BB319">
        <f t="shared" si="253"/>
        <v>15.681495755906219</v>
      </c>
      <c r="BC319">
        <f t="shared" si="254"/>
        <v>-0.66079477757338756</v>
      </c>
      <c r="BD319">
        <f t="shared" si="238"/>
        <v>-217.86075192250331</v>
      </c>
      <c r="BF319">
        <f t="shared" si="239"/>
        <v>-32.047520029384494</v>
      </c>
      <c r="BG319">
        <f t="shared" si="240"/>
        <v>-208.20142768844855</v>
      </c>
      <c r="BH319">
        <f t="shared" si="255"/>
        <v>-28.201427688448547</v>
      </c>
      <c r="BI319">
        <f t="shared" si="256"/>
        <v>-28.201427688448547</v>
      </c>
      <c r="BJ319">
        <f t="shared" si="241"/>
        <v>0</v>
      </c>
      <c r="BK319">
        <f t="shared" si="257"/>
        <v>0</v>
      </c>
      <c r="BM319">
        <f t="shared" si="258"/>
        <v>-47.729015785290713</v>
      </c>
      <c r="BN319">
        <f t="shared" si="242"/>
        <v>-170.34067576594524</v>
      </c>
      <c r="BQ319" s="66">
        <f t="shared" si="259"/>
        <v>32.583456556191351</v>
      </c>
      <c r="BR319" s="71"/>
      <c r="BS319" s="71"/>
      <c r="BT319" s="71">
        <v>123026.87699999999</v>
      </c>
      <c r="BU319" s="71">
        <v>8.1865900000000007</v>
      </c>
      <c r="BV319" s="71">
        <v>-130.31299999999999</v>
      </c>
      <c r="BY319" s="71"/>
      <c r="BZ319" s="71"/>
      <c r="CA319" s="71"/>
      <c r="CC319" s="71"/>
    </row>
    <row r="320" spans="1:81" ht="13" x14ac:dyDescent="0.3">
      <c r="A320">
        <f t="shared" si="263"/>
        <v>530000</v>
      </c>
      <c r="B320">
        <f t="shared" si="243"/>
        <v>530</v>
      </c>
      <c r="C320">
        <f t="shared" si="212"/>
        <v>1.0137670929258367</v>
      </c>
      <c r="D320">
        <f t="shared" si="213"/>
        <v>0.16499080234844479</v>
      </c>
      <c r="F320">
        <f t="shared" si="214"/>
        <v>2.6509073127123822E-4</v>
      </c>
      <c r="G320">
        <f t="shared" si="215"/>
        <v>5.0766451045320508E-3</v>
      </c>
      <c r="H320">
        <f t="shared" si="216"/>
        <v>-3.1365160048954683</v>
      </c>
      <c r="J320">
        <f t="shared" si="217"/>
        <v>15</v>
      </c>
      <c r="M320">
        <f t="shared" si="218"/>
        <v>2.0724109440962064E-3</v>
      </c>
      <c r="N320">
        <f t="shared" si="219"/>
        <v>-1.5707963250000001</v>
      </c>
      <c r="O320">
        <f t="shared" si="220"/>
        <v>182.51821403205284</v>
      </c>
      <c r="P320">
        <f t="shared" si="221"/>
        <v>1.5653173941391174</v>
      </c>
      <c r="Q320">
        <f t="shared" si="222"/>
        <v>70.109151995773459</v>
      </c>
      <c r="R320">
        <f t="shared" si="223"/>
        <v>1.5565323700586606</v>
      </c>
      <c r="S320">
        <f t="shared" si="224"/>
        <v>0.98582854939775999</v>
      </c>
      <c r="T320">
        <f t="shared" si="225"/>
        <v>-0.16855295512842278</v>
      </c>
      <c r="U320">
        <f t="shared" si="226"/>
        <v>0.3536235017991628</v>
      </c>
      <c r="V320">
        <f t="shared" si="227"/>
        <v>-1.2093542497945913</v>
      </c>
      <c r="X320">
        <f t="shared" si="244"/>
        <v>-28.573533893578865</v>
      </c>
      <c r="Y320">
        <f t="shared" si="228"/>
        <v>-160.33530454338396</v>
      </c>
      <c r="Z320">
        <f t="shared" si="245"/>
        <v>19.664695456616045</v>
      </c>
      <c r="AC320">
        <v>1</v>
      </c>
      <c r="AD320">
        <f t="shared" si="229"/>
        <v>182.515474558872</v>
      </c>
      <c r="AE320">
        <f t="shared" si="230"/>
        <v>-6.0779262978853929E-2</v>
      </c>
      <c r="AF320">
        <f t="shared" si="231"/>
        <v>2.2977608642099998E-2</v>
      </c>
      <c r="AG320">
        <f t="shared" si="246"/>
        <v>978.89684037498159</v>
      </c>
      <c r="AH320">
        <f t="shared" si="247"/>
        <v>-2632.8513742495015</v>
      </c>
      <c r="AJ320">
        <f t="shared" si="232"/>
        <v>21000</v>
      </c>
      <c r="AK320">
        <f t="shared" si="233"/>
        <v>3573.5176570779004</v>
      </c>
      <c r="AL320">
        <v>1</v>
      </c>
      <c r="AM320">
        <f t="shared" si="234"/>
        <v>70.102019896479902</v>
      </c>
      <c r="AN320">
        <f t="shared" si="248"/>
        <v>55.237967544290683</v>
      </c>
      <c r="AO320">
        <f t="shared" si="249"/>
        <v>-298.77544275307577</v>
      </c>
      <c r="AQ320">
        <f t="shared" si="235"/>
        <v>8.8999564792128158E-3</v>
      </c>
      <c r="AR320">
        <f t="shared" si="236"/>
        <v>-9.4339538679655863</v>
      </c>
      <c r="AT320">
        <f t="shared" si="261"/>
        <v>-24829.486266602617</v>
      </c>
      <c r="AU320">
        <f t="shared" si="262"/>
        <v>-9258.299896241906</v>
      </c>
      <c r="AV320">
        <f t="shared" si="250"/>
        <v>-2.7846861132987248</v>
      </c>
      <c r="AW320">
        <f t="shared" si="251"/>
        <v>-2272.3800291514913</v>
      </c>
      <c r="AX320">
        <f t="shared" si="252"/>
        <v>-3747.3341401147277</v>
      </c>
      <c r="AY320">
        <f t="shared" si="260"/>
        <v>-2.1159077630975069</v>
      </c>
      <c r="BA320">
        <f t="shared" si="237"/>
        <v>6.04665858654496</v>
      </c>
      <c r="BB320">
        <f t="shared" si="253"/>
        <v>15.630308953182166</v>
      </c>
      <c r="BC320">
        <f t="shared" si="254"/>
        <v>-0.6687783502012179</v>
      </c>
      <c r="BD320">
        <f t="shared" si="238"/>
        <v>-218.31817694003684</v>
      </c>
      <c r="BF320">
        <f t="shared" si="239"/>
        <v>-32.261211205657276</v>
      </c>
      <c r="BG320">
        <f t="shared" si="240"/>
        <v>-208.57402995728404</v>
      </c>
      <c r="BH320">
        <f t="shared" si="255"/>
        <v>-28.57402995728404</v>
      </c>
      <c r="BI320">
        <f t="shared" si="256"/>
        <v>-28.57402995728404</v>
      </c>
      <c r="BJ320">
        <f t="shared" si="241"/>
        <v>0</v>
      </c>
      <c r="BK320">
        <f t="shared" si="257"/>
        <v>0</v>
      </c>
      <c r="BM320">
        <f t="shared" si="258"/>
        <v>-47.891520158839441</v>
      </c>
      <c r="BN320">
        <f t="shared" si="242"/>
        <v>-170.2558530172472</v>
      </c>
      <c r="BQ320" s="66">
        <f t="shared" si="259"/>
        <v>32.532269753467304</v>
      </c>
      <c r="BR320" s="71"/>
      <c r="BS320" s="71"/>
      <c r="BT320" s="71">
        <v>125892.541</v>
      </c>
      <c r="BU320" s="71">
        <v>8.4445800000000002</v>
      </c>
      <c r="BV320" s="71">
        <v>-130.77099999999999</v>
      </c>
      <c r="BY320" s="71"/>
      <c r="BZ320" s="71"/>
      <c r="CA320" s="71"/>
      <c r="CC320" s="71"/>
    </row>
    <row r="321" spans="1:81" ht="13" x14ac:dyDescent="0.3">
      <c r="A321">
        <f t="shared" si="263"/>
        <v>535000</v>
      </c>
      <c r="B321">
        <f t="shared" si="243"/>
        <v>535</v>
      </c>
      <c r="C321">
        <f t="shared" si="212"/>
        <v>1.0140262694489028</v>
      </c>
      <c r="D321">
        <f t="shared" si="213"/>
        <v>0.166518835053451</v>
      </c>
      <c r="F321">
        <f t="shared" si="214"/>
        <v>2.6015768617090559E-4</v>
      </c>
      <c r="G321">
        <f t="shared" si="215"/>
        <v>5.0291756008753012E-3</v>
      </c>
      <c r="H321">
        <f t="shared" si="216"/>
        <v>-3.1365634743991251</v>
      </c>
      <c r="J321">
        <f t="shared" si="217"/>
        <v>15</v>
      </c>
      <c r="M321">
        <f t="shared" si="218"/>
        <v>2.053042617515868E-3</v>
      </c>
      <c r="N321">
        <f t="shared" si="219"/>
        <v>-1.5707963250000001</v>
      </c>
      <c r="O321">
        <f t="shared" si="220"/>
        <v>184.24003252949069</v>
      </c>
      <c r="P321">
        <f t="shared" si="221"/>
        <v>1.5653685981067973</v>
      </c>
      <c r="Q321">
        <f t="shared" si="222"/>
        <v>70.770425157670005</v>
      </c>
      <c r="R321">
        <f t="shared" si="223"/>
        <v>1.5566656602369828</v>
      </c>
      <c r="S321">
        <f t="shared" si="224"/>
        <v>0.98556569115498727</v>
      </c>
      <c r="T321">
        <f t="shared" si="225"/>
        <v>-0.17011271562243158</v>
      </c>
      <c r="U321">
        <f t="shared" si="226"/>
        <v>0.35072682155754709</v>
      </c>
      <c r="V321">
        <f t="shared" si="227"/>
        <v>-1.2124492132780542</v>
      </c>
      <c r="X321">
        <f t="shared" si="244"/>
        <v>-28.726690929012729</v>
      </c>
      <c r="Y321">
        <f t="shared" si="228"/>
        <v>-160.50659982363666</v>
      </c>
      <c r="Z321">
        <f t="shared" si="245"/>
        <v>19.493400176363338</v>
      </c>
      <c r="AC321">
        <v>1</v>
      </c>
      <c r="AD321">
        <f t="shared" si="229"/>
        <v>184.23731865848401</v>
      </c>
      <c r="AE321">
        <f t="shared" si="230"/>
        <v>-6.193145085839255E-2</v>
      </c>
      <c r="AF321">
        <f t="shared" si="231"/>
        <v>2.3194378534950003E-2</v>
      </c>
      <c r="AG321">
        <f t="shared" si="246"/>
        <v>962.92540453939876</v>
      </c>
      <c r="AH321">
        <f t="shared" si="247"/>
        <v>-2614.2268601921073</v>
      </c>
      <c r="AJ321">
        <f t="shared" si="232"/>
        <v>21000</v>
      </c>
      <c r="AK321">
        <f t="shared" si="233"/>
        <v>3607.2300878050505</v>
      </c>
      <c r="AL321">
        <v>1</v>
      </c>
      <c r="AM321">
        <f t="shared" si="234"/>
        <v>70.763359706824062</v>
      </c>
      <c r="AN321">
        <f t="shared" si="248"/>
        <v>55.158691915757835</v>
      </c>
      <c r="AO321">
        <f t="shared" si="249"/>
        <v>-295.98426918760936</v>
      </c>
      <c r="AQ321">
        <f t="shared" si="235"/>
        <v>8.7343796537866589E-3</v>
      </c>
      <c r="AR321">
        <f t="shared" si="236"/>
        <v>-9.3457862295517256</v>
      </c>
      <c r="AT321">
        <f t="shared" si="261"/>
        <v>-24423.594834846117</v>
      </c>
      <c r="AU321">
        <f t="shared" si="262"/>
        <v>-9022.1286357278823</v>
      </c>
      <c r="AV321">
        <f t="shared" si="250"/>
        <v>-2.7877386895938967</v>
      </c>
      <c r="AW321">
        <f t="shared" si="251"/>
        <v>-2228.0773810444252</v>
      </c>
      <c r="AX321">
        <f t="shared" si="252"/>
        <v>-3714.4364491207334</v>
      </c>
      <c r="AY321">
        <f t="shared" si="260"/>
        <v>-2.1111001161778602</v>
      </c>
      <c r="BA321">
        <f t="shared" si="237"/>
        <v>6.0111011256484117</v>
      </c>
      <c r="BB321">
        <f t="shared" si="253"/>
        <v>15.579080684614922</v>
      </c>
      <c r="BC321">
        <f t="shared" si="254"/>
        <v>-0.6766385734160365</v>
      </c>
      <c r="BD321">
        <f t="shared" si="238"/>
        <v>-218.76853455679131</v>
      </c>
      <c r="BF321">
        <f t="shared" si="239"/>
        <v>-32.473376787263931</v>
      </c>
      <c r="BG321">
        <f t="shared" si="240"/>
        <v>-208.93955755120186</v>
      </c>
      <c r="BH321">
        <f t="shared" si="255"/>
        <v>-28.939557551201858</v>
      </c>
      <c r="BI321">
        <f t="shared" si="256"/>
        <v>-28.939557551201858</v>
      </c>
      <c r="BJ321">
        <f t="shared" si="241"/>
        <v>0</v>
      </c>
      <c r="BK321">
        <f t="shared" si="257"/>
        <v>0</v>
      </c>
      <c r="BM321">
        <f t="shared" si="258"/>
        <v>-48.052457471878853</v>
      </c>
      <c r="BN321">
        <f t="shared" si="242"/>
        <v>-170.17102299441055</v>
      </c>
      <c r="BQ321" s="66">
        <f t="shared" si="259"/>
        <v>32.481041484900061</v>
      </c>
      <c r="BR321" s="71"/>
      <c r="BS321" s="71"/>
      <c r="BT321" s="71">
        <v>128824.955</v>
      </c>
      <c r="BU321" s="71">
        <v>8.6780500000000007</v>
      </c>
      <c r="BV321" s="71">
        <v>-131.42599999999999</v>
      </c>
      <c r="BY321" s="71"/>
      <c r="BZ321" s="71"/>
      <c r="CA321" s="71"/>
      <c r="CC321" s="71"/>
    </row>
    <row r="322" spans="1:81" ht="13" x14ac:dyDescent="0.3">
      <c r="A322">
        <f t="shared" si="263"/>
        <v>540000</v>
      </c>
      <c r="B322">
        <f t="shared" si="243"/>
        <v>540</v>
      </c>
      <c r="C322">
        <f t="shared" si="212"/>
        <v>1.0142878123924222</v>
      </c>
      <c r="D322">
        <f t="shared" si="213"/>
        <v>0.16804608328980428</v>
      </c>
      <c r="F322">
        <f t="shared" si="214"/>
        <v>2.5536107952329833E-4</v>
      </c>
      <c r="G322">
        <f t="shared" si="215"/>
        <v>4.9825858258361628E-3</v>
      </c>
      <c r="H322">
        <f t="shared" si="216"/>
        <v>-3.1366100641741639</v>
      </c>
      <c r="J322">
        <f t="shared" si="217"/>
        <v>15</v>
      </c>
      <c r="M322">
        <f t="shared" si="218"/>
        <v>2.0340329636499804E-3</v>
      </c>
      <c r="N322">
        <f t="shared" si="219"/>
        <v>-1.5707963250000001</v>
      </c>
      <c r="O322">
        <f t="shared" si="220"/>
        <v>185.96185150103241</v>
      </c>
      <c r="P322">
        <f t="shared" si="221"/>
        <v>1.5654188538805309</v>
      </c>
      <c r="Q322">
        <f t="shared" si="222"/>
        <v>71.431699553613925</v>
      </c>
      <c r="R322">
        <f t="shared" si="223"/>
        <v>1.5567964825669693</v>
      </c>
      <c r="S322">
        <f t="shared" si="224"/>
        <v>0.98530057787898417</v>
      </c>
      <c r="T322">
        <f t="shared" si="225"/>
        <v>-0.171671640768565</v>
      </c>
      <c r="U322">
        <f t="shared" si="226"/>
        <v>0.34787396020306627</v>
      </c>
      <c r="V322">
        <f t="shared" si="227"/>
        <v>-1.2154938557940613</v>
      </c>
      <c r="X322">
        <f t="shared" si="244"/>
        <v>-28.878586757149417</v>
      </c>
      <c r="Y322">
        <f t="shared" si="228"/>
        <v>-160.67515432973383</v>
      </c>
      <c r="Z322">
        <f t="shared" si="245"/>
        <v>19.324845670266171</v>
      </c>
      <c r="AC322">
        <v>1</v>
      </c>
      <c r="AD322">
        <f t="shared" si="229"/>
        <v>185.95916275809603</v>
      </c>
      <c r="AE322">
        <f t="shared" si="230"/>
        <v>-6.3094457403466725E-2</v>
      </c>
      <c r="AF322">
        <f t="shared" si="231"/>
        <v>2.34111484278E-2</v>
      </c>
      <c r="AG322">
        <f t="shared" si="246"/>
        <v>947.32397410196461</v>
      </c>
      <c r="AH322">
        <f t="shared" si="247"/>
        <v>-2595.8099543333678</v>
      </c>
      <c r="AJ322">
        <f t="shared" si="232"/>
        <v>21000</v>
      </c>
      <c r="AK322">
        <f t="shared" si="233"/>
        <v>3640.9425185322007</v>
      </c>
      <c r="AL322">
        <v>1</v>
      </c>
      <c r="AM322">
        <f t="shared" si="234"/>
        <v>71.424699517168193</v>
      </c>
      <c r="AN322">
        <f t="shared" si="248"/>
        <v>55.081607601695083</v>
      </c>
      <c r="AO322">
        <f t="shared" si="249"/>
        <v>-293.2447533414379</v>
      </c>
      <c r="AQ322">
        <f t="shared" si="235"/>
        <v>8.5733808527256056E-3</v>
      </c>
      <c r="AR322">
        <f t="shared" si="236"/>
        <v>-9.2592513209436547</v>
      </c>
      <c r="AT322">
        <f t="shared" si="261"/>
        <v>-24027.134979359031</v>
      </c>
      <c r="AU322">
        <f t="shared" si="262"/>
        <v>-8793.7656259250034</v>
      </c>
      <c r="AV322">
        <f t="shared" si="250"/>
        <v>-2.7907417298420083</v>
      </c>
      <c r="AW322">
        <f t="shared" si="251"/>
        <v>-2185.0340673439455</v>
      </c>
      <c r="AX322">
        <f t="shared" si="252"/>
        <v>-3682.102701529378</v>
      </c>
      <c r="AY322">
        <f t="shared" si="260"/>
        <v>-2.1063636808731436</v>
      </c>
      <c r="BA322">
        <f t="shared" si="237"/>
        <v>5.9757330403133011</v>
      </c>
      <c r="BB322">
        <f t="shared" si="253"/>
        <v>15.52782375168729</v>
      </c>
      <c r="BC322">
        <f t="shared" si="254"/>
        <v>-0.68437804896886467</v>
      </c>
      <c r="BD322">
        <f t="shared" si="238"/>
        <v>-219.21197384211973</v>
      </c>
      <c r="BF322">
        <f t="shared" si="239"/>
        <v>-32.684032813317039</v>
      </c>
      <c r="BG322">
        <f t="shared" si="240"/>
        <v>-209.29816135569973</v>
      </c>
      <c r="BH322">
        <f t="shared" si="255"/>
        <v>-29.298161355699733</v>
      </c>
      <c r="BI322">
        <f t="shared" si="256"/>
        <v>-29.298161355699733</v>
      </c>
      <c r="BJ322">
        <f t="shared" si="241"/>
        <v>0</v>
      </c>
      <c r="BK322">
        <f t="shared" si="257"/>
        <v>0</v>
      </c>
      <c r="BM322">
        <f t="shared" si="258"/>
        <v>-48.211856565004325</v>
      </c>
      <c r="BN322">
        <f t="shared" si="242"/>
        <v>-170.08618751358</v>
      </c>
      <c r="BQ322" s="66">
        <f t="shared" si="259"/>
        <v>32.429784551972432</v>
      </c>
      <c r="BR322" s="71"/>
      <c r="BS322" s="71"/>
      <c r="BT322" s="71">
        <v>131825.674</v>
      </c>
      <c r="BU322" s="71">
        <v>8.8889499999999995</v>
      </c>
      <c r="BV322" s="71">
        <v>-132.06399999999999</v>
      </c>
      <c r="BY322" s="71"/>
      <c r="BZ322" s="71"/>
      <c r="CA322" s="71"/>
      <c r="CC322" s="71"/>
    </row>
    <row r="323" spans="1:81" ht="13" x14ac:dyDescent="0.3">
      <c r="A323">
        <f t="shared" si="263"/>
        <v>545000</v>
      </c>
      <c r="B323">
        <f t="shared" si="243"/>
        <v>545</v>
      </c>
      <c r="C323">
        <f t="shared" si="212"/>
        <v>1.0145517199262641</v>
      </c>
      <c r="D323">
        <f t="shared" si="213"/>
        <v>0.16957254054239346</v>
      </c>
      <c r="F323">
        <f t="shared" si="214"/>
        <v>2.5069592543326338E-4</v>
      </c>
      <c r="G323">
        <f t="shared" si="215"/>
        <v>4.9368515426680875E-3</v>
      </c>
      <c r="H323">
        <f t="shared" si="216"/>
        <v>-3.136655798457332</v>
      </c>
      <c r="J323">
        <f t="shared" si="217"/>
        <v>15</v>
      </c>
      <c r="M323">
        <f t="shared" si="218"/>
        <v>2.0153721107724577E-3</v>
      </c>
      <c r="N323">
        <f t="shared" si="219"/>
        <v>-1.5707963250000001</v>
      </c>
      <c r="O323">
        <f t="shared" si="220"/>
        <v>187.68367093362983</v>
      </c>
      <c r="P323">
        <f t="shared" si="221"/>
        <v>1.5654681875563978</v>
      </c>
      <c r="Q323">
        <f t="shared" si="222"/>
        <v>72.092975149647273</v>
      </c>
      <c r="R323">
        <f t="shared" si="223"/>
        <v>1.5569249049533822</v>
      </c>
      <c r="S323">
        <f t="shared" si="224"/>
        <v>0.98503321525320464</v>
      </c>
      <c r="T323">
        <f t="shared" si="225"/>
        <v>-0.17322972366668557</v>
      </c>
      <c r="U323">
        <f t="shared" si="226"/>
        <v>0.34506401386678881</v>
      </c>
      <c r="V323">
        <f t="shared" si="227"/>
        <v>-1.2184893396031009</v>
      </c>
      <c r="X323">
        <f t="shared" si="244"/>
        <v>-29.029240939883579</v>
      </c>
      <c r="Y323">
        <f t="shared" si="228"/>
        <v>-160.84103063504747</v>
      </c>
      <c r="Z323">
        <f t="shared" si="245"/>
        <v>19.158969364952526</v>
      </c>
      <c r="AC323">
        <v>1</v>
      </c>
      <c r="AD323">
        <f t="shared" si="229"/>
        <v>187.68100685770801</v>
      </c>
      <c r="AE323">
        <f t="shared" si="230"/>
        <v>-6.4268282614076494E-2</v>
      </c>
      <c r="AF323">
        <f t="shared" si="231"/>
        <v>2.3627918320650001E-2</v>
      </c>
      <c r="AG323">
        <f t="shared" si="246"/>
        <v>932.08179453672085</v>
      </c>
      <c r="AH323">
        <f t="shared" si="247"/>
        <v>-2577.5988965347883</v>
      </c>
      <c r="AJ323">
        <f t="shared" si="232"/>
        <v>21000</v>
      </c>
      <c r="AK323">
        <f t="shared" si="233"/>
        <v>3674.6549492593504</v>
      </c>
      <c r="AL323">
        <v>1</v>
      </c>
      <c r="AM323">
        <f t="shared" si="234"/>
        <v>72.086039327512353</v>
      </c>
      <c r="AN323">
        <f t="shared" si="248"/>
        <v>55.006634582828468</v>
      </c>
      <c r="AO323">
        <f t="shared" si="249"/>
        <v>-290.55547455252281</v>
      </c>
      <c r="AQ323">
        <f t="shared" si="235"/>
        <v>8.4167928484194521E-3</v>
      </c>
      <c r="AR323">
        <f t="shared" si="236"/>
        <v>-9.1743042047772025</v>
      </c>
      <c r="AT323">
        <f t="shared" si="261"/>
        <v>-23639.831255325786</v>
      </c>
      <c r="AU323">
        <f t="shared" si="262"/>
        <v>-8572.8970427729673</v>
      </c>
      <c r="AV323">
        <f t="shared" si="250"/>
        <v>-2.7936963747012298</v>
      </c>
      <c r="AW323">
        <f t="shared" si="251"/>
        <v>-2143.2027619503478</v>
      </c>
      <c r="AX323">
        <f t="shared" si="252"/>
        <v>-3650.3185210955971</v>
      </c>
      <c r="AY323">
        <f t="shared" si="260"/>
        <v>-2.1016970577503304</v>
      </c>
      <c r="BA323">
        <f t="shared" si="237"/>
        <v>5.9405617386122476</v>
      </c>
      <c r="BB323">
        <f t="shared" si="253"/>
        <v>15.476550274858882</v>
      </c>
      <c r="BC323">
        <f t="shared" si="254"/>
        <v>-0.69199931695089933</v>
      </c>
      <c r="BD323">
        <f t="shared" si="238"/>
        <v>-219.64864033252746</v>
      </c>
      <c r="BF323">
        <f t="shared" si="239"/>
        <v>-32.893195206796833</v>
      </c>
      <c r="BG323">
        <f t="shared" si="240"/>
        <v>-209.6499886692346</v>
      </c>
      <c r="BH323">
        <f t="shared" si="255"/>
        <v>-29.649988669234602</v>
      </c>
      <c r="BI323">
        <f t="shared" si="256"/>
        <v>-29.649988669234602</v>
      </c>
      <c r="BJ323">
        <f t="shared" si="241"/>
        <v>0</v>
      </c>
      <c r="BK323">
        <f t="shared" si="257"/>
        <v>0</v>
      </c>
      <c r="BM323">
        <f t="shared" si="258"/>
        <v>-48.369745481655713</v>
      </c>
      <c r="BN323">
        <f t="shared" si="242"/>
        <v>-170.00134833670717</v>
      </c>
      <c r="BQ323" s="66">
        <f t="shared" si="259"/>
        <v>32.378511075144019</v>
      </c>
      <c r="BR323" s="71"/>
      <c r="BS323" s="71"/>
      <c r="BT323" s="71">
        <v>134896.288</v>
      </c>
      <c r="BU323" s="71">
        <v>9.0986999999999991</v>
      </c>
      <c r="BV323" s="71">
        <v>-132.62899999999999</v>
      </c>
      <c r="BY323" s="71"/>
      <c r="BZ323" s="71"/>
      <c r="CA323" s="71"/>
      <c r="CC323" s="71"/>
    </row>
    <row r="324" spans="1:81" ht="13" x14ac:dyDescent="0.3">
      <c r="A324">
        <f t="shared" si="263"/>
        <v>550000</v>
      </c>
      <c r="B324">
        <f t="shared" si="243"/>
        <v>550</v>
      </c>
      <c r="C324">
        <f t="shared" si="212"/>
        <v>1.0148179902056651</v>
      </c>
      <c r="D324">
        <f t="shared" si="213"/>
        <v>0.17109820031759845</v>
      </c>
      <c r="F324">
        <f t="shared" si="214"/>
        <v>2.4615746371045382E-4</v>
      </c>
      <c r="G324">
        <f t="shared" si="215"/>
        <v>4.8919493970387756E-3</v>
      </c>
      <c r="H324">
        <f t="shared" si="216"/>
        <v>-3.1367007006029612</v>
      </c>
      <c r="J324">
        <f t="shared" si="217"/>
        <v>15</v>
      </c>
      <c r="M324">
        <f t="shared" si="218"/>
        <v>1.9970505461290719E-3</v>
      </c>
      <c r="N324">
        <f t="shared" si="219"/>
        <v>-1.5707963250000001</v>
      </c>
      <c r="O324">
        <f t="shared" si="220"/>
        <v>189.40549081470891</v>
      </c>
      <c r="P324">
        <f t="shared" si="221"/>
        <v>1.5655166242815739</v>
      </c>
      <c r="Q324">
        <f t="shared" si="222"/>
        <v>72.754251913046573</v>
      </c>
      <c r="R324">
        <f t="shared" si="223"/>
        <v>1.5570509928325105</v>
      </c>
      <c r="S324">
        <f t="shared" si="224"/>
        <v>0.98476360900096482</v>
      </c>
      <c r="T324">
        <f t="shared" si="225"/>
        <v>-0.17478695744046691</v>
      </c>
      <c r="U324">
        <f t="shared" si="226"/>
        <v>0.34229610044288833</v>
      </c>
      <c r="V324">
        <f t="shared" si="227"/>
        <v>-1.2214367932653309</v>
      </c>
      <c r="X324">
        <f t="shared" si="244"/>
        <v>-29.17867260910964</v>
      </c>
      <c r="Y324">
        <f t="shared" si="228"/>
        <v>-161.0042895274388</v>
      </c>
      <c r="Z324">
        <f t="shared" si="245"/>
        <v>18.9957104725612</v>
      </c>
      <c r="AC324">
        <v>1</v>
      </c>
      <c r="AD324">
        <f t="shared" si="229"/>
        <v>189.40285095732003</v>
      </c>
      <c r="AE324">
        <f t="shared" si="230"/>
        <v>-6.545292649022183E-2</v>
      </c>
      <c r="AF324">
        <f t="shared" si="231"/>
        <v>2.3844688213500002E-2</v>
      </c>
      <c r="AG324">
        <f t="shared" si="246"/>
        <v>917.18847473132757</v>
      </c>
      <c r="AH324">
        <f t="shared" si="247"/>
        <v>-2559.5918582702952</v>
      </c>
      <c r="AJ324">
        <f t="shared" si="232"/>
        <v>21000</v>
      </c>
      <c r="AK324">
        <f t="shared" si="233"/>
        <v>3708.3673799865005</v>
      </c>
      <c r="AL324">
        <v>1</v>
      </c>
      <c r="AM324">
        <f t="shared" si="234"/>
        <v>72.747379137856498</v>
      </c>
      <c r="AN324">
        <f t="shared" si="248"/>
        <v>54.933696459126672</v>
      </c>
      <c r="AO324">
        <f t="shared" si="249"/>
        <v>-287.9150637695127</v>
      </c>
      <c r="AQ324">
        <f t="shared" si="235"/>
        <v>8.264455979788447E-3</v>
      </c>
      <c r="AR324">
        <f t="shared" si="236"/>
        <v>-9.0909015777672906</v>
      </c>
      <c r="AT324">
        <f t="shared" si="261"/>
        <v>-23261.417599015153</v>
      </c>
      <c r="AU324">
        <f t="shared" si="262"/>
        <v>-8359.2237862838992</v>
      </c>
      <c r="AV324">
        <f t="shared" si="250"/>
        <v>-2.7966037319148978</v>
      </c>
      <c r="AW324">
        <f t="shared" si="251"/>
        <v>-2102.5383390659968</v>
      </c>
      <c r="AX324">
        <f t="shared" si="252"/>
        <v>-3619.0700248180501</v>
      </c>
      <c r="AY324">
        <f t="shared" si="260"/>
        <v>-2.097098874856588</v>
      </c>
      <c r="BA324">
        <f t="shared" si="237"/>
        <v>5.9055939967342015</v>
      </c>
      <c r="BB324">
        <f t="shared" si="253"/>
        <v>15.425271727491763</v>
      </c>
      <c r="BC324">
        <f t="shared" si="254"/>
        <v>-0.69950485705830978</v>
      </c>
      <c r="BD324">
        <f t="shared" si="238"/>
        <v>-220.07867610413965</v>
      </c>
      <c r="BF324">
        <f t="shared" si="239"/>
        <v>-33.100879769789053</v>
      </c>
      <c r="BG324">
        <f t="shared" si="240"/>
        <v>-209.99518327809335</v>
      </c>
      <c r="BH324">
        <f t="shared" si="255"/>
        <v>-29.99518327809335</v>
      </c>
      <c r="BI324">
        <f t="shared" si="256"/>
        <v>-29.99518327809335</v>
      </c>
      <c r="BJ324">
        <f t="shared" si="241"/>
        <v>0</v>
      </c>
      <c r="BK324">
        <f t="shared" si="257"/>
        <v>0</v>
      </c>
      <c r="BM324">
        <f t="shared" si="258"/>
        <v>-48.526151497280814</v>
      </c>
      <c r="BN324">
        <f t="shared" si="242"/>
        <v>-169.9165071739537</v>
      </c>
      <c r="BQ324" s="66">
        <f t="shared" si="259"/>
        <v>32.3272325277769</v>
      </c>
      <c r="BR324" s="71"/>
      <c r="BS324" s="71"/>
      <c r="BT324" s="71">
        <v>138038.42600000001</v>
      </c>
      <c r="BU324" s="71">
        <v>9.3196600000000007</v>
      </c>
      <c r="BV324" s="71">
        <v>-133.267</v>
      </c>
      <c r="BY324" s="71"/>
      <c r="BZ324" s="71"/>
      <c r="CA324" s="71"/>
      <c r="CC324" s="71"/>
    </row>
    <row r="325" spans="1:81" ht="13" x14ac:dyDescent="0.3">
      <c r="A325">
        <f t="shared" si="263"/>
        <v>555000</v>
      </c>
      <c r="B325">
        <f t="shared" si="243"/>
        <v>555</v>
      </c>
      <c r="C325">
        <f t="shared" si="212"/>
        <v>1.0150866213712895</v>
      </c>
      <c r="D325">
        <f t="shared" si="213"/>
        <v>0.17262305614343212</v>
      </c>
      <c r="F325">
        <f t="shared" si="214"/>
        <v>2.4174114771766445E-4</v>
      </c>
      <c r="G325">
        <f t="shared" si="215"/>
        <v>4.8478568772242726E-3</v>
      </c>
      <c r="H325">
        <f t="shared" si="216"/>
        <v>-3.1367447931227761</v>
      </c>
      <c r="J325">
        <f t="shared" si="217"/>
        <v>15</v>
      </c>
      <c r="M325">
        <f t="shared" si="218"/>
        <v>1.9790590997675484E-3</v>
      </c>
      <c r="N325">
        <f t="shared" si="219"/>
        <v>-1.5707963250000001</v>
      </c>
      <c r="O325">
        <f t="shared" si="220"/>
        <v>191.12731113214892</v>
      </c>
      <c r="P325">
        <f t="shared" si="221"/>
        <v>1.5655641882970726</v>
      </c>
      <c r="Q325">
        <f t="shared" si="222"/>
        <v>73.415529812267337</v>
      </c>
      <c r="R325">
        <f t="shared" si="223"/>
        <v>1.5571748092833222</v>
      </c>
      <c r="S325">
        <f t="shared" si="224"/>
        <v>0.98449176488511536</v>
      </c>
      <c r="T325">
        <f t="shared" si="225"/>
        <v>-0.17634333523754822</v>
      </c>
      <c r="U325">
        <f t="shared" si="226"/>
        <v>0.33956935907407543</v>
      </c>
      <c r="V325">
        <f t="shared" si="227"/>
        <v>-1.2243373127775912</v>
      </c>
      <c r="X325">
        <f t="shared" si="244"/>
        <v>-29.326900478754034</v>
      </c>
      <c r="Y325">
        <f t="shared" si="228"/>
        <v>-161.16499006786762</v>
      </c>
      <c r="Z325">
        <f t="shared" si="245"/>
        <v>18.83500993213238</v>
      </c>
      <c r="AC325">
        <v>1</v>
      </c>
      <c r="AD325">
        <f t="shared" si="229"/>
        <v>191.12469505693201</v>
      </c>
      <c r="AE325">
        <f t="shared" si="230"/>
        <v>-6.6648389031902733E-2</v>
      </c>
      <c r="AF325">
        <f t="shared" si="231"/>
        <v>2.4061458106350003E-2</v>
      </c>
      <c r="AG325">
        <f t="shared" si="246"/>
        <v>902.63397359700605</v>
      </c>
      <c r="AH325">
        <f t="shared" si="247"/>
        <v>-2541.7869505408371</v>
      </c>
      <c r="AJ325">
        <f t="shared" si="232"/>
        <v>21000</v>
      </c>
      <c r="AK325">
        <f t="shared" si="233"/>
        <v>3742.0798107136507</v>
      </c>
      <c r="AL325">
        <v>1</v>
      </c>
      <c r="AM325">
        <f t="shared" si="234"/>
        <v>73.408718948200644</v>
      </c>
      <c r="AN325">
        <f t="shared" si="248"/>
        <v>54.862720255138811</v>
      </c>
      <c r="AO325">
        <f t="shared" si="249"/>
        <v>-285.32220122958921</v>
      </c>
      <c r="AQ325">
        <f t="shared" si="235"/>
        <v>8.1162177451361544E-3</v>
      </c>
      <c r="AR325">
        <f t="shared" si="236"/>
        <v>-9.0090016971011302</v>
      </c>
      <c r="AT325">
        <f t="shared" si="261"/>
        <v>-22891.636977218037</v>
      </c>
      <c r="AU325">
        <f t="shared" si="262"/>
        <v>-8152.4606963488995</v>
      </c>
      <c r="AV325">
        <f t="shared" si="250"/>
        <v>-2.7994648774131412</v>
      </c>
      <c r="AW325">
        <f t="shared" si="251"/>
        <v>-2062.9977518613196</v>
      </c>
      <c r="AX325">
        <f t="shared" si="252"/>
        <v>-3588.3438012139191</v>
      </c>
      <c r="AY325">
        <f t="shared" si="260"/>
        <v>-2.092567787550669</v>
      </c>
      <c r="BA325">
        <f t="shared" si="237"/>
        <v>5.8708359964716736</v>
      </c>
      <c r="BB325">
        <f t="shared" si="253"/>
        <v>15.373998968063534</v>
      </c>
      <c r="BC325">
        <f t="shared" si="254"/>
        <v>-0.70689708986247224</v>
      </c>
      <c r="BD325">
        <f t="shared" si="238"/>
        <v>-220.50221984548028</v>
      </c>
      <c r="BF325">
        <f t="shared" si="239"/>
        <v>-33.30710217911367</v>
      </c>
      <c r="BG325">
        <f t="shared" si="240"/>
        <v>-210.33388553144431</v>
      </c>
      <c r="BH325">
        <f t="shared" si="255"/>
        <v>-30.333885531444309</v>
      </c>
      <c r="BI325">
        <f t="shared" si="256"/>
        <v>-30.333885531444309</v>
      </c>
      <c r="BJ325">
        <f t="shared" si="241"/>
        <v>0</v>
      </c>
      <c r="BK325">
        <f t="shared" si="257"/>
        <v>0</v>
      </c>
      <c r="BM325">
        <f t="shared" si="258"/>
        <v>-48.681101147177202</v>
      </c>
      <c r="BN325">
        <f t="shared" si="242"/>
        <v>-169.83166568596403</v>
      </c>
      <c r="BQ325" s="66">
        <f t="shared" si="259"/>
        <v>32.27595976834867</v>
      </c>
      <c r="BR325" s="71"/>
      <c r="BS325" s="71"/>
      <c r="BT325" s="71">
        <v>141253.75399999999</v>
      </c>
      <c r="BU325" s="71">
        <v>9.5290400000000002</v>
      </c>
      <c r="BV325" s="71">
        <v>-133.959</v>
      </c>
      <c r="BY325" s="71"/>
      <c r="BZ325" s="71"/>
      <c r="CA325" s="71"/>
      <c r="CC325" s="71"/>
    </row>
    <row r="326" spans="1:81" ht="13" x14ac:dyDescent="0.3">
      <c r="A326">
        <f t="shared" si="263"/>
        <v>560000</v>
      </c>
      <c r="B326">
        <f t="shared" si="243"/>
        <v>560</v>
      </c>
      <c r="C326">
        <f t="shared" si="212"/>
        <v>1.0153576115492919</v>
      </c>
      <c r="D326">
        <f t="shared" si="213"/>
        <v>0.17414710156968102</v>
      </c>
      <c r="F326">
        <f t="shared" si="214"/>
        <v>2.3744263297570056E-4</v>
      </c>
      <c r="G326">
        <f t="shared" si="215"/>
        <v>4.8045522764390705E-3</v>
      </c>
      <c r="H326">
        <f t="shared" si="216"/>
        <v>-3.1367880977235609</v>
      </c>
      <c r="J326">
        <f t="shared" si="217"/>
        <v>15</v>
      </c>
      <c r="M326">
        <f t="shared" si="218"/>
        <v>1.96138892923391E-3</v>
      </c>
      <c r="N326">
        <f t="shared" si="219"/>
        <v>-1.5707963250000001</v>
      </c>
      <c r="O326">
        <f t="shared" si="220"/>
        <v>192.84913187426193</v>
      </c>
      <c r="P326">
        <f t="shared" si="221"/>
        <v>1.5656109029781964</v>
      </c>
      <c r="Q326">
        <f t="shared" si="222"/>
        <v>74.076808816891401</v>
      </c>
      <c r="R326">
        <f t="shared" si="223"/>
        <v>1.5572964151326614</v>
      </c>
      <c r="S326">
        <f t="shared" si="224"/>
        <v>0.9842176887077162</v>
      </c>
      <c r="T326">
        <f t="shared" si="225"/>
        <v>-0.17789885022968721</v>
      </c>
      <c r="U326">
        <f t="shared" si="226"/>
        <v>0.33688294964311255</v>
      </c>
      <c r="V326">
        <f t="shared" si="227"/>
        <v>-1.2271919626685233</v>
      </c>
      <c r="X326">
        <f t="shared" si="244"/>
        <v>-29.473942856396018</v>
      </c>
      <c r="Y326">
        <f t="shared" si="228"/>
        <v>-161.32318964695239</v>
      </c>
      <c r="Z326">
        <f t="shared" si="245"/>
        <v>18.676810353047614</v>
      </c>
      <c r="AC326">
        <v>1</v>
      </c>
      <c r="AD326">
        <f t="shared" si="229"/>
        <v>192.846539156544</v>
      </c>
      <c r="AE326">
        <f t="shared" si="230"/>
        <v>-6.7854670239119216E-2</v>
      </c>
      <c r="AF326">
        <f t="shared" si="231"/>
        <v>2.42782279992E-2</v>
      </c>
      <c r="AG326">
        <f t="shared" si="246"/>
        <v>888.40858717414505</v>
      </c>
      <c r="AH326">
        <f t="shared" si="247"/>
        <v>-2524.1822311876617</v>
      </c>
      <c r="AJ326">
        <f t="shared" si="232"/>
        <v>21000</v>
      </c>
      <c r="AK326">
        <f t="shared" si="233"/>
        <v>3775.7922414408004</v>
      </c>
      <c r="AL326">
        <v>1</v>
      </c>
      <c r="AM326">
        <f t="shared" si="234"/>
        <v>74.070058758544803</v>
      </c>
      <c r="AN326">
        <f t="shared" si="248"/>
        <v>54.793636237437838</v>
      </c>
      <c r="AO326">
        <f t="shared" si="249"/>
        <v>-282.77561426055036</v>
      </c>
      <c r="AQ326">
        <f t="shared" si="235"/>
        <v>7.971932420334487E-3</v>
      </c>
      <c r="AR326">
        <f t="shared" si="236"/>
        <v>-8.9285643107746253</v>
      </c>
      <c r="AT326">
        <f t="shared" si="261"/>
        <v>-22530.241050055025</v>
      </c>
      <c r="AU326">
        <f t="shared" si="262"/>
        <v>-7952.335814992417</v>
      </c>
      <c r="AV326">
        <f t="shared" si="250"/>
        <v>-2.8022808563745225</v>
      </c>
      <c r="AW326">
        <f t="shared" si="251"/>
        <v>-2024.5399188499373</v>
      </c>
      <c r="AX326">
        <f t="shared" si="252"/>
        <v>-3558.126889785849</v>
      </c>
      <c r="AY326">
        <f t="shared" si="260"/>
        <v>-2.0881024782926998</v>
      </c>
      <c r="BA326">
        <f t="shared" si="237"/>
        <v>5.8362933606879439</v>
      </c>
      <c r="BB326">
        <f t="shared" si="253"/>
        <v>15.32274227075429</v>
      </c>
      <c r="BC326">
        <f t="shared" si="254"/>
        <v>-0.71417837808182272</v>
      </c>
      <c r="BD326">
        <f t="shared" si="238"/>
        <v>-220.91940693034411</v>
      </c>
      <c r="BF326">
        <f t="shared" si="239"/>
        <v>-33.511877982329388</v>
      </c>
      <c r="BG326">
        <f t="shared" si="240"/>
        <v>-210.66623241635938</v>
      </c>
      <c r="BH326">
        <f t="shared" si="255"/>
        <v>-30.666232416359378</v>
      </c>
      <c r="BI326">
        <f t="shared" si="256"/>
        <v>-30.666232416359378</v>
      </c>
      <c r="BJ326">
        <f t="shared" si="241"/>
        <v>0</v>
      </c>
      <c r="BK326">
        <f t="shared" si="257"/>
        <v>0</v>
      </c>
      <c r="BM326">
        <f t="shared" si="258"/>
        <v>-48.834620253083678</v>
      </c>
      <c r="BN326">
        <f t="shared" si="242"/>
        <v>-169.7468254860153</v>
      </c>
      <c r="BQ326" s="66">
        <f t="shared" si="259"/>
        <v>32.224703071039428</v>
      </c>
      <c r="BR326" s="71"/>
      <c r="BS326" s="71"/>
      <c r="BT326" s="71">
        <v>144543.97700000001</v>
      </c>
      <c r="BU326" s="71">
        <v>9.7312899999999996</v>
      </c>
      <c r="BV326" s="71">
        <v>-134.75200000000001</v>
      </c>
      <c r="BY326" s="71"/>
      <c r="BZ326" s="71"/>
      <c r="CA326" s="71"/>
      <c r="CC326" s="71"/>
    </row>
    <row r="327" spans="1:81" ht="13" x14ac:dyDescent="0.3">
      <c r="A327">
        <f t="shared" si="263"/>
        <v>565000</v>
      </c>
      <c r="B327">
        <f t="shared" si="243"/>
        <v>565</v>
      </c>
      <c r="C327">
        <f t="shared" si="212"/>
        <v>1.0156309588513808</v>
      </c>
      <c r="D327">
        <f t="shared" si="213"/>
        <v>0.17567033016804431</v>
      </c>
      <c r="F327">
        <f t="shared" si="214"/>
        <v>2.3325776647142101E-4</v>
      </c>
      <c r="G327">
        <f t="shared" si="215"/>
        <v>4.7620146571696548E-3</v>
      </c>
      <c r="H327">
        <f t="shared" si="216"/>
        <v>-3.1368306353428306</v>
      </c>
      <c r="J327">
        <f t="shared" si="217"/>
        <v>15</v>
      </c>
      <c r="M327">
        <f t="shared" si="218"/>
        <v>1.944031505081397E-3</v>
      </c>
      <c r="N327">
        <f t="shared" si="219"/>
        <v>-1.5707963250000001</v>
      </c>
      <c r="O327">
        <f t="shared" si="220"/>
        <v>194.57095302977373</v>
      </c>
      <c r="P327">
        <f t="shared" si="221"/>
        <v>1.5656567908728409</v>
      </c>
      <c r="Q327">
        <f t="shared" si="222"/>
        <v>74.738088897577114</v>
      </c>
      <c r="R327">
        <f t="shared" si="223"/>
        <v>1.5574158690548638</v>
      </c>
      <c r="S327">
        <f t="shared" si="224"/>
        <v>0.9839413863097064</v>
      </c>
      <c r="T327">
        <f t="shared" si="225"/>
        <v>-0.17945349561291138</v>
      </c>
      <c r="U327">
        <f t="shared" si="226"/>
        <v>0.33423605227108666</v>
      </c>
      <c r="V327">
        <f t="shared" si="227"/>
        <v>-1.2300017770533558</v>
      </c>
      <c r="X327">
        <f t="shared" si="244"/>
        <v>-29.619817654494515</v>
      </c>
      <c r="Y327">
        <f t="shared" si="228"/>
        <v>-161.47894403954717</v>
      </c>
      <c r="Z327">
        <f t="shared" si="245"/>
        <v>18.521055960452827</v>
      </c>
      <c r="AC327">
        <v>1</v>
      </c>
      <c r="AD327">
        <f t="shared" si="229"/>
        <v>194.56838325615601</v>
      </c>
      <c r="AE327">
        <f t="shared" si="230"/>
        <v>-6.9071770111871281E-2</v>
      </c>
      <c r="AF327">
        <f t="shared" si="231"/>
        <v>2.4494997892050001E-2</v>
      </c>
      <c r="AG327">
        <f t="shared" si="246"/>
        <v>874.50293621837852</v>
      </c>
      <c r="AH327">
        <f t="shared" si="247"/>
        <v>-2506.7757116468724</v>
      </c>
      <c r="AJ327">
        <f t="shared" si="232"/>
        <v>21000</v>
      </c>
      <c r="AK327">
        <f t="shared" si="233"/>
        <v>3809.5046721679505</v>
      </c>
      <c r="AL327">
        <v>1</v>
      </c>
      <c r="AM327">
        <f t="shared" si="234"/>
        <v>74.731398568888949</v>
      </c>
      <c r="AN327">
        <f t="shared" si="248"/>
        <v>54.726377743317016</v>
      </c>
      <c r="AO327">
        <f t="shared" si="249"/>
        <v>-280.27407519944774</v>
      </c>
      <c r="AQ327">
        <f t="shared" si="235"/>
        <v>7.8314607005554853E-3</v>
      </c>
      <c r="AR327">
        <f t="shared" si="236"/>
        <v>-8.8495505916276986</v>
      </c>
      <c r="AT327">
        <f t="shared" si="261"/>
        <v>-22176.989846705012</v>
      </c>
      <c r="AU327">
        <f t="shared" si="262"/>
        <v>-7758.5896920623809</v>
      </c>
      <c r="AV327">
        <f t="shared" si="250"/>
        <v>-2.8050526842491124</v>
      </c>
      <c r="AW327">
        <f t="shared" si="251"/>
        <v>-1987.1256174203281</v>
      </c>
      <c r="AX327">
        <f t="shared" si="252"/>
        <v>-3528.4067616017524</v>
      </c>
      <c r="AY327">
        <f t="shared" si="260"/>
        <v>-2.083701656397249</v>
      </c>
      <c r="BA327">
        <f t="shared" si="237"/>
        <v>5.8019711868617136</v>
      </c>
      <c r="BB327">
        <f t="shared" si="253"/>
        <v>15.271511354489625</v>
      </c>
      <c r="BC327">
        <f t="shared" si="254"/>
        <v>-0.72135102785186334</v>
      </c>
      <c r="BD327">
        <f t="shared" si="238"/>
        <v>-221.3303694905625</v>
      </c>
      <c r="BF327">
        <f t="shared" si="239"/>
        <v>-33.715222594098485</v>
      </c>
      <c r="BG327">
        <f t="shared" si="240"/>
        <v>-210.99235763261569</v>
      </c>
      <c r="BH327">
        <f t="shared" si="255"/>
        <v>-30.992357632615693</v>
      </c>
      <c r="BI327">
        <f t="shared" si="256"/>
        <v>-30.992357632615693</v>
      </c>
      <c r="BJ327">
        <f t="shared" si="241"/>
        <v>0</v>
      </c>
      <c r="BK327">
        <f t="shared" si="257"/>
        <v>0</v>
      </c>
      <c r="BM327">
        <f t="shared" si="258"/>
        <v>-48.98673394858811</v>
      </c>
      <c r="BN327">
        <f t="shared" si="242"/>
        <v>-169.66198814205322</v>
      </c>
      <c r="BQ327" s="66">
        <f t="shared" si="259"/>
        <v>32.173472154774764</v>
      </c>
      <c r="BR327" s="71"/>
      <c r="BS327" s="71"/>
      <c r="BT327" s="71">
        <v>147910.83900000001</v>
      </c>
      <c r="BU327" s="71">
        <v>9.9010099999999994</v>
      </c>
      <c r="BV327" s="71">
        <v>-135.72399999999999</v>
      </c>
      <c r="BY327" s="71"/>
      <c r="BZ327" s="71"/>
      <c r="CA327" s="71"/>
      <c r="CC327" s="71"/>
    </row>
    <row r="328" spans="1:81" ht="13" x14ac:dyDescent="0.3">
      <c r="A328">
        <f t="shared" si="263"/>
        <v>570000</v>
      </c>
      <c r="B328">
        <f t="shared" si="243"/>
        <v>570</v>
      </c>
      <c r="C328">
        <f t="shared" si="212"/>
        <v>1.0159066613748811</v>
      </c>
      <c r="D328">
        <f t="shared" si="213"/>
        <v>0.17719273553227172</v>
      </c>
      <c r="F328">
        <f t="shared" si="214"/>
        <v>2.2918257661979656E-4</v>
      </c>
      <c r="G328">
        <f t="shared" si="215"/>
        <v>4.7202238173882369E-3</v>
      </c>
      <c r="H328">
        <f t="shared" si="216"/>
        <v>-3.1368724261826118</v>
      </c>
      <c r="J328">
        <f t="shared" si="217"/>
        <v>15</v>
      </c>
      <c r="M328">
        <f t="shared" si="218"/>
        <v>1.9269785971420868E-3</v>
      </c>
      <c r="N328">
        <f t="shared" si="219"/>
        <v>-1.5707963250000001</v>
      </c>
      <c r="O328">
        <f t="shared" si="220"/>
        <v>196.2927745878057</v>
      </c>
      <c r="P328">
        <f t="shared" si="221"/>
        <v>1.5657018737377817</v>
      </c>
      <c r="Q328">
        <f t="shared" si="222"/>
        <v>75.399370026012079</v>
      </c>
      <c r="R328">
        <f t="shared" si="223"/>
        <v>1.5575332276661313</v>
      </c>
      <c r="S328">
        <f t="shared" si="224"/>
        <v>0.98366286357057342</v>
      </c>
      <c r="T328">
        <f t="shared" si="225"/>
        <v>-0.18100726460766767</v>
      </c>
      <c r="U328">
        <f t="shared" si="226"/>
        <v>0.33162786682301371</v>
      </c>
      <c r="V328">
        <f t="shared" si="227"/>
        <v>-1.2327677606498635</v>
      </c>
      <c r="X328">
        <f t="shared" si="244"/>
        <v>-29.764542401237151</v>
      </c>
      <c r="Y328">
        <f t="shared" si="228"/>
        <v>-161.6323074574014</v>
      </c>
      <c r="Z328">
        <f t="shared" si="245"/>
        <v>18.367692542598604</v>
      </c>
      <c r="AC328">
        <v>1</v>
      </c>
      <c r="AD328">
        <f t="shared" si="229"/>
        <v>196.29022735576802</v>
      </c>
      <c r="AE328">
        <f t="shared" si="230"/>
        <v>-7.0299688650158926E-2</v>
      </c>
      <c r="AF328">
        <f t="shared" si="231"/>
        <v>2.4711767784900002E-2</v>
      </c>
      <c r="AG328">
        <f t="shared" si="246"/>
        <v>860.9079542519363</v>
      </c>
      <c r="AH328">
        <f t="shared" si="247"/>
        <v>-2489.5653631849364</v>
      </c>
      <c r="AJ328">
        <f t="shared" si="232"/>
        <v>21000</v>
      </c>
      <c r="AK328">
        <f t="shared" si="233"/>
        <v>3843.2171028951007</v>
      </c>
      <c r="AL328">
        <v>1</v>
      </c>
      <c r="AM328">
        <f t="shared" si="234"/>
        <v>75.392738379233109</v>
      </c>
      <c r="AN328">
        <f t="shared" si="248"/>
        <v>54.660881019953329</v>
      </c>
      <c r="AO328">
        <f t="shared" si="249"/>
        <v>-277.81639942062947</v>
      </c>
      <c r="AQ328">
        <f t="shared" si="235"/>
        <v>7.6946693639047678E-3</v>
      </c>
      <c r="AR328">
        <f t="shared" si="236"/>
        <v>-8.7719230748514345</v>
      </c>
      <c r="AT328">
        <f t="shared" si="261"/>
        <v>-21831.651453612114</v>
      </c>
      <c r="AU328">
        <f t="shared" si="262"/>
        <v>-7570.9747315552404</v>
      </c>
      <c r="AV328">
        <f t="shared" si="250"/>
        <v>-2.8077813477444096</v>
      </c>
      <c r="AW328">
        <f t="shared" si="251"/>
        <v>-1950.7173840153871</v>
      </c>
      <c r="AX328">
        <f t="shared" si="252"/>
        <v>-3499.1713009144833</v>
      </c>
      <c r="AY328">
        <f t="shared" si="260"/>
        <v>-2.0793640577541179</v>
      </c>
      <c r="BA328">
        <f t="shared" si="237"/>
        <v>5.7678740788033886</v>
      </c>
      <c r="BB328">
        <f t="shared" si="253"/>
        <v>15.220315410518069</v>
      </c>
      <c r="BC328">
        <f t="shared" si="254"/>
        <v>-0.72841728999029165</v>
      </c>
      <c r="BD328">
        <f t="shared" si="238"/>
        <v>-221.73523648849016</v>
      </c>
      <c r="BF328">
        <f t="shared" si="239"/>
        <v>-33.917151292896278</v>
      </c>
      <c r="BG328">
        <f t="shared" si="240"/>
        <v>-211.31239166710986</v>
      </c>
      <c r="BH328">
        <f t="shared" si="255"/>
        <v>-31.312391667109864</v>
      </c>
      <c r="BI328">
        <f t="shared" si="256"/>
        <v>-31.312391667109864</v>
      </c>
      <c r="BJ328">
        <f t="shared" si="241"/>
        <v>0</v>
      </c>
      <c r="BK328">
        <f t="shared" si="257"/>
        <v>0</v>
      </c>
      <c r="BM328">
        <f t="shared" si="258"/>
        <v>-49.137466703414347</v>
      </c>
      <c r="BN328">
        <f t="shared" si="242"/>
        <v>-169.57715517861973</v>
      </c>
      <c r="BQ328" s="66">
        <f t="shared" si="259"/>
        <v>32.122276210803207</v>
      </c>
      <c r="BR328" s="71"/>
      <c r="BS328" s="71"/>
      <c r="BT328" s="71">
        <v>151356.125</v>
      </c>
      <c r="BU328" s="71">
        <v>10.0764</v>
      </c>
      <c r="BV328" s="71">
        <v>-136.34200000000001</v>
      </c>
      <c r="BY328" s="71"/>
      <c r="BZ328" s="71"/>
      <c r="CA328" s="71"/>
      <c r="CC328" s="71"/>
    </row>
    <row r="329" spans="1:81" ht="13" x14ac:dyDescent="0.3">
      <c r="A329">
        <f t="shared" si="263"/>
        <v>575000</v>
      </c>
      <c r="B329">
        <f t="shared" si="243"/>
        <v>575</v>
      </c>
      <c r="C329">
        <f t="shared" ref="C329:C392" si="264">SQRT((A329/Fesr)^2+1)</f>
        <v>1.0161847172027967</v>
      </c>
      <c r="D329">
        <f t="shared" ref="D329:D392" si="265">ATAN(A329/Fesr)</f>
        <v>0.17871431127829956</v>
      </c>
      <c r="F329">
        <f t="shared" ref="F329:F392" si="266">(Ro/(Ro+Rdcr))/SQRT((A329/(Q*Fo))^2+(1-(A329^2/Fo^2))^2)</f>
        <v>2.2521326383465599E-4</v>
      </c>
      <c r="G329">
        <f t="shared" ref="G329:G392" si="267">-ATAN(A329*Fo/(Q*(Fo^2-A329^2)))</f>
        <v>4.6791602585320481E-3</v>
      </c>
      <c r="H329">
        <f t="shared" ref="H329:H392" si="268">IF(G329&gt;0,G329-Pi,G329)</f>
        <v>-3.1369134897414681</v>
      </c>
      <c r="J329">
        <f t="shared" ref="J329:J392" si="269">Vin/Vramp</f>
        <v>15</v>
      </c>
      <c r="M329">
        <f t="shared" ref="M329:M392" si="270">1/(2*Pi*_Rfb1*(Cc1ea_u+Cc2ea_u)*A329)</f>
        <v>1.9102222615147643E-3</v>
      </c>
      <c r="N329">
        <f t="shared" ref="N329:N392" si="271">-Pi/2</f>
        <v>-1.5707963250000001</v>
      </c>
      <c r="O329">
        <f t="shared" ref="O329:O392" si="272">SQRT(1+(A329/Fz1_u)^2)</f>
        <v>198.01459653785759</v>
      </c>
      <c r="P329">
        <f t="shared" ref="P329:P392" si="273">ATAN2(Fz1_u,A329)</f>
        <v>1.5657461725730701</v>
      </c>
      <c r="Q329">
        <f t="shared" ref="Q329:Q392" si="274">SQRT(1+(A329/Fz2_u)^2)</f>
        <v>76.060652174868522</v>
      </c>
      <c r="R329">
        <f t="shared" ref="R329:R392" si="275">ATAN2(Fz2_u,A329)</f>
        <v>1.5576485456139835</v>
      </c>
      <c r="S329">
        <f t="shared" ref="S329:S392" si="276">1/SQRT(1+(A329/Fp1_u)^2)</f>
        <v>0.98338212640802247</v>
      </c>
      <c r="T329">
        <f t="shared" ref="T329:T392" si="277">-ATAN2(Fp1_u,A329)</f>
        <v>-0.18256015045897045</v>
      </c>
      <c r="U329">
        <f t="shared" ref="U329:U392" si="278">1/SQRT(1+(A329/Fp2_u)^2)</f>
        <v>0.32905761242125997</v>
      </c>
      <c r="V329">
        <f t="shared" ref="V329:V392" si="279">-ATAN2(Fp2_u,A329)</f>
        <v>-1.2354908897569579</v>
      </c>
      <c r="X329">
        <f t="shared" si="244"/>
        <v>-29.908134251027086</v>
      </c>
      <c r="Y329">
        <f t="shared" ref="Y329:Y392" si="280">(180/Pi)*(D329+H329+N329+P329+R329+T329+V329)</f>
        <v>-161.78333259996893</v>
      </c>
      <c r="Z329">
        <f t="shared" si="245"/>
        <v>18.216667400031071</v>
      </c>
      <c r="AC329">
        <v>1</v>
      </c>
      <c r="AD329">
        <f t="shared" ref="AD329:AD392" si="281">Rcea1_u*Cc1ea_u*A329*2*Pi</f>
        <v>198.01207145538001</v>
      </c>
      <c r="AE329">
        <f t="shared" ref="AE329:AE392" si="282">-Rcea1_u*Cc1ea_u*Cc2ea_u*(A329*2*Pi)^2</f>
        <v>-7.1538425853982138E-2</v>
      </c>
      <c r="AF329">
        <f t="shared" ref="AF329:AF392" si="283">(Cc2ea_u+Cc1ea_u)*A329*2*Pi</f>
        <v>2.4928537677749999E-2</v>
      </c>
      <c r="AG329">
        <f t="shared" si="246"/>
        <v>847.61487606513776</v>
      </c>
      <c r="AH329">
        <f t="shared" si="247"/>
        <v>-2472.5491226520016</v>
      </c>
      <c r="AJ329">
        <f t="shared" ref="AJ329:AJ392" si="284">_Rfb1</f>
        <v>21000</v>
      </c>
      <c r="AK329">
        <f t="shared" ref="AK329:AK392" si="285">_Rfb1*Rcea2_u*Cc3ea_u*A329*2*Pi</f>
        <v>3876.9295336222503</v>
      </c>
      <c r="AL329">
        <v>1</v>
      </c>
      <c r="AM329">
        <f t="shared" ref="AM329:AM392" si="286">(_Rfb1+Rcea2_u)*Cc3ea_u*A329*2*Pi</f>
        <v>76.054078189577254</v>
      </c>
      <c r="AN329">
        <f t="shared" si="248"/>
        <v>54.597085073313558</v>
      </c>
      <c r="AO329">
        <f t="shared" si="249"/>
        <v>-275.40144346654017</v>
      </c>
      <c r="AQ329">
        <f t="shared" ref="AQ329:AQ392" si="287">Eadcg/(1+(Eadcg*A329/GBP)^2)</f>
        <v>7.5614309554397309E-3</v>
      </c>
      <c r="AR329">
        <f t="shared" ref="AR329:AR392" si="288">-(A329*Eadcg*Eadcg/GBP)/(1+(Eadcg*A329/GBP)^2)</f>
        <v>-8.6956455987556911</v>
      </c>
      <c r="AT329">
        <f t="shared" si="261"/>
        <v>-21494.001714733953</v>
      </c>
      <c r="AU329">
        <f t="shared" si="262"/>
        <v>-7389.2545759705326</v>
      </c>
      <c r="AV329">
        <f t="shared" si="250"/>
        <v>-2.8104678057754615</v>
      </c>
      <c r="AW329">
        <f t="shared" si="251"/>
        <v>-1915.2794204914192</v>
      </c>
      <c r="AX329">
        <f t="shared" si="252"/>
        <v>-3470.4087877539446</v>
      </c>
      <c r="AY329">
        <f t="shared" si="260"/>
        <v>-2.0750884445209241</v>
      </c>
      <c r="BA329">
        <f t="shared" ref="BA329:BA392" si="289">SQRT(AT329^2+AU329^2)/SQRT(AW329^2+AX329^2)</f>
        <v>5.7340061766336543</v>
      </c>
      <c r="BB329">
        <f t="shared" si="253"/>
        <v>15.169163128597415</v>
      </c>
      <c r="BC329">
        <f t="shared" si="254"/>
        <v>-0.7353793612545374</v>
      </c>
      <c r="BD329">
        <f t="shared" ref="BD329:BD392" si="290">BC329*180/Pi-180</f>
        <v>-222.13413378905656</v>
      </c>
      <c r="BF329">
        <f t="shared" ref="BF329:BF392" si="291">20*LOG(BA329*J329*F329*C329)</f>
        <v>-34.117679218049645</v>
      </c>
      <c r="BG329">
        <f t="shared" ref="BG329:BG392" si="292">(180/Pi)*(D329+H329+BC329)</f>
        <v>-211.62646186773674</v>
      </c>
      <c r="BH329">
        <f t="shared" si="255"/>
        <v>-31.626461867736737</v>
      </c>
      <c r="BI329">
        <f t="shared" si="256"/>
        <v>-31.626461867736737</v>
      </c>
      <c r="BJ329">
        <f t="shared" ref="BJ329:BJ392" si="293">SUM((BF330&lt;0)*(BF329&gt;0))*A329</f>
        <v>0</v>
      </c>
      <c r="BK329">
        <f t="shared" si="257"/>
        <v>0</v>
      </c>
      <c r="BM329">
        <f t="shared" si="258"/>
        <v>-49.286842346647063</v>
      </c>
      <c r="BN329">
        <f t="shared" ref="BN329:BN392" si="294">(H329+D329)*180/Pi</f>
        <v>-169.4923280786802</v>
      </c>
      <c r="BQ329" s="66">
        <f t="shared" si="259"/>
        <v>32.07112392888255</v>
      </c>
      <c r="BR329" s="71"/>
      <c r="BS329" s="71"/>
      <c r="BT329" s="71">
        <v>154881.66200000001</v>
      </c>
      <c r="BU329" s="71">
        <v>10.266</v>
      </c>
      <c r="BV329" s="71">
        <v>-136.816</v>
      </c>
      <c r="BY329" s="71"/>
      <c r="BZ329" s="71"/>
      <c r="CA329" s="71"/>
      <c r="CC329" s="71"/>
    </row>
    <row r="330" spans="1:81" ht="13" x14ac:dyDescent="0.3">
      <c r="A330">
        <f t="shared" si="263"/>
        <v>580000</v>
      </c>
      <c r="B330">
        <f t="shared" ref="B330:B393" si="295">A330/1000</f>
        <v>580</v>
      </c>
      <c r="C330">
        <f t="shared" si="264"/>
        <v>1.0164651244038767</v>
      </c>
      <c r="D330">
        <f t="shared" si="265"/>
        <v>0.18023505104438595</v>
      </c>
      <c r="F330">
        <f t="shared" si="266"/>
        <v>2.2134619166629501E-4</v>
      </c>
      <c r="G330">
        <f t="shared" si="267"/>
        <v>4.6388051551414207E-3</v>
      </c>
      <c r="H330">
        <f t="shared" si="268"/>
        <v>-3.1369538448448586</v>
      </c>
      <c r="J330">
        <f t="shared" si="269"/>
        <v>15</v>
      </c>
      <c r="M330">
        <f t="shared" si="270"/>
        <v>1.8937548282258439E-3</v>
      </c>
      <c r="N330">
        <f t="shared" si="271"/>
        <v>-1.5707963250000001</v>
      </c>
      <c r="O330">
        <f t="shared" si="272"/>
        <v>199.73641886979121</v>
      </c>
      <c r="P330">
        <f t="shared" si="273"/>
        <v>1.5657897076546485</v>
      </c>
      <c r="Q330">
        <f t="shared" si="274"/>
        <v>76.721935317760767</v>
      </c>
      <c r="R330">
        <f t="shared" si="275"/>
        <v>1.5577618756620861</v>
      </c>
      <c r="S330">
        <f t="shared" si="276"/>
        <v>0.98309918077764236</v>
      </c>
      <c r="T330">
        <f t="shared" si="277"/>
        <v>-0.18411214643654802</v>
      </c>
      <c r="U330">
        <f t="shared" si="278"/>
        <v>0.32652452696718731</v>
      </c>
      <c r="V330">
        <f t="shared" si="279"/>
        <v>-1.2381721131973176</v>
      </c>
      <c r="X330">
        <f t="shared" ref="X330:X393" si="296">20*LOG(C330*J330*O330*Q330*F330*M330*S330*U330)</f>
        <v>-30.050609994622324</v>
      </c>
      <c r="Y330">
        <f t="shared" si="280"/>
        <v>-161.93207070342766</v>
      </c>
      <c r="Z330">
        <f t="shared" ref="Z330:Z393" si="297">Y330+180</f>
        <v>18.067929296572345</v>
      </c>
      <c r="AC330">
        <v>1</v>
      </c>
      <c r="AD330">
        <f t="shared" si="281"/>
        <v>199.73391555499202</v>
      </c>
      <c r="AE330">
        <f t="shared" si="282"/>
        <v>-7.2787981723340903E-2</v>
      </c>
      <c r="AF330">
        <f t="shared" si="283"/>
        <v>2.51453075706E-2</v>
      </c>
      <c r="AG330">
        <f t="shared" ref="AG330:AG359" si="298">AC330*AE330/(AE330^2+AF330^2)+AD330*AF330/(AE330^2+AF330^2)</f>
        <v>834.61522665302073</v>
      </c>
      <c r="AH330">
        <f t="shared" ref="AH330:AH359" si="299">AD330*AE330/(AE330^2+AF330^2)-AC330*AF330/(AE330^2+AF330^2)</f>
        <v>-2455.7248977873078</v>
      </c>
      <c r="AJ330">
        <f t="shared" si="284"/>
        <v>21000</v>
      </c>
      <c r="AK330">
        <f t="shared" si="285"/>
        <v>3910.6419643494005</v>
      </c>
      <c r="AL330">
        <v>1</v>
      </c>
      <c r="AM330">
        <f t="shared" si="286"/>
        <v>76.715417999921399</v>
      </c>
      <c r="AN330">
        <f t="shared" ref="AN330:AN359" si="300">AJ330*AL330/(AL330^2+AM330^2)+AK330*AM330/(AL330^2+AM330^2)</f>
        <v>54.534931526134329</v>
      </c>
      <c r="AO330">
        <f t="shared" ref="AO330:AO359" si="301">AK330*AL330/(AL330^2+AM330^2)-AJ330*AM330/(AL330^2+AM330^2)</f>
        <v>-273.02810327508519</v>
      </c>
      <c r="AQ330">
        <f t="shared" si="287"/>
        <v>7.431623490172793E-3</v>
      </c>
      <c r="AR330">
        <f t="shared" si="288"/>
        <v>-8.6206832486004394</v>
      </c>
      <c r="AT330">
        <f t="shared" si="261"/>
        <v>-21163.823943402418</v>
      </c>
      <c r="AU330">
        <f t="shared" si="262"/>
        <v>-7213.203526270353</v>
      </c>
      <c r="AV330">
        <f t="shared" ref="AV330:AV393" si="302">ATAN2(AT330,AU330)</f>
        <v>-2.8131129903804974</v>
      </c>
      <c r="AW330">
        <f t="shared" ref="AW330:AW393" si="303">AG330-AH330*AO330/_Rfb2+AG330*AN330/_Rfb2+AN330-AO330*AR330+AQ330*AN330</f>
        <v>-1880.777506224744</v>
      </c>
      <c r="AX330">
        <f t="shared" ref="AX330:AX393" si="304">AH330+AH330*AN330/_Rfb2+AG330*AO330/_Rfb2+AO330+AO330*AQ330+AN330*AR330</f>
        <v>-3442.1078814293769</v>
      </c>
      <c r="AY330">
        <f t="shared" si="260"/>
        <v>-2.0708736047911649</v>
      </c>
      <c r="BA330">
        <f t="shared" si="289"/>
        <v>5.7003711851116101</v>
      </c>
      <c r="BB330">
        <f t="shared" ref="BB330:BB393" si="305">20*LOG(BA330)</f>
        <v>15.118062721860909</v>
      </c>
      <c r="BC330">
        <f t="shared" ref="BC330:BC393" si="306">AV330-AY330</f>
        <v>-0.74223938558933256</v>
      </c>
      <c r="BD330">
        <f t="shared" si="290"/>
        <v>-222.52718423124648</v>
      </c>
      <c r="BF330">
        <f t="shared" si="291"/>
        <v>-34.316821367088814</v>
      </c>
      <c r="BG330">
        <f t="shared" si="292"/>
        <v>-211.93469251660139</v>
      </c>
      <c r="BH330">
        <f t="shared" ref="BH330:BH393" si="307">IF(BG330&gt;180,BG330-180,BG330+180)</f>
        <v>-31.934692516601388</v>
      </c>
      <c r="BI330">
        <f t="shared" ref="BI330:BI393" si="308">IF(BH330&gt;180,BH330-360,BH330)</f>
        <v>-31.934692516601388</v>
      </c>
      <c r="BJ330">
        <f t="shared" si="293"/>
        <v>0</v>
      </c>
      <c r="BK330">
        <f t="shared" ref="BK330:BK393" si="309">IF(BJ330&gt;0,BI330,0)</f>
        <v>0</v>
      </c>
      <c r="BM330">
        <f t="shared" ref="BM330:BM393" si="310">20*LOG(J330*F330*C330)</f>
        <v>-49.434884088949723</v>
      </c>
      <c r="BN330">
        <f t="shared" si="294"/>
        <v>-169.40750828535491</v>
      </c>
      <c r="BQ330" s="66">
        <f t="shared" ref="BQ330:BQ393" si="311">20*LOG(BA330*7)</f>
        <v>32.020023522146047</v>
      </c>
      <c r="BR330" s="71"/>
      <c r="BS330" s="71"/>
      <c r="BT330" s="71">
        <v>158489.31899999999</v>
      </c>
      <c r="BU330" s="71">
        <v>10.4788</v>
      </c>
      <c r="BV330" s="71">
        <v>-137.47</v>
      </c>
      <c r="BY330" s="71"/>
      <c r="BZ330" s="71"/>
      <c r="CA330" s="71"/>
      <c r="CC330" s="71"/>
    </row>
    <row r="331" spans="1:81" ht="13" x14ac:dyDescent="0.3">
      <c r="A331">
        <f t="shared" si="263"/>
        <v>585000</v>
      </c>
      <c r="B331">
        <f t="shared" si="295"/>
        <v>585</v>
      </c>
      <c r="C331">
        <f t="shared" si="264"/>
        <v>1.0167478810326767</v>
      </c>
      <c r="D331">
        <f t="shared" si="265"/>
        <v>0.18175494849124402</v>
      </c>
      <c r="F331">
        <f t="shared" si="266"/>
        <v>2.175778784673334E-4</v>
      </c>
      <c r="G331">
        <f t="shared" si="267"/>
        <v>4.5991403260572782E-3</v>
      </c>
      <c r="H331">
        <f t="shared" si="268"/>
        <v>-3.136993509673943</v>
      </c>
      <c r="J331">
        <f t="shared" si="269"/>
        <v>15</v>
      </c>
      <c r="M331">
        <f t="shared" si="270"/>
        <v>1.877568889523059E-3</v>
      </c>
      <c r="N331">
        <f t="shared" si="271"/>
        <v>-1.5707963250000001</v>
      </c>
      <c r="O331">
        <f t="shared" si="272"/>
        <v>201.45824157381495</v>
      </c>
      <c r="P331">
        <f t="shared" si="273"/>
        <v>1.5658324985652938</v>
      </c>
      <c r="Q331">
        <f t="shared" si="274"/>
        <v>77.383219429205013</v>
      </c>
      <c r="R331">
        <f t="shared" si="275"/>
        <v>1.5578732687707297</v>
      </c>
      <c r="S331">
        <f t="shared" si="276"/>
        <v>0.98281403267257172</v>
      </c>
      <c r="T331">
        <f t="shared" si="277"/>
        <v>-0.18566324583498722</v>
      </c>
      <c r="U331">
        <f t="shared" si="278"/>
        <v>0.3240278666713543</v>
      </c>
      <c r="V331">
        <f t="shared" si="279"/>
        <v>-1.2408123532254298</v>
      </c>
      <c r="X331">
        <f t="shared" si="296"/>
        <v>-30.191986068941411</v>
      </c>
      <c r="Y331">
        <f t="shared" si="280"/>
        <v>-162.07857158797356</v>
      </c>
      <c r="Z331">
        <f t="shared" si="297"/>
        <v>17.921428412026444</v>
      </c>
      <c r="AC331">
        <v>1</v>
      </c>
      <c r="AD331">
        <f t="shared" si="281"/>
        <v>201.45575965460401</v>
      </c>
      <c r="AE331">
        <f t="shared" si="282"/>
        <v>-7.4048356258235262E-2</v>
      </c>
      <c r="AF331">
        <f t="shared" si="283"/>
        <v>2.5362077463450004E-2</v>
      </c>
      <c r="AG331">
        <f t="shared" si="298"/>
        <v>821.90081057227223</v>
      </c>
      <c r="AH331">
        <f t="shared" si="299"/>
        <v>-2439.0905721085628</v>
      </c>
      <c r="AJ331">
        <f t="shared" si="284"/>
        <v>21000</v>
      </c>
      <c r="AK331">
        <f t="shared" si="285"/>
        <v>3944.3543950765502</v>
      </c>
      <c r="AL331">
        <v>1</v>
      </c>
      <c r="AM331">
        <f t="shared" si="286"/>
        <v>77.376757810265559</v>
      </c>
      <c r="AN331">
        <f t="shared" si="300"/>
        <v>54.474364484358503</v>
      </c>
      <c r="AO331">
        <f t="shared" si="301"/>
        <v>-270.69531249778993</v>
      </c>
      <c r="AQ331">
        <f t="shared" si="287"/>
        <v>7.3051301737671317E-3</v>
      </c>
      <c r="AR331">
        <f t="shared" si="288"/>
        <v>-8.5470023033075435</v>
      </c>
      <c r="AT331">
        <f t="shared" si="261"/>
        <v>-20840.908645376443</v>
      </c>
      <c r="AU331">
        <f t="shared" si="262"/>
        <v>-7042.605995186409</v>
      </c>
      <c r="AV331">
        <f t="shared" si="302"/>
        <v>-2.8157178076033516</v>
      </c>
      <c r="AW331">
        <f t="shared" si="303"/>
        <v>-1847.1789155676681</v>
      </c>
      <c r="AX331">
        <f t="shared" si="304"/>
        <v>-3414.2576048842393</v>
      </c>
      <c r="AY331">
        <f t="shared" ref="AY331:AY394" si="312">ATAN2(AW331,AX331)</f>
        <v>-2.0667183522411445</v>
      </c>
      <c r="BA331">
        <f t="shared" si="289"/>
        <v>5.6669724003961512</v>
      </c>
      <c r="BB331">
        <f t="shared" si="305"/>
        <v>15.067021950430616</v>
      </c>
      <c r="BC331">
        <f t="shared" si="306"/>
        <v>-0.74899945536220702</v>
      </c>
      <c r="BD331">
        <f t="shared" si="290"/>
        <v>-222.91450769888874</v>
      </c>
      <c r="BF331">
        <f t="shared" si="291"/>
        <v>-34.514592593397126</v>
      </c>
      <c r="BG331">
        <f t="shared" si="292"/>
        <v>-212.23720490245069</v>
      </c>
      <c r="BH331">
        <f t="shared" si="307"/>
        <v>-32.237204902450685</v>
      </c>
      <c r="BI331">
        <f t="shared" si="308"/>
        <v>-32.237204902450685</v>
      </c>
      <c r="BJ331">
        <f t="shared" si="293"/>
        <v>0</v>
      </c>
      <c r="BK331">
        <f t="shared" si="309"/>
        <v>0</v>
      </c>
      <c r="BM331">
        <f t="shared" si="310"/>
        <v>-49.58161454382774</v>
      </c>
      <c r="BN331">
        <f t="shared" si="294"/>
        <v>-169.32269720356197</v>
      </c>
      <c r="BQ331" s="66">
        <f t="shared" si="311"/>
        <v>31.968982750715753</v>
      </c>
      <c r="BR331" s="71"/>
      <c r="BS331" s="71"/>
      <c r="BT331" s="71">
        <v>162181.01</v>
      </c>
      <c r="BU331" s="71">
        <v>10.741899999999999</v>
      </c>
      <c r="BV331" s="71">
        <v>-137.46899999999999</v>
      </c>
      <c r="BY331" s="71"/>
      <c r="BZ331" s="71"/>
      <c r="CA331" s="71"/>
      <c r="CC331" s="71"/>
    </row>
    <row r="332" spans="1:81" ht="13" x14ac:dyDescent="0.3">
      <c r="A332">
        <f t="shared" si="263"/>
        <v>590000</v>
      </c>
      <c r="B332">
        <f t="shared" si="295"/>
        <v>590</v>
      </c>
      <c r="C332">
        <f t="shared" si="264"/>
        <v>1.0170329851296254</v>
      </c>
      <c r="D332">
        <f t="shared" si="265"/>
        <v>0.18327399730217389</v>
      </c>
      <c r="F332">
        <f t="shared" si="266"/>
        <v>2.1390498955113442E-4</v>
      </c>
      <c r="G332">
        <f t="shared" si="267"/>
        <v>4.5601482070853567E-3</v>
      </c>
      <c r="H332">
        <f t="shared" si="268"/>
        <v>-3.1370325017929148</v>
      </c>
      <c r="J332">
        <f t="shared" si="269"/>
        <v>15</v>
      </c>
      <c r="M332">
        <f t="shared" si="270"/>
        <v>1.861657288764389E-3</v>
      </c>
      <c r="N332">
        <f t="shared" si="271"/>
        <v>-1.5707963250000001</v>
      </c>
      <c r="O332">
        <f t="shared" si="272"/>
        <v>203.18006464046914</v>
      </c>
      <c r="P332">
        <f t="shared" si="273"/>
        <v>1.5658745642239866</v>
      </c>
      <c r="Q332">
        <f t="shared" si="274"/>
        <v>78.044504484581168</v>
      </c>
      <c r="R332">
        <f t="shared" si="275"/>
        <v>1.5579827741732184</v>
      </c>
      <c r="S332">
        <f t="shared" si="276"/>
        <v>0.98252668812316268</v>
      </c>
      <c r="T332">
        <f t="shared" si="277"/>
        <v>-0.18721344197387654</v>
      </c>
      <c r="U332">
        <f t="shared" si="278"/>
        <v>0.32156690559254453</v>
      </c>
      <c r="V332">
        <f t="shared" si="279"/>
        <v>-1.24341250640235</v>
      </c>
      <c r="X332">
        <f t="shared" si="296"/>
        <v>-30.332278566548755</v>
      </c>
      <c r="Y332">
        <f t="shared" si="280"/>
        <v>-162.22288370344805</v>
      </c>
      <c r="Z332">
        <f t="shared" si="297"/>
        <v>17.777116296551952</v>
      </c>
      <c r="AC332">
        <v>1</v>
      </c>
      <c r="AD332">
        <f t="shared" si="281"/>
        <v>203.17760375421602</v>
      </c>
      <c r="AE332">
        <f t="shared" si="282"/>
        <v>-7.5319549458665175E-2</v>
      </c>
      <c r="AF332">
        <f t="shared" si="283"/>
        <v>2.5578847356300002E-2</v>
      </c>
      <c r="AG332">
        <f t="shared" si="298"/>
        <v>809.46370170387513</v>
      </c>
      <c r="AH332">
        <f t="shared" si="299"/>
        <v>-2422.6440094149343</v>
      </c>
      <c r="AJ332">
        <f t="shared" si="284"/>
        <v>21000</v>
      </c>
      <c r="AK332">
        <f t="shared" si="285"/>
        <v>3978.0668258037003</v>
      </c>
      <c r="AL332">
        <v>1</v>
      </c>
      <c r="AM332">
        <f t="shared" si="286"/>
        <v>78.038097620609705</v>
      </c>
      <c r="AN332">
        <f t="shared" si="300"/>
        <v>54.415330411457809</v>
      </c>
      <c r="AO332">
        <f t="shared" si="301"/>
        <v>-268.40204090337613</v>
      </c>
      <c r="AQ332">
        <f t="shared" si="287"/>
        <v>7.1818391397305802E-3</v>
      </c>
      <c r="AR332">
        <f t="shared" si="288"/>
        <v>-8.4745701848820847</v>
      </c>
      <c r="AT332">
        <f t="shared" si="261"/>
        <v>-20525.053252675909</v>
      </c>
      <c r="AU332">
        <f t="shared" si="262"/>
        <v>-6877.2559917723956</v>
      </c>
      <c r="AV332">
        <f t="shared" si="302"/>
        <v>-2.8182831383439151</v>
      </c>
      <c r="AW332">
        <f t="shared" si="303"/>
        <v>-1814.4523402861753</v>
      </c>
      <c r="AX332">
        <f t="shared" si="304"/>
        <v>-3386.8473298504177</v>
      </c>
      <c r="AY332">
        <f t="shared" si="312"/>
        <v>-2.0626215257588125</v>
      </c>
      <c r="BA332">
        <f t="shared" si="289"/>
        <v>5.6338127353209089</v>
      </c>
      <c r="BB332">
        <f t="shared" si="305"/>
        <v>15.016048143842029</v>
      </c>
      <c r="BC332">
        <f t="shared" si="306"/>
        <v>-0.75566161258510256</v>
      </c>
      <c r="BD332">
        <f t="shared" si="290"/>
        <v>-223.29622119064942</v>
      </c>
      <c r="BF332">
        <f t="shared" si="291"/>
        <v>-34.711007604143418</v>
      </c>
      <c r="BG332">
        <f t="shared" si="292"/>
        <v>-212.53411739222517</v>
      </c>
      <c r="BH332">
        <f t="shared" si="307"/>
        <v>-32.53411739222517</v>
      </c>
      <c r="BI332">
        <f t="shared" si="308"/>
        <v>-32.53411739222517</v>
      </c>
      <c r="BJ332">
        <f t="shared" si="293"/>
        <v>0</v>
      </c>
      <c r="BK332">
        <f t="shared" si="309"/>
        <v>0</v>
      </c>
      <c r="BM332">
        <f t="shared" si="310"/>
        <v>-49.727055747985453</v>
      </c>
      <c r="BN332">
        <f t="shared" si="294"/>
        <v>-169.23789620157578</v>
      </c>
      <c r="BQ332" s="66">
        <f t="shared" si="311"/>
        <v>31.918008944127166</v>
      </c>
      <c r="BR332" s="71"/>
      <c r="BS332" s="71"/>
      <c r="BT332" s="71">
        <v>165958.69099999999</v>
      </c>
      <c r="BU332" s="71">
        <v>11.0235</v>
      </c>
      <c r="BV332" s="71">
        <v>-138.31200000000001</v>
      </c>
      <c r="BY332" s="71"/>
      <c r="BZ332" s="71"/>
      <c r="CA332" s="71"/>
      <c r="CC332" s="71"/>
    </row>
    <row r="333" spans="1:81" ht="13" x14ac:dyDescent="0.3">
      <c r="A333">
        <f t="shared" si="263"/>
        <v>595000</v>
      </c>
      <c r="B333">
        <f t="shared" si="295"/>
        <v>595</v>
      </c>
      <c r="C333">
        <f t="shared" si="264"/>
        <v>1.0173204347210889</v>
      </c>
      <c r="D333">
        <f t="shared" si="265"/>
        <v>0.18479219118319351</v>
      </c>
      <c r="F333">
        <f t="shared" si="266"/>
        <v>2.1032432980979521E-4</v>
      </c>
      <c r="G333">
        <f t="shared" si="267"/>
        <v>4.5218118250407091E-3</v>
      </c>
      <c r="H333">
        <f t="shared" si="268"/>
        <v>-3.1370708381749597</v>
      </c>
      <c r="J333">
        <f t="shared" si="269"/>
        <v>15</v>
      </c>
      <c r="M333">
        <f t="shared" si="270"/>
        <v>1.8460131098672092E-3</v>
      </c>
      <c r="N333">
        <f t="shared" si="271"/>
        <v>-1.5707963250000001</v>
      </c>
      <c r="O333">
        <f t="shared" si="272"/>
        <v>204.90188806061204</v>
      </c>
      <c r="P333">
        <f t="shared" si="273"/>
        <v>1.5659159229138016</v>
      </c>
      <c r="Q333">
        <f t="shared" si="274"/>
        <v>78.705790460096537</v>
      </c>
      <c r="R333">
        <f t="shared" si="275"/>
        <v>1.5580904394484079</v>
      </c>
      <c r="S333">
        <f t="shared" si="276"/>
        <v>0.98223715319664473</v>
      </c>
      <c r="T333">
        <f t="shared" si="277"/>
        <v>-0.18876272819794762</v>
      </c>
      <c r="U333">
        <f t="shared" si="278"/>
        <v>0.31914093518583414</v>
      </c>
      <c r="V333">
        <f t="shared" si="279"/>
        <v>-1.2459734444384569</v>
      </c>
      <c r="X333">
        <f t="shared" si="296"/>
        <v>-30.471503244832206</v>
      </c>
      <c r="Y333">
        <f t="shared" si="280"/>
        <v>-162.36505417335789</v>
      </c>
      <c r="Z333">
        <f t="shared" si="297"/>
        <v>17.63494582664211</v>
      </c>
      <c r="AC333">
        <v>1</v>
      </c>
      <c r="AD333">
        <f t="shared" si="281"/>
        <v>204.89944785382801</v>
      </c>
      <c r="AE333">
        <f t="shared" si="282"/>
        <v>-7.6601561324630682E-2</v>
      </c>
      <c r="AF333">
        <f t="shared" si="283"/>
        <v>2.5795617249149999E-2</v>
      </c>
      <c r="AG333">
        <f t="shared" si="298"/>
        <v>797.29623340711737</v>
      </c>
      <c r="AH333">
        <f t="shared" si="299"/>
        <v>-2406.3830579311993</v>
      </c>
      <c r="AJ333">
        <f t="shared" si="284"/>
        <v>21000</v>
      </c>
      <c r="AK333">
        <f t="shared" si="285"/>
        <v>4011.7792565308505</v>
      </c>
      <c r="AL333">
        <v>1</v>
      </c>
      <c r="AM333">
        <f t="shared" si="286"/>
        <v>78.69943743095385</v>
      </c>
      <c r="AN333">
        <f t="shared" si="300"/>
        <v>54.357778010113236</v>
      </c>
      <c r="AO333">
        <f t="shared" si="301"/>
        <v>-266.14729286173525</v>
      </c>
      <c r="AQ333">
        <f t="shared" si="287"/>
        <v>7.0616432020032469E-3</v>
      </c>
      <c r="AR333">
        <f t="shared" si="288"/>
        <v>-8.4033554103838632</v>
      </c>
      <c r="AT333">
        <f t="shared" si="261"/>
        <v>-20216.061867795586</v>
      </c>
      <c r="AU333">
        <f t="shared" si="262"/>
        <v>-6716.9566352428301</v>
      </c>
      <c r="AV333">
        <f t="shared" si="302"/>
        <v>-2.8208098391777998</v>
      </c>
      <c r="AW333">
        <f t="shared" si="303"/>
        <v>-1782.5678166398161</v>
      </c>
      <c r="AX333">
        <f t="shared" si="304"/>
        <v>-3359.8667627523564</v>
      </c>
      <c r="AY333">
        <f t="shared" si="312"/>
        <v>-2.0585819890573047</v>
      </c>
      <c r="BA333">
        <f t="shared" si="289"/>
        <v>5.6008947432595972</v>
      </c>
      <c r="BB333">
        <f t="shared" si="305"/>
        <v>14.965148222340819</v>
      </c>
      <c r="BC333">
        <f t="shared" si="306"/>
        <v>-0.7622278501204951</v>
      </c>
      <c r="BD333">
        <f t="shared" si="290"/>
        <v>-223.67243888913768</v>
      </c>
      <c r="BF333">
        <f t="shared" si="291"/>
        <v>-34.906080958482256</v>
      </c>
      <c r="BG333">
        <f t="shared" si="292"/>
        <v>-212.82554550164451</v>
      </c>
      <c r="BH333">
        <f t="shared" si="307"/>
        <v>-32.825545501644513</v>
      </c>
      <c r="BI333">
        <f t="shared" si="308"/>
        <v>-32.825545501644513</v>
      </c>
      <c r="BJ333">
        <f t="shared" si="293"/>
        <v>0</v>
      </c>
      <c r="BK333">
        <f t="shared" si="309"/>
        <v>0</v>
      </c>
      <c r="BM333">
        <f t="shared" si="310"/>
        <v>-49.871229180823072</v>
      </c>
      <c r="BN333">
        <f t="shared" si="294"/>
        <v>-169.15310661250683</v>
      </c>
      <c r="BQ333" s="66">
        <f t="shared" si="311"/>
        <v>31.867109022625954</v>
      </c>
      <c r="BR333" s="71"/>
      <c r="BS333" s="71"/>
      <c r="BT333" s="71">
        <v>169824.36499999999</v>
      </c>
      <c r="BU333" s="71">
        <v>11.234299999999999</v>
      </c>
      <c r="BV333" s="71">
        <v>-140.114</v>
      </c>
      <c r="BY333" s="71"/>
      <c r="BZ333" s="71"/>
      <c r="CA333" s="71"/>
      <c r="CC333" s="71"/>
    </row>
    <row r="334" spans="1:81" ht="13" x14ac:dyDescent="0.3">
      <c r="A334">
        <f t="shared" si="263"/>
        <v>600000</v>
      </c>
      <c r="B334">
        <f t="shared" si="295"/>
        <v>600</v>
      </c>
      <c r="C334">
        <f t="shared" si="264"/>
        <v>1.017610227819435</v>
      </c>
      <c r="D334">
        <f t="shared" si="265"/>
        <v>0.18630952386316746</v>
      </c>
      <c r="F334">
        <f t="shared" si="266"/>
        <v>2.0683283676117863E-4</v>
      </c>
      <c r="G334">
        <f t="shared" si="267"/>
        <v>4.4841147730918865E-3</v>
      </c>
      <c r="H334">
        <f t="shared" si="268"/>
        <v>-3.1371085352269081</v>
      </c>
      <c r="J334">
        <f t="shared" si="269"/>
        <v>15</v>
      </c>
      <c r="M334">
        <f t="shared" si="270"/>
        <v>1.8306296672849823E-3</v>
      </c>
      <c r="N334">
        <f t="shared" si="271"/>
        <v>-1.5707963250000001</v>
      </c>
      <c r="O334">
        <f t="shared" si="272"/>
        <v>206.62371182540667</v>
      </c>
      <c r="P334">
        <f t="shared" si="273"/>
        <v>1.5659565923084018</v>
      </c>
      <c r="Q334">
        <f t="shared" si="274"/>
        <v>79.367077332751293</v>
      </c>
      <c r="R334">
        <f t="shared" si="275"/>
        <v>1.5581963105896193</v>
      </c>
      <c r="S334">
        <f t="shared" si="276"/>
        <v>0.98194543399678547</v>
      </c>
      <c r="T334">
        <f t="shared" si="277"/>
        <v>-0.19031109787721495</v>
      </c>
      <c r="U334">
        <f t="shared" si="278"/>
        <v>0.3167492638598613</v>
      </c>
      <c r="V334">
        <f t="shared" si="279"/>
        <v>-1.2484960150054252</v>
      </c>
      <c r="X334">
        <f t="shared" si="296"/>
        <v>-30.609675534884829</v>
      </c>
      <c r="Y334">
        <f t="shared" si="280"/>
        <v>-162.50512883734456</v>
      </c>
      <c r="Z334">
        <f t="shared" si="297"/>
        <v>17.494871162655443</v>
      </c>
      <c r="AC334">
        <v>1</v>
      </c>
      <c r="AD334">
        <f t="shared" si="281"/>
        <v>206.62129195343999</v>
      </c>
      <c r="AE334">
        <f t="shared" si="282"/>
        <v>-7.7894391856131756E-2</v>
      </c>
      <c r="AF334">
        <f t="shared" si="283"/>
        <v>2.6012387142E-2</v>
      </c>
      <c r="AG334">
        <f t="shared" si="298"/>
        <v>785.3909890509301</v>
      </c>
      <c r="AH334">
        <f t="shared" si="299"/>
        <v>-2390.3055541186841</v>
      </c>
      <c r="AJ334">
        <f t="shared" si="284"/>
        <v>21000</v>
      </c>
      <c r="AK334">
        <f t="shared" si="285"/>
        <v>4045.4916872580002</v>
      </c>
      <c r="AL334">
        <v>1</v>
      </c>
      <c r="AM334">
        <f t="shared" si="286"/>
        <v>79.360777241297995</v>
      </c>
      <c r="AN334">
        <f t="shared" si="300"/>
        <v>54.301658110765942</v>
      </c>
      <c r="AO334">
        <f t="shared" si="301"/>
        <v>-263.9301059036182</v>
      </c>
      <c r="AQ334">
        <f t="shared" si="287"/>
        <v>6.9444396219169296E-3</v>
      </c>
      <c r="AR334">
        <f t="shared" si="288"/>
        <v>-8.3333275463003158</v>
      </c>
      <c r="AT334">
        <f t="shared" si="261"/>
        <v>-19913.745017908808</v>
      </c>
      <c r="AU334">
        <f t="shared" si="262"/>
        <v>-6561.5196962726759</v>
      </c>
      <c r="AV334">
        <f t="shared" si="302"/>
        <v>-2.8232987431463843</v>
      </c>
      <c r="AW334">
        <f t="shared" si="303"/>
        <v>-1751.4966567899855</v>
      </c>
      <c r="AX334">
        <f t="shared" si="304"/>
        <v>-3333.305931315369</v>
      </c>
      <c r="AY334">
        <f t="shared" si="312"/>
        <v>-2.0545986302757111</v>
      </c>
      <c r="BA334">
        <f t="shared" si="289"/>
        <v>5.5682206406552393</v>
      </c>
      <c r="BB334">
        <f t="shared" si="305"/>
        <v>14.914328717109511</v>
      </c>
      <c r="BC334">
        <f t="shared" si="306"/>
        <v>-0.76870011287067319</v>
      </c>
      <c r="BD334">
        <f t="shared" si="290"/>
        <v>-224.04327222904635</v>
      </c>
      <c r="BF334">
        <f t="shared" si="291"/>
        <v>-35.099827066007265</v>
      </c>
      <c r="BG334">
        <f t="shared" si="292"/>
        <v>-213.11160196475325</v>
      </c>
      <c r="BH334">
        <f t="shared" si="307"/>
        <v>-33.111601964753248</v>
      </c>
      <c r="BI334">
        <f t="shared" si="308"/>
        <v>-33.111601964753248</v>
      </c>
      <c r="BJ334">
        <f t="shared" si="293"/>
        <v>0</v>
      </c>
      <c r="BK334">
        <f t="shared" si="309"/>
        <v>0</v>
      </c>
      <c r="BM334">
        <f t="shared" si="310"/>
        <v>-50.014155783116784</v>
      </c>
      <c r="BN334">
        <f t="shared" si="294"/>
        <v>-169.0683297357069</v>
      </c>
      <c r="BQ334" s="66">
        <f t="shared" si="311"/>
        <v>31.816289517394644</v>
      </c>
      <c r="BR334" s="71"/>
      <c r="BS334" s="71"/>
      <c r="BT334" s="71">
        <v>173780.08300000001</v>
      </c>
      <c r="BU334" s="71">
        <v>11.3918</v>
      </c>
      <c r="BV334" s="71">
        <v>-141.173</v>
      </c>
      <c r="BY334" s="71"/>
      <c r="BZ334" s="71"/>
      <c r="CA334" s="71"/>
      <c r="CC334" s="71"/>
    </row>
    <row r="335" spans="1:81" ht="13" x14ac:dyDescent="0.3">
      <c r="A335">
        <f t="shared" si="263"/>
        <v>605000</v>
      </c>
      <c r="B335">
        <f t="shared" si="295"/>
        <v>605</v>
      </c>
      <c r="C335">
        <f t="shared" si="264"/>
        <v>1.0179023624231005</v>
      </c>
      <c r="D335">
        <f t="shared" si="265"/>
        <v>0.1878259890939348</v>
      </c>
      <c r="F335">
        <f t="shared" si="266"/>
        <v>2.0342757399672258E-4</v>
      </c>
      <c r="G335">
        <f t="shared" si="267"/>
        <v>4.4470411873294476E-3</v>
      </c>
      <c r="H335">
        <f t="shared" si="268"/>
        <v>-3.1371456088126708</v>
      </c>
      <c r="J335">
        <f t="shared" si="269"/>
        <v>15</v>
      </c>
      <c r="M335">
        <f t="shared" si="270"/>
        <v>1.8155004964809742E-3</v>
      </c>
      <c r="N335">
        <f t="shared" si="271"/>
        <v>-1.5707963250000001</v>
      </c>
      <c r="O335">
        <f t="shared" si="272"/>
        <v>208.34553592630809</v>
      </c>
      <c r="P335">
        <f t="shared" si="273"/>
        <v>1.5659965894972196</v>
      </c>
      <c r="Q335">
        <f t="shared" si="274"/>
        <v>80.028365080305861</v>
      </c>
      <c r="R335">
        <f t="shared" si="275"/>
        <v>1.5583004320701352</v>
      </c>
      <c r="S335">
        <f t="shared" si="276"/>
        <v>0.98165153666355243</v>
      </c>
      <c r="T335">
        <f t="shared" si="277"/>
        <v>-0.19185854440711397</v>
      </c>
      <c r="U335">
        <f t="shared" si="278"/>
        <v>0.31439121654341273</v>
      </c>
      <c r="V335">
        <f t="shared" si="279"/>
        <v>-1.2509810425185963</v>
      </c>
      <c r="X335">
        <f t="shared" si="296"/>
        <v>-30.746810550102261</v>
      </c>
      <c r="Y335">
        <f t="shared" si="280"/>
        <v>-162.64315229215867</v>
      </c>
      <c r="Z335">
        <f t="shared" si="297"/>
        <v>17.356847707841325</v>
      </c>
      <c r="AC335">
        <v>1</v>
      </c>
      <c r="AD335">
        <f t="shared" si="281"/>
        <v>208.34313605305201</v>
      </c>
      <c r="AE335">
        <f t="shared" si="282"/>
        <v>-7.9198041053168411E-2</v>
      </c>
      <c r="AF335">
        <f t="shared" si="283"/>
        <v>2.6229157034850004E-2</v>
      </c>
      <c r="AG335">
        <f t="shared" si="298"/>
        <v>773.74079290882241</v>
      </c>
      <c r="AH335">
        <f t="shared" si="299"/>
        <v>-2374.4093261768126</v>
      </c>
      <c r="AJ335">
        <f t="shared" si="284"/>
        <v>21000</v>
      </c>
      <c r="AK335">
        <f t="shared" si="285"/>
        <v>4079.2041179851503</v>
      </c>
      <c r="AL335">
        <v>1</v>
      </c>
      <c r="AM335">
        <f t="shared" si="286"/>
        <v>80.022117051642155</v>
      </c>
      <c r="AN335">
        <f t="shared" si="300"/>
        <v>54.246923566585799</v>
      </c>
      <c r="AO335">
        <f t="shared" si="301"/>
        <v>-261.74954935166369</v>
      </c>
      <c r="AQ335">
        <f t="shared" si="287"/>
        <v>6.8301298885800913E-3</v>
      </c>
      <c r="AR335">
        <f t="shared" si="288"/>
        <v>-8.264457165181911</v>
      </c>
      <c r="AT335">
        <f t="shared" si="261"/>
        <v>-19617.919418681049</v>
      </c>
      <c r="AU335">
        <f t="shared" si="262"/>
        <v>-6410.765164055294</v>
      </c>
      <c r="AV335">
        <f t="shared" si="302"/>
        <v>-2.8257506605183362</v>
      </c>
      <c r="AW335">
        <f t="shared" si="303"/>
        <v>-1721.2113842463316</v>
      </c>
      <c r="AX335">
        <f t="shared" si="304"/>
        <v>-3307.1551718356272</v>
      </c>
      <c r="AY335">
        <f t="shared" si="312"/>
        <v>-2.0506703615693462</v>
      </c>
      <c r="BA335">
        <f t="shared" si="289"/>
        <v>5.5357923282834296</v>
      </c>
      <c r="BB335">
        <f t="shared" si="305"/>
        <v>14.863595789478886</v>
      </c>
      <c r="BC335">
        <f t="shared" si="306"/>
        <v>-0.77508029894899</v>
      </c>
      <c r="BD335">
        <f t="shared" si="290"/>
        <v>-224.40882996425975</v>
      </c>
      <c r="BF335">
        <f t="shared" si="291"/>
        <v>-35.292260185443681</v>
      </c>
      <c r="BG335">
        <f t="shared" si="292"/>
        <v>-213.39239680236412</v>
      </c>
      <c r="BH335">
        <f t="shared" si="307"/>
        <v>-33.392396802364118</v>
      </c>
      <c r="BI335">
        <f t="shared" si="308"/>
        <v>-33.392396802364118</v>
      </c>
      <c r="BJ335">
        <f t="shared" si="293"/>
        <v>0</v>
      </c>
      <c r="BK335">
        <f t="shared" si="309"/>
        <v>0</v>
      </c>
      <c r="BM335">
        <f t="shared" si="310"/>
        <v>-50.155855974922559</v>
      </c>
      <c r="BN335">
        <f t="shared" si="294"/>
        <v>-168.98356683810434</v>
      </c>
      <c r="BQ335" s="66">
        <f t="shared" si="311"/>
        <v>31.765556589764024</v>
      </c>
      <c r="BR335" s="71"/>
      <c r="BS335" s="71"/>
      <c r="BT335" s="71">
        <v>177827.94099999999</v>
      </c>
      <c r="BU335" s="71">
        <v>11.612500000000001</v>
      </c>
      <c r="BV335" s="71">
        <v>-141.86199999999999</v>
      </c>
      <c r="BY335" s="71"/>
      <c r="BZ335" s="71"/>
      <c r="CA335" s="71"/>
      <c r="CC335" s="71"/>
    </row>
    <row r="336" spans="1:81" ht="13" x14ac:dyDescent="0.3">
      <c r="A336">
        <f t="shared" si="263"/>
        <v>610000</v>
      </c>
      <c r="B336">
        <f t="shared" si="295"/>
        <v>610</v>
      </c>
      <c r="C336">
        <f t="shared" si="264"/>
        <v>1.0181968365166556</v>
      </c>
      <c r="D336">
        <f t="shared" si="265"/>
        <v>0.18934158065043522</v>
      </c>
      <c r="F336">
        <f t="shared" si="266"/>
        <v>2.001057250038389E-4</v>
      </c>
      <c r="G336">
        <f t="shared" si="267"/>
        <v>4.4105757244884518E-3</v>
      </c>
      <c r="H336">
        <f t="shared" si="268"/>
        <v>-3.1371820742755117</v>
      </c>
      <c r="J336">
        <f t="shared" si="269"/>
        <v>15</v>
      </c>
      <c r="M336">
        <f t="shared" si="270"/>
        <v>1.8006193448704742E-3</v>
      </c>
      <c r="N336">
        <f t="shared" si="271"/>
        <v>-1.5707963250000001</v>
      </c>
      <c r="O336">
        <f t="shared" si="272"/>
        <v>210.06736035505165</v>
      </c>
      <c r="P336">
        <f t="shared" si="273"/>
        <v>1.5660359310093996</v>
      </c>
      <c r="Q336">
        <f t="shared" si="274"/>
        <v>80.689653681249652</v>
      </c>
      <c r="R336">
        <f t="shared" si="275"/>
        <v>1.558402846905478</v>
      </c>
      <c r="S336">
        <f t="shared" si="276"/>
        <v>0.98135546737277146</v>
      </c>
      <c r="T336">
        <f t="shared" si="277"/>
        <v>-0.19340506120863754</v>
      </c>
      <c r="U336">
        <f t="shared" si="278"/>
        <v>0.31206613426140423</v>
      </c>
      <c r="V336">
        <f t="shared" si="279"/>
        <v>-1.253429328890888</v>
      </c>
      <c r="X336">
        <f t="shared" si="296"/>
        <v>-30.882923094506573</v>
      </c>
      <c r="Y336">
        <f t="shared" si="280"/>
        <v>-162.77916793119263</v>
      </c>
      <c r="Z336">
        <f t="shared" si="297"/>
        <v>17.220832068807368</v>
      </c>
      <c r="AC336">
        <v>1</v>
      </c>
      <c r="AD336">
        <f t="shared" si="281"/>
        <v>210.06498015266399</v>
      </c>
      <c r="AE336">
        <f t="shared" si="282"/>
        <v>-8.0512508915740633E-2</v>
      </c>
      <c r="AF336">
        <f t="shared" si="283"/>
        <v>2.6445926927700002E-2</v>
      </c>
      <c r="AG336">
        <f t="shared" si="298"/>
        <v>762.33870140402541</v>
      </c>
      <c r="AH336">
        <f t="shared" si="299"/>
        <v>-2358.6921972574146</v>
      </c>
      <c r="AJ336">
        <f t="shared" si="284"/>
        <v>21000</v>
      </c>
      <c r="AK336">
        <f t="shared" si="285"/>
        <v>4112.9165487123</v>
      </c>
      <c r="AL336">
        <v>1</v>
      </c>
      <c r="AM336">
        <f t="shared" si="286"/>
        <v>80.683456861986301</v>
      </c>
      <c r="AN336">
        <f t="shared" si="300"/>
        <v>54.193529154439048</v>
      </c>
      <c r="AO336">
        <f t="shared" si="301"/>
        <v>-259.60472301867986</v>
      </c>
      <c r="AQ336">
        <f t="shared" si="287"/>
        <v>6.7186195118116689E-3</v>
      </c>
      <c r="AR336">
        <f t="shared" si="288"/>
        <v>-8.1967158044102355</v>
      </c>
      <c r="AT336">
        <f t="shared" si="261"/>
        <v>-19328.407747325091</v>
      </c>
      <c r="AU336">
        <f t="shared" si="262"/>
        <v>-6264.5208375308021</v>
      </c>
      <c r="AV336">
        <f t="shared" si="302"/>
        <v>-2.8281663795237026</v>
      </c>
      <c r="AW336">
        <f t="shared" si="303"/>
        <v>-1691.6856730827233</v>
      </c>
      <c r="AX336">
        <f t="shared" si="304"/>
        <v>-3281.4051170723706</v>
      </c>
      <c r="AY336">
        <f t="shared" si="312"/>
        <v>-2.0467961186916006</v>
      </c>
      <c r="BA336">
        <f t="shared" si="289"/>
        <v>5.5036114113166406</v>
      </c>
      <c r="BB336">
        <f t="shared" si="305"/>
        <v>14.81295524917633</v>
      </c>
      <c r="BC336">
        <f t="shared" si="306"/>
        <v>-0.78137026083210204</v>
      </c>
      <c r="BD336">
        <f t="shared" si="290"/>
        <v>-224.76921823387204</v>
      </c>
      <c r="BF336">
        <f t="shared" si="291"/>
        <v>-35.483394423566111</v>
      </c>
      <c r="BG336">
        <f t="shared" si="292"/>
        <v>-213.66803738934522</v>
      </c>
      <c r="BH336">
        <f t="shared" si="307"/>
        <v>-33.668037389345216</v>
      </c>
      <c r="BI336">
        <f t="shared" si="308"/>
        <v>-33.668037389345216</v>
      </c>
      <c r="BJ336">
        <f t="shared" si="293"/>
        <v>0</v>
      </c>
      <c r="BK336">
        <f t="shared" si="309"/>
        <v>0</v>
      </c>
      <c r="BM336">
        <f t="shared" si="310"/>
        <v>-50.296349672742444</v>
      </c>
      <c r="BN336">
        <f t="shared" si="294"/>
        <v>-168.89881915547318</v>
      </c>
      <c r="BQ336" s="66">
        <f t="shared" si="311"/>
        <v>31.714916049461465</v>
      </c>
      <c r="BR336" s="71"/>
      <c r="BS336" s="71"/>
      <c r="BT336" s="71">
        <v>181970.08600000001</v>
      </c>
      <c r="BU336" s="71">
        <v>11.8933</v>
      </c>
      <c r="BV336" s="71">
        <v>-143.41399999999999</v>
      </c>
      <c r="BY336" s="71"/>
      <c r="BZ336" s="71"/>
      <c r="CA336" s="71"/>
      <c r="CC336" s="71"/>
    </row>
    <row r="337" spans="1:81" ht="13" x14ac:dyDescent="0.3">
      <c r="A337">
        <f t="shared" si="263"/>
        <v>615000</v>
      </c>
      <c r="B337">
        <f t="shared" si="295"/>
        <v>615</v>
      </c>
      <c r="C337">
        <f t="shared" si="264"/>
        <v>1.0184936480708706</v>
      </c>
      <c r="D337">
        <f t="shared" si="265"/>
        <v>0.19085629233083384</v>
      </c>
      <c r="F337">
        <f t="shared" si="266"/>
        <v>1.9686458733862377E-4</v>
      </c>
      <c r="G337">
        <f t="shared" si="267"/>
        <v>4.3747035407591612E-3</v>
      </c>
      <c r="H337">
        <f t="shared" si="268"/>
        <v>-3.1372179464592409</v>
      </c>
      <c r="J337">
        <f t="shared" si="269"/>
        <v>15</v>
      </c>
      <c r="M337">
        <f t="shared" si="270"/>
        <v>1.785980163204861E-3</v>
      </c>
      <c r="N337">
        <f t="shared" si="271"/>
        <v>-1.5707963250000001</v>
      </c>
      <c r="O337">
        <f t="shared" si="272"/>
        <v>211.78918510364133</v>
      </c>
      <c r="P337">
        <f t="shared" si="273"/>
        <v>1.5660746328365738</v>
      </c>
      <c r="Q337">
        <f t="shared" si="274"/>
        <v>81.350943114771468</v>
      </c>
      <c r="R337">
        <f t="shared" si="275"/>
        <v>1.558503596712649</v>
      </c>
      <c r="S337">
        <f t="shared" si="276"/>
        <v>0.98105723233578612</v>
      </c>
      <c r="T337">
        <f t="shared" si="277"/>
        <v>-0.19495064172847065</v>
      </c>
      <c r="U337">
        <f t="shared" si="278"/>
        <v>0.30977337372029473</v>
      </c>
      <c r="V337">
        <f t="shared" si="279"/>
        <v>-1.2558416542593331</v>
      </c>
      <c r="X337">
        <f t="shared" si="296"/>
        <v>-31.01802767080693</v>
      </c>
      <c r="Y337">
        <f t="shared" si="280"/>
        <v>-162.91321798262348</v>
      </c>
      <c r="Z337">
        <f t="shared" si="297"/>
        <v>17.086782017376521</v>
      </c>
      <c r="AC337">
        <v>1</v>
      </c>
      <c r="AD337">
        <f t="shared" si="281"/>
        <v>211.78682425227603</v>
      </c>
      <c r="AE337">
        <f t="shared" si="282"/>
        <v>-8.1837795443848435E-2</v>
      </c>
      <c r="AF337">
        <f t="shared" si="283"/>
        <v>2.6662696820550003E-2</v>
      </c>
      <c r="AG337">
        <f t="shared" si="298"/>
        <v>751.17799469180716</v>
      </c>
      <c r="AH337">
        <f t="shared" si="299"/>
        <v>-2343.1519884123868</v>
      </c>
      <c r="AJ337">
        <f t="shared" si="284"/>
        <v>21000</v>
      </c>
      <c r="AK337">
        <f t="shared" si="285"/>
        <v>4146.6289794394506</v>
      </c>
      <c r="AL337">
        <v>1</v>
      </c>
      <c r="AM337">
        <f t="shared" si="286"/>
        <v>81.344796672330446</v>
      </c>
      <c r="AN337">
        <f t="shared" si="300"/>
        <v>54.141431481466533</v>
      </c>
      <c r="AO337">
        <f t="shared" si="301"/>
        <v>-257.49475596935503</v>
      </c>
      <c r="AQ337">
        <f t="shared" si="287"/>
        <v>6.6098178268108754E-3</v>
      </c>
      <c r="AR337">
        <f t="shared" si="288"/>
        <v>-8.1300759269773764</v>
      </c>
      <c r="AT337">
        <f t="shared" si="261"/>
        <v>-19045.038424540297</v>
      </c>
      <c r="AU337">
        <f t="shared" si="262"/>
        <v>-6122.6219393029369</v>
      </c>
      <c r="AV337">
        <f t="shared" si="302"/>
        <v>-2.8305466670615989</v>
      </c>
      <c r="AW337">
        <f t="shared" si="303"/>
        <v>-1662.8942906740281</v>
      </c>
      <c r="AX337">
        <f t="shared" si="304"/>
        <v>-3256.0466847256298</v>
      </c>
      <c r="AY337">
        <f t="shared" si="312"/>
        <v>-2.0429748605692302</v>
      </c>
      <c r="BA337">
        <f t="shared" si="289"/>
        <v>5.4716792182533407</v>
      </c>
      <c r="BB337">
        <f t="shared" si="305"/>
        <v>14.762412571660487</v>
      </c>
      <c r="BC337">
        <f t="shared" si="306"/>
        <v>-0.78757180649236869</v>
      </c>
      <c r="BD337">
        <f t="shared" si="290"/>
        <v>-225.124540627069</v>
      </c>
      <c r="BF337">
        <f t="shared" si="291"/>
        <v>-35.673243734328587</v>
      </c>
      <c r="BG337">
        <f t="shared" si="292"/>
        <v>-213.93862852070893</v>
      </c>
      <c r="BH337">
        <f t="shared" si="307"/>
        <v>-33.938628520708932</v>
      </c>
      <c r="BI337">
        <f t="shared" si="308"/>
        <v>-33.938628520708932</v>
      </c>
      <c r="BJ337">
        <f t="shared" si="293"/>
        <v>0</v>
      </c>
      <c r="BK337">
        <f t="shared" si="309"/>
        <v>0</v>
      </c>
      <c r="BM337">
        <f t="shared" si="310"/>
        <v>-50.43565630598907</v>
      </c>
      <c r="BN337">
        <f t="shared" si="294"/>
        <v>-168.81408789363994</v>
      </c>
      <c r="BQ337" s="66">
        <f t="shared" si="311"/>
        <v>31.664373371945626</v>
      </c>
      <c r="BR337" s="71"/>
      <c r="BS337" s="71"/>
      <c r="BT337" s="71">
        <v>186208.71400000001</v>
      </c>
      <c r="BU337" s="71">
        <v>12.027799999999999</v>
      </c>
      <c r="BV337" s="71">
        <v>-144.279</v>
      </c>
      <c r="BY337" s="71"/>
      <c r="BZ337" s="71"/>
      <c r="CA337" s="71"/>
      <c r="CC337" s="71"/>
    </row>
    <row r="338" spans="1:81" ht="13" x14ac:dyDescent="0.3">
      <c r="A338">
        <f t="shared" si="263"/>
        <v>620000</v>
      </c>
      <c r="B338">
        <f t="shared" si="295"/>
        <v>620</v>
      </c>
      <c r="C338">
        <f t="shared" si="264"/>
        <v>1.0187927950427824</v>
      </c>
      <c r="D338">
        <f t="shared" si="265"/>
        <v>0.19237011795664438</v>
      </c>
      <c r="F338">
        <f t="shared" si="266"/>
        <v>1.9370156712635866E-4</v>
      </c>
      <c r="G338">
        <f t="shared" si="267"/>
        <v>4.3394102716244123E-3</v>
      </c>
      <c r="H338">
        <f t="shared" si="268"/>
        <v>-3.1372532397283757</v>
      </c>
      <c r="J338">
        <f t="shared" si="269"/>
        <v>15</v>
      </c>
      <c r="M338">
        <f t="shared" si="270"/>
        <v>1.7715770973725637E-3</v>
      </c>
      <c r="N338">
        <f t="shared" si="271"/>
        <v>-1.5707963250000001</v>
      </c>
      <c r="O338">
        <f t="shared" si="272"/>
        <v>213.5110101643391</v>
      </c>
      <c r="P338">
        <f t="shared" si="273"/>
        <v>1.566112710454534</v>
      </c>
      <c r="Q338">
        <f t="shared" si="274"/>
        <v>82.012233360731344</v>
      </c>
      <c r="R338">
        <f t="shared" si="275"/>
        <v>1.5586027217665039</v>
      </c>
      <c r="S338">
        <f t="shared" si="276"/>
        <v>0.98075683779911393</v>
      </c>
      <c r="T338">
        <f t="shared" si="277"/>
        <v>-0.19649527943912354</v>
      </c>
      <c r="U338">
        <f t="shared" si="278"/>
        <v>0.30751230690294429</v>
      </c>
      <c r="V338">
        <f t="shared" si="279"/>
        <v>-1.258218777685308</v>
      </c>
      <c r="X338">
        <f t="shared" si="296"/>
        <v>-31.152138488206973</v>
      </c>
      <c r="Y338">
        <f t="shared" si="280"/>
        <v>-163.04534354621768</v>
      </c>
      <c r="Z338">
        <f t="shared" si="297"/>
        <v>16.95465645378232</v>
      </c>
      <c r="AC338">
        <v>1</v>
      </c>
      <c r="AD338">
        <f t="shared" si="281"/>
        <v>213.50866835188805</v>
      </c>
      <c r="AE338">
        <f t="shared" si="282"/>
        <v>-8.3173900637491804E-2</v>
      </c>
      <c r="AF338">
        <f t="shared" si="283"/>
        <v>2.68794667134E-2</v>
      </c>
      <c r="AG338">
        <f t="shared" si="298"/>
        <v>740.25216856627992</v>
      </c>
      <c r="AH338">
        <f t="shared" si="299"/>
        <v>-2327.7865212938641</v>
      </c>
      <c r="AJ338">
        <f t="shared" si="284"/>
        <v>21000</v>
      </c>
      <c r="AK338">
        <f t="shared" si="285"/>
        <v>4180.3414101666003</v>
      </c>
      <c r="AL338">
        <v>1</v>
      </c>
      <c r="AM338">
        <f t="shared" si="286"/>
        <v>82.006136482674606</v>
      </c>
      <c r="AN338">
        <f t="shared" si="300"/>
        <v>54.090588896912145</v>
      </c>
      <c r="AO338">
        <f t="shared" si="301"/>
        <v>-255.41880534182121</v>
      </c>
      <c r="AQ338">
        <f t="shared" si="287"/>
        <v>6.5036378098089166E-3</v>
      </c>
      <c r="AR338">
        <f t="shared" si="288"/>
        <v>-8.0645108841630559</v>
      </c>
      <c r="AT338">
        <f t="shared" si="261"/>
        <v>-18767.645404990144</v>
      </c>
      <c r="AU338">
        <f t="shared" si="262"/>
        <v>-5984.9107508611196</v>
      </c>
      <c r="AV338">
        <f t="shared" si="302"/>
        <v>-2.8328922693824929</v>
      </c>
      <c r="AW338">
        <f t="shared" si="303"/>
        <v>-1634.813043723216</v>
      </c>
      <c r="AX338">
        <f t="shared" si="304"/>
        <v>-3231.0710664653607</v>
      </c>
      <c r="AY338">
        <f t="shared" si="312"/>
        <v>-2.0392055688727728</v>
      </c>
      <c r="BA338">
        <f t="shared" si="289"/>
        <v>5.4399968187727348</v>
      </c>
      <c r="BB338">
        <f t="shared" si="305"/>
        <v>14.711972914589147</v>
      </c>
      <c r="BC338">
        <f t="shared" si="306"/>
        <v>-0.79368670050972012</v>
      </c>
      <c r="BD338">
        <f t="shared" si="290"/>
        <v>-225.47489824683339</v>
      </c>
      <c r="BF338">
        <f t="shared" si="291"/>
        <v>-35.861821918193741</v>
      </c>
      <c r="BG338">
        <f t="shared" si="292"/>
        <v>-214.20427247646546</v>
      </c>
      <c r="BH338">
        <f t="shared" si="307"/>
        <v>-34.204272476465462</v>
      </c>
      <c r="BI338">
        <f t="shared" si="308"/>
        <v>-34.204272476465462</v>
      </c>
      <c r="BJ338">
        <f t="shared" si="293"/>
        <v>0</v>
      </c>
      <c r="BK338">
        <f t="shared" si="309"/>
        <v>0</v>
      </c>
      <c r="BM338">
        <f t="shared" si="310"/>
        <v>-50.573794832782887</v>
      </c>
      <c r="BN338">
        <f t="shared" si="294"/>
        <v>-168.7293742296321</v>
      </c>
      <c r="BQ338" s="66">
        <f t="shared" si="311"/>
        <v>31.613933714874282</v>
      </c>
      <c r="BR338" s="71"/>
      <c r="BS338" s="71"/>
      <c r="BT338" s="71">
        <v>190546.07199999999</v>
      </c>
      <c r="BU338" s="71">
        <v>12.182600000000001</v>
      </c>
      <c r="BV338" s="71">
        <v>-145.40799999999999</v>
      </c>
      <c r="BY338" s="71"/>
      <c r="BZ338" s="71"/>
      <c r="CA338" s="71"/>
      <c r="CC338" s="71"/>
    </row>
    <row r="339" spans="1:81" ht="13" x14ac:dyDescent="0.3">
      <c r="A339">
        <f t="shared" si="263"/>
        <v>625000</v>
      </c>
      <c r="B339">
        <f t="shared" si="295"/>
        <v>625</v>
      </c>
      <c r="C339">
        <f t="shared" si="264"/>
        <v>1.0190942753757615</v>
      </c>
      <c r="D339">
        <f t="shared" si="265"/>
        <v>0.19388305137285114</v>
      </c>
      <c r="F339">
        <f t="shared" si="266"/>
        <v>1.9061417386889538E-4</v>
      </c>
      <c r="G339">
        <f t="shared" si="267"/>
        <v>4.3046820126660971E-3</v>
      </c>
      <c r="H339">
        <f t="shared" si="268"/>
        <v>-3.137287967987334</v>
      </c>
      <c r="J339">
        <f t="shared" si="269"/>
        <v>15</v>
      </c>
      <c r="M339">
        <f t="shared" si="270"/>
        <v>1.7574044805935831E-3</v>
      </c>
      <c r="N339">
        <f t="shared" si="271"/>
        <v>-1.5707963250000001</v>
      </c>
      <c r="O339">
        <f t="shared" si="272"/>
        <v>215.23283552965449</v>
      </c>
      <c r="P339">
        <f t="shared" si="273"/>
        <v>1.5661501788438648</v>
      </c>
      <c r="Q339">
        <f t="shared" si="274"/>
        <v>82.673524399633649</v>
      </c>
      <c r="R339">
        <f t="shared" si="275"/>
        <v>1.5587002610534224</v>
      </c>
      <c r="S339">
        <f t="shared" si="276"/>
        <v>0.98045429004410367</v>
      </c>
      <c r="T339">
        <f t="shared" si="277"/>
        <v>-0.19803896783906305</v>
      </c>
      <c r="U339">
        <f t="shared" si="278"/>
        <v>0.30528232067289407</v>
      </c>
      <c r="V339">
        <f t="shared" si="279"/>
        <v>-1.2605614378294601</v>
      </c>
      <c r="X339">
        <f t="shared" si="296"/>
        <v>-31.285269469968298</v>
      </c>
      <c r="Y339">
        <f t="shared" si="280"/>
        <v>-163.17558462884404</v>
      </c>
      <c r="Z339">
        <f t="shared" si="297"/>
        <v>16.824415371155965</v>
      </c>
      <c r="AC339">
        <v>1</v>
      </c>
      <c r="AD339">
        <f t="shared" si="281"/>
        <v>215.23051245150003</v>
      </c>
      <c r="AE339">
        <f t="shared" si="282"/>
        <v>-8.4520824496670754E-2</v>
      </c>
      <c r="AF339">
        <f t="shared" si="283"/>
        <v>2.7096236606249997E-2</v>
      </c>
      <c r="AG339">
        <f t="shared" si="298"/>
        <v>729.55492667939825</v>
      </c>
      <c r="AH339">
        <f t="shared" si="299"/>
        <v>-2312.5936206246888</v>
      </c>
      <c r="AJ339">
        <f t="shared" si="284"/>
        <v>21000</v>
      </c>
      <c r="AK339">
        <f t="shared" si="285"/>
        <v>4214.05384089375</v>
      </c>
      <c r="AL339">
        <v>1</v>
      </c>
      <c r="AM339">
        <f t="shared" si="286"/>
        <v>82.667476293018751</v>
      </c>
      <c r="AN339">
        <f t="shared" si="300"/>
        <v>54.04096140886724</v>
      </c>
      <c r="AO339">
        <f t="shared" si="301"/>
        <v>-253.3760552257238</v>
      </c>
      <c r="AQ339">
        <f t="shared" si="287"/>
        <v>6.3999959040026214E-3</v>
      </c>
      <c r="AR339">
        <f t="shared" si="288"/>
        <v>-7.9999948800032765</v>
      </c>
      <c r="AT339">
        <f t="shared" si="261"/>
        <v>-18496.067975983256</v>
      </c>
      <c r="AU339">
        <f t="shared" si="262"/>
        <v>-5851.2362678159725</v>
      </c>
      <c r="AV339">
        <f t="shared" si="302"/>
        <v>-2.8352039127460547</v>
      </c>
      <c r="AW339">
        <f t="shared" si="303"/>
        <v>-1607.4187273651057</v>
      </c>
      <c r="AX339">
        <f t="shared" si="304"/>
        <v>-3206.4697174801481</v>
      </c>
      <c r="AY339">
        <f t="shared" si="312"/>
        <v>-2.0354872475836072</v>
      </c>
      <c r="BA339">
        <f t="shared" si="289"/>
        <v>5.4085650405729337</v>
      </c>
      <c r="BB339">
        <f t="shared" si="305"/>
        <v>14.661641133464851</v>
      </c>
      <c r="BC339">
        <f t="shared" si="306"/>
        <v>-0.79971666516244744</v>
      </c>
      <c r="BD339">
        <f t="shared" si="290"/>
        <v>-225.8203897724425</v>
      </c>
      <c r="BF339">
        <f t="shared" si="291"/>
        <v>-36.049142621649203</v>
      </c>
      <c r="BG339">
        <f t="shared" si="292"/>
        <v>-214.46506908521297</v>
      </c>
      <c r="BH339">
        <f t="shared" si="307"/>
        <v>-34.465069085212974</v>
      </c>
      <c r="BI339">
        <f t="shared" si="308"/>
        <v>-34.465069085212974</v>
      </c>
      <c r="BJ339">
        <f t="shared" si="293"/>
        <v>0</v>
      </c>
      <c r="BK339">
        <f t="shared" si="309"/>
        <v>0</v>
      </c>
      <c r="BM339">
        <f t="shared" si="310"/>
        <v>-50.710783755114058</v>
      </c>
      <c r="BN339">
        <f t="shared" si="294"/>
        <v>-168.64467931277051</v>
      </c>
      <c r="BQ339" s="66">
        <f t="shared" si="311"/>
        <v>31.56360193374999</v>
      </c>
      <c r="BR339" s="71"/>
      <c r="BS339" s="71"/>
      <c r="BT339" s="71">
        <v>194984.46</v>
      </c>
      <c r="BU339" s="71">
        <v>12.458399999999999</v>
      </c>
      <c r="BV339" s="71">
        <v>-146.886</v>
      </c>
      <c r="BY339" s="71"/>
      <c r="BZ339" s="71"/>
      <c r="CA339" s="71"/>
      <c r="CC339" s="71"/>
    </row>
    <row r="340" spans="1:81" ht="13" x14ac:dyDescent="0.3">
      <c r="A340">
        <f t="shared" si="263"/>
        <v>630000</v>
      </c>
      <c r="B340">
        <f t="shared" si="295"/>
        <v>630</v>
      </c>
      <c r="C340">
        <f t="shared" si="264"/>
        <v>1.0193980869995791</v>
      </c>
      <c r="D340">
        <f t="shared" si="265"/>
        <v>0.19539508644802922</v>
      </c>
      <c r="F340">
        <f t="shared" si="266"/>
        <v>1.8760001553950841E-4</v>
      </c>
      <c r="G340">
        <f t="shared" si="267"/>
        <v>4.270505301286801E-3</v>
      </c>
      <c r="H340">
        <f t="shared" si="268"/>
        <v>-3.1373221446987136</v>
      </c>
      <c r="J340">
        <f t="shared" si="269"/>
        <v>15</v>
      </c>
      <c r="M340">
        <f t="shared" si="270"/>
        <v>1.7434568259856976E-3</v>
      </c>
      <c r="N340">
        <f t="shared" si="271"/>
        <v>-1.5707963250000001</v>
      </c>
      <c r="O340">
        <f t="shared" si="272"/>
        <v>216.95466119233492</v>
      </c>
      <c r="P340">
        <f t="shared" si="273"/>
        <v>1.566187052509594</v>
      </c>
      <c r="Q340">
        <f t="shared" si="274"/>
        <v>83.334816212601524</v>
      </c>
      <c r="R340">
        <f t="shared" si="275"/>
        <v>1.5587962523224232</v>
      </c>
      <c r="S340">
        <f t="shared" si="276"/>
        <v>0.98014959538658986</v>
      </c>
      <c r="T340">
        <f t="shared" si="277"/>
        <v>-0.1995817004528424</v>
      </c>
      <c r="U340">
        <f t="shared" si="278"/>
        <v>0.3030828163880272</v>
      </c>
      <c r="V340">
        <f t="shared" si="279"/>
        <v>-1.2628703536023138</v>
      </c>
      <c r="X340">
        <f t="shared" si="296"/>
        <v>-31.417434260739157</v>
      </c>
      <c r="Y340">
        <f t="shared" si="280"/>
        <v>-163.30398017874413</v>
      </c>
      <c r="Z340">
        <f t="shared" si="297"/>
        <v>16.696019821255874</v>
      </c>
      <c r="AC340">
        <v>1</v>
      </c>
      <c r="AD340">
        <f t="shared" si="281"/>
        <v>216.95235655111202</v>
      </c>
      <c r="AE340">
        <f t="shared" si="282"/>
        <v>-8.5878567021385258E-2</v>
      </c>
      <c r="AF340">
        <f t="shared" si="283"/>
        <v>2.7313006499100002E-2</v>
      </c>
      <c r="AG340">
        <f t="shared" si="298"/>
        <v>719.0801730602094</v>
      </c>
      <c r="AH340">
        <f t="shared" si="299"/>
        <v>-2297.5711164557556</v>
      </c>
      <c r="AJ340">
        <f t="shared" si="284"/>
        <v>21000</v>
      </c>
      <c r="AK340">
        <f t="shared" si="285"/>
        <v>4247.7662716209006</v>
      </c>
      <c r="AL340">
        <v>1</v>
      </c>
      <c r="AM340">
        <f t="shared" si="286"/>
        <v>83.328816103362911</v>
      </c>
      <c r="AN340">
        <f t="shared" si="300"/>
        <v>53.992510605619771</v>
      </c>
      <c r="AO340">
        <f t="shared" si="301"/>
        <v>-251.36571559366078</v>
      </c>
      <c r="AQ340">
        <f t="shared" si="287"/>
        <v>6.2988118551197689E-3</v>
      </c>
      <c r="AR340">
        <f t="shared" si="288"/>
        <v>-7.9365029374509088</v>
      </c>
      <c r="AT340">
        <f t="shared" si="261"/>
        <v>-18230.150564034615</v>
      </c>
      <c r="AU340">
        <f t="shared" si="262"/>
        <v>-5721.453873941372</v>
      </c>
      <c r="AV340">
        <f t="shared" si="302"/>
        <v>-2.8374823040554973</v>
      </c>
      <c r="AW340">
        <f t="shared" si="303"/>
        <v>-1580.6890771484741</v>
      </c>
      <c r="AX340">
        <f t="shared" si="304"/>
        <v>-3182.2343465158833</v>
      </c>
      <c r="AY340">
        <f t="shared" si="312"/>
        <v>-2.0318189225590064</v>
      </c>
      <c r="BA340">
        <f t="shared" si="289"/>
        <v>5.3773844852475721</v>
      </c>
      <c r="BB340">
        <f t="shared" si="305"/>
        <v>14.611421796500494</v>
      </c>
      <c r="BC340">
        <f t="shared" si="306"/>
        <v>-0.80566338149649086</v>
      </c>
      <c r="BD340">
        <f t="shared" si="290"/>
        <v>-226.16111152073404</v>
      </c>
      <c r="BF340">
        <f t="shared" si="291"/>
        <v>-36.235219336899085</v>
      </c>
      <c r="BG340">
        <f t="shared" si="292"/>
        <v>-214.72111578644402</v>
      </c>
      <c r="BH340">
        <f t="shared" si="307"/>
        <v>-34.721115786444017</v>
      </c>
      <c r="BI340">
        <f t="shared" si="308"/>
        <v>-34.721115786444017</v>
      </c>
      <c r="BJ340">
        <f t="shared" si="293"/>
        <v>0</v>
      </c>
      <c r="BK340">
        <f t="shared" si="309"/>
        <v>0</v>
      </c>
      <c r="BM340">
        <f t="shared" si="310"/>
        <v>-50.846641133399579</v>
      </c>
      <c r="BN340">
        <f t="shared" si="294"/>
        <v>-168.56000426571001</v>
      </c>
      <c r="BQ340" s="66">
        <f t="shared" si="311"/>
        <v>31.513382596785632</v>
      </c>
      <c r="BR340" s="71"/>
      <c r="BS340" s="71"/>
      <c r="BT340" s="71">
        <v>199526.231</v>
      </c>
      <c r="BU340" s="71">
        <v>12.6511</v>
      </c>
      <c r="BV340" s="71">
        <v>-147.23699999999999</v>
      </c>
      <c r="BY340" s="71"/>
      <c r="BZ340" s="71"/>
      <c r="CA340" s="71"/>
      <c r="CC340" s="71"/>
    </row>
    <row r="341" spans="1:81" ht="13" x14ac:dyDescent="0.3">
      <c r="A341">
        <f t="shared" si="263"/>
        <v>635000</v>
      </c>
      <c r="B341">
        <f t="shared" si="295"/>
        <v>635</v>
      </c>
      <c r="C341">
        <f t="shared" si="264"/>
        <v>1.0197042278304742</v>
      </c>
      <c r="D341">
        <f t="shared" si="265"/>
        <v>0.19690621707446349</v>
      </c>
      <c r="F341">
        <f t="shared" si="266"/>
        <v>1.8465679394716743E-4</v>
      </c>
      <c r="G341">
        <f t="shared" si="267"/>
        <v>4.2368670992961139E-3</v>
      </c>
      <c r="H341">
        <f t="shared" si="268"/>
        <v>-3.1373557829007042</v>
      </c>
      <c r="J341">
        <f t="shared" si="269"/>
        <v>15</v>
      </c>
      <c r="M341">
        <f t="shared" si="270"/>
        <v>1.729728819481873E-3</v>
      </c>
      <c r="N341">
        <f t="shared" si="271"/>
        <v>-1.5707963250000001</v>
      </c>
      <c r="O341">
        <f t="shared" si="272"/>
        <v>218.67648714535613</v>
      </c>
      <c r="P341">
        <f t="shared" si="273"/>
        <v>1.5662233454999144</v>
      </c>
      <c r="Q341">
        <f t="shared" si="274"/>
        <v>83.996108781352604</v>
      </c>
      <c r="R341">
        <f t="shared" si="275"/>
        <v>1.558890732133865</v>
      </c>
      <c r="S341">
        <f t="shared" si="276"/>
        <v>0.9798427601765477</v>
      </c>
      <c r="T341">
        <f t="shared" si="277"/>
        <v>-0.20112347083122908</v>
      </c>
      <c r="U341">
        <f t="shared" si="278"/>
        <v>0.30091320952354383</v>
      </c>
      <c r="V341">
        <f t="shared" si="279"/>
        <v>-1.2651462247914937</v>
      </c>
      <c r="X341">
        <f t="shared" si="296"/>
        <v>-31.548646233656857</v>
      </c>
      <c r="Y341">
        <f t="shared" si="280"/>
        <v>-163.43056811860478</v>
      </c>
      <c r="Z341">
        <f t="shared" si="297"/>
        <v>16.569431881395218</v>
      </c>
      <c r="AC341">
        <v>1</v>
      </c>
      <c r="AD341">
        <f t="shared" si="281"/>
        <v>218.67420065072403</v>
      </c>
      <c r="AE341">
        <f t="shared" si="282"/>
        <v>-8.7247128211635355E-2</v>
      </c>
      <c r="AF341">
        <f t="shared" si="283"/>
        <v>2.7529776391950003E-2</v>
      </c>
      <c r="AG341">
        <f t="shared" si="298"/>
        <v>708.82200492280401</v>
      </c>
      <c r="AH341">
        <f t="shared" si="299"/>
        <v>-2282.7168462256082</v>
      </c>
      <c r="AJ341">
        <f t="shared" si="284"/>
        <v>21000</v>
      </c>
      <c r="AK341">
        <f t="shared" si="285"/>
        <v>4281.4787023480503</v>
      </c>
      <c r="AL341">
        <v>1</v>
      </c>
      <c r="AM341">
        <f t="shared" si="286"/>
        <v>83.990155913707056</v>
      </c>
      <c r="AN341">
        <f t="shared" si="300"/>
        <v>53.945199581319919</v>
      </c>
      <c r="AO341">
        <f t="shared" si="301"/>
        <v>-249.38702128305394</v>
      </c>
      <c r="AQ341">
        <f t="shared" si="287"/>
        <v>6.2000085560118077E-3</v>
      </c>
      <c r="AR341">
        <f t="shared" si="288"/>
        <v>-7.874010866134995</v>
      </c>
      <c r="AT341">
        <f t="shared" si="261"/>
        <v>-17969.742548994636</v>
      </c>
      <c r="AU341">
        <f t="shared" si="262"/>
        <v>-5595.4250328953021</v>
      </c>
      <c r="AV341">
        <f t="shared" si="302"/>
        <v>-2.8397281314692995</v>
      </c>
      <c r="AW341">
        <f t="shared" si="303"/>
        <v>-1554.6027237124952</v>
      </c>
      <c r="AX341">
        <f t="shared" si="304"/>
        <v>-3158.3569063767509</v>
      </c>
      <c r="AY341">
        <f t="shared" si="312"/>
        <v>-2.0281996410964185</v>
      </c>
      <c r="BA341">
        <f t="shared" si="289"/>
        <v>5.3464555432531142</v>
      </c>
      <c r="BB341">
        <f t="shared" si="305"/>
        <v>14.561319198744858</v>
      </c>
      <c r="BC341">
        <f t="shared" si="306"/>
        <v>-0.811528490372881</v>
      </c>
      <c r="BD341">
        <f t="shared" si="290"/>
        <v>-226.49715750611989</v>
      </c>
      <c r="BF341">
        <f t="shared" si="291"/>
        <v>-36.420065401719505</v>
      </c>
      <c r="BG341">
        <f t="shared" si="292"/>
        <v>-214.97250769154996</v>
      </c>
      <c r="BH341">
        <f t="shared" si="307"/>
        <v>-34.972507691549964</v>
      </c>
      <c r="BI341">
        <f t="shared" si="308"/>
        <v>-34.972507691549964</v>
      </c>
      <c r="BJ341">
        <f t="shared" si="293"/>
        <v>0</v>
      </c>
      <c r="BK341">
        <f t="shared" si="309"/>
        <v>0</v>
      </c>
      <c r="BM341">
        <f t="shared" si="310"/>
        <v>-50.981384600464359</v>
      </c>
      <c r="BN341">
        <f t="shared" si="294"/>
        <v>-168.47535018543007</v>
      </c>
      <c r="BQ341" s="66">
        <f t="shared" si="311"/>
        <v>31.463279999029993</v>
      </c>
      <c r="BR341" s="71"/>
      <c r="BS341" s="71"/>
      <c r="BT341" s="71">
        <v>204173.79399999999</v>
      </c>
      <c r="BU341" s="71">
        <v>12.903600000000001</v>
      </c>
      <c r="BV341" s="71">
        <v>-148.923</v>
      </c>
      <c r="BY341" s="71"/>
      <c r="BZ341" s="71"/>
      <c r="CA341" s="71"/>
      <c r="CC341" s="71"/>
    </row>
    <row r="342" spans="1:81" ht="13" x14ac:dyDescent="0.3">
      <c r="A342">
        <f t="shared" si="263"/>
        <v>640000</v>
      </c>
      <c r="B342">
        <f t="shared" si="295"/>
        <v>640</v>
      </c>
      <c r="C342">
        <f t="shared" si="264"/>
        <v>1.0200126957712219</v>
      </c>
      <c r="D342">
        <f t="shared" si="265"/>
        <v>0.1984164371682659</v>
      </c>
      <c r="F342">
        <f t="shared" si="266"/>
        <v>1.817823003534497E-4</v>
      </c>
      <c r="G342">
        <f t="shared" si="267"/>
        <v>4.2037547763142443E-3</v>
      </c>
      <c r="H342">
        <f t="shared" si="268"/>
        <v>-3.1373888952236859</v>
      </c>
      <c r="J342">
        <f t="shared" si="269"/>
        <v>15</v>
      </c>
      <c r="M342">
        <f t="shared" si="270"/>
        <v>1.716215313079671E-3</v>
      </c>
      <c r="N342">
        <f t="shared" si="271"/>
        <v>-1.5707963250000001</v>
      </c>
      <c r="O342">
        <f t="shared" si="272"/>
        <v>220.39831338191343</v>
      </c>
      <c r="P342">
        <f t="shared" si="273"/>
        <v>1.5662590714240272</v>
      </c>
      <c r="Q342">
        <f t="shared" si="274"/>
        <v>84.657402088175743</v>
      </c>
      <c r="R342">
        <f t="shared" si="275"/>
        <v>1.5589837359058651</v>
      </c>
      <c r="S342">
        <f t="shared" si="276"/>
        <v>0.97953379079774605</v>
      </c>
      <c r="T342">
        <f t="shared" si="277"/>
        <v>-0.20266427255133138</v>
      </c>
      <c r="U342">
        <f t="shared" si="278"/>
        <v>0.29877292930416766</v>
      </c>
      <c r="V342">
        <f t="shared" si="279"/>
        <v>-1.2673897326664638</v>
      </c>
      <c r="X342">
        <f t="shared" si="296"/>
        <v>-31.678918497232146</v>
      </c>
      <c r="Y342">
        <f t="shared" si="280"/>
        <v>-163.55538537747663</v>
      </c>
      <c r="Z342">
        <f t="shared" si="297"/>
        <v>16.444614622523375</v>
      </c>
      <c r="AC342">
        <v>1</v>
      </c>
      <c r="AD342">
        <f t="shared" si="281"/>
        <v>220.39604475033602</v>
      </c>
      <c r="AE342">
        <f t="shared" si="282"/>
        <v>-8.8626508067421034E-2</v>
      </c>
      <c r="AF342">
        <f t="shared" si="283"/>
        <v>2.77465462848E-2</v>
      </c>
      <c r="AG342">
        <f t="shared" si="298"/>
        <v>698.77470575178631</v>
      </c>
      <c r="AH342">
        <f t="shared" si="299"/>
        <v>-2268.0286566366099</v>
      </c>
      <c r="AJ342">
        <f t="shared" si="284"/>
        <v>21000</v>
      </c>
      <c r="AK342">
        <f t="shared" si="285"/>
        <v>4315.1911330752</v>
      </c>
      <c r="AL342">
        <v>1</v>
      </c>
      <c r="AM342">
        <f t="shared" si="286"/>
        <v>84.651495724051202</v>
      </c>
      <c r="AN342">
        <f t="shared" si="300"/>
        <v>53.898992865693231</v>
      </c>
      <c r="AO342">
        <f t="shared" si="301"/>
        <v>-247.43923102569701</v>
      </c>
      <c r="AQ342">
        <f t="shared" si="287"/>
        <v>6.1035118997119749E-3</v>
      </c>
      <c r="AR342">
        <f t="shared" si="288"/>
        <v>-7.8124952316313285</v>
      </c>
      <c r="AT342">
        <f t="shared" ref="AT342:AT405" si="313">-AR342*AH342+AG342*AQ342</f>
        <v>-17714.698085444947</v>
      </c>
      <c r="AU342">
        <f t="shared" ref="AU342:AU405" si="314">AQ342*AH342+AG342*AR342</f>
        <v>-5473.0169965650848</v>
      </c>
      <c r="AV342">
        <f t="shared" si="302"/>
        <v>-2.8419420649911755</v>
      </c>
      <c r="AW342">
        <f t="shared" si="303"/>
        <v>-1529.1391499865395</v>
      </c>
      <c r="AX342">
        <f t="shared" si="304"/>
        <v>-3134.8295848627367</v>
      </c>
      <c r="AY342">
        <f t="shared" si="312"/>
        <v>-2.0246284714980498</v>
      </c>
      <c r="BA342">
        <f t="shared" si="289"/>
        <v>5.3157784080164596</v>
      </c>
      <c r="BB342">
        <f t="shared" si="305"/>
        <v>14.511337375506084</v>
      </c>
      <c r="BC342">
        <f t="shared" si="306"/>
        <v>-0.81731359349312571</v>
      </c>
      <c r="BD342">
        <f t="shared" si="290"/>
        <v>-226.82861949933664</v>
      </c>
      <c r="BF342">
        <f t="shared" si="291"/>
        <v>-36.603693999467183</v>
      </c>
      <c r="BG342">
        <f t="shared" si="292"/>
        <v>-215.21933764351598</v>
      </c>
      <c r="BH342">
        <f t="shared" si="307"/>
        <v>-35.219337643515985</v>
      </c>
      <c r="BI342">
        <f t="shared" si="308"/>
        <v>-35.219337643515985</v>
      </c>
      <c r="BJ342">
        <f t="shared" si="293"/>
        <v>0</v>
      </c>
      <c r="BK342">
        <f t="shared" si="309"/>
        <v>0</v>
      </c>
      <c r="BM342">
        <f t="shared" si="310"/>
        <v>-51.115031374973263</v>
      </c>
      <c r="BN342">
        <f t="shared" si="294"/>
        <v>-168.39071814417937</v>
      </c>
      <c r="BQ342" s="66">
        <f t="shared" si="311"/>
        <v>31.413298175791219</v>
      </c>
      <c r="BR342" s="71"/>
      <c r="BS342" s="71"/>
      <c r="BT342" s="71">
        <v>208929.61300000001</v>
      </c>
      <c r="BU342" s="71">
        <v>13.1541</v>
      </c>
      <c r="BV342" s="71">
        <v>-149.92099999999999</v>
      </c>
      <c r="BY342" s="71"/>
      <c r="BZ342" s="71"/>
      <c r="CA342" s="71"/>
      <c r="CC342" s="71"/>
    </row>
    <row r="343" spans="1:81" ht="13" x14ac:dyDescent="0.3">
      <c r="A343">
        <f t="shared" si="263"/>
        <v>645000</v>
      </c>
      <c r="B343">
        <f t="shared" si="295"/>
        <v>645</v>
      </c>
      <c r="C343">
        <f t="shared" si="264"/>
        <v>1.0203234887112009</v>
      </c>
      <c r="D343">
        <f t="shared" si="265"/>
        <v>0.19992574066949145</v>
      </c>
      <c r="F343">
        <f t="shared" si="266"/>
        <v>1.7897441132647693E-4</v>
      </c>
      <c r="G343">
        <f t="shared" si="267"/>
        <v>4.1711560939485144E-3</v>
      </c>
      <c r="H343">
        <f t="shared" si="268"/>
        <v>-3.1374214939060519</v>
      </c>
      <c r="J343">
        <f t="shared" si="269"/>
        <v>15</v>
      </c>
      <c r="M343">
        <f t="shared" si="270"/>
        <v>1.7029113184046348E-3</v>
      </c>
      <c r="N343">
        <f t="shared" si="271"/>
        <v>-1.5707963250000001</v>
      </c>
      <c r="O343">
        <f t="shared" si="272"/>
        <v>222.12013989541302</v>
      </c>
      <c r="P343">
        <f t="shared" si="273"/>
        <v>1.5662942434691587</v>
      </c>
      <c r="Q343">
        <f t="shared" si="274"/>
        <v>85.318696115908807</v>
      </c>
      <c r="R343">
        <f t="shared" si="275"/>
        <v>1.5590752979585605</v>
      </c>
      <c r="S343">
        <f t="shared" si="276"/>
        <v>0.97922269366739934</v>
      </c>
      <c r="T343">
        <f t="shared" si="277"/>
        <v>-0.20420409921672281</v>
      </c>
      <c r="U343">
        <f t="shared" si="278"/>
        <v>0.29666141834548249</v>
      </c>
      <c r="V343">
        <f t="shared" si="279"/>
        <v>-1.2696015405616543</v>
      </c>
      <c r="X343">
        <f t="shared" si="296"/>
        <v>-31.80826390202354</v>
      </c>
      <c r="Y343">
        <f t="shared" si="280"/>
        <v>-163.67846792158085</v>
      </c>
      <c r="Z343">
        <f t="shared" si="297"/>
        <v>16.321532078419153</v>
      </c>
      <c r="AC343">
        <v>1</v>
      </c>
      <c r="AD343">
        <f t="shared" si="281"/>
        <v>222.117888849948</v>
      </c>
      <c r="AE343">
        <f t="shared" si="282"/>
        <v>-9.0016706588742265E-2</v>
      </c>
      <c r="AF343">
        <f t="shared" si="283"/>
        <v>2.7963316177650001E-2</v>
      </c>
      <c r="AG343">
        <f t="shared" si="298"/>
        <v>688.93273865445542</v>
      </c>
      <c r="AH343">
        <f t="shared" si="299"/>
        <v>-2253.504405360999</v>
      </c>
      <c r="AJ343">
        <f t="shared" si="284"/>
        <v>21000</v>
      </c>
      <c r="AK343">
        <f t="shared" si="285"/>
        <v>4348.9035638023506</v>
      </c>
      <c r="AL343">
        <v>1</v>
      </c>
      <c r="AM343">
        <f t="shared" si="286"/>
        <v>85.312835534395347</v>
      </c>
      <c r="AN343">
        <f t="shared" si="300"/>
        <v>53.85385635755155</v>
      </c>
      <c r="AO343">
        <f t="shared" si="301"/>
        <v>-245.52162652239647</v>
      </c>
      <c r="AQ343">
        <f t="shared" si="287"/>
        <v>6.0092506404358873E-3</v>
      </c>
      <c r="AR343">
        <f t="shared" si="288"/>
        <v>-7.7519333261622938</v>
      </c>
      <c r="AT343">
        <f t="shared" si="313"/>
        <v>-17464.875931070495</v>
      </c>
      <c r="AU343">
        <f t="shared" si="314"/>
        <v>-5354.1025290508724</v>
      </c>
      <c r="AV343">
        <f t="shared" si="302"/>
        <v>-2.844124757039117</v>
      </c>
      <c r="AW343">
        <f t="shared" si="303"/>
        <v>-1504.2786507544615</v>
      </c>
      <c r="AX343">
        <f t="shared" si="304"/>
        <v>-3111.6447961195386</v>
      </c>
      <c r="AY343">
        <f t="shared" si="312"/>
        <v>-2.0211045026367369</v>
      </c>
      <c r="BA343">
        <f t="shared" si="289"/>
        <v>5.2853530892299769</v>
      </c>
      <c r="BB343">
        <f t="shared" si="305"/>
        <v>14.46148011510909</v>
      </c>
      <c r="BC343">
        <f t="shared" si="306"/>
        <v>-0.82302025440238014</v>
      </c>
      <c r="BD343">
        <f t="shared" si="290"/>
        <v>-227.15558708492281</v>
      </c>
      <c r="BF343">
        <f t="shared" si="291"/>
        <v>-36.786118159230824</v>
      </c>
      <c r="BG343">
        <f t="shared" si="292"/>
        <v>-215.46169627529821</v>
      </c>
      <c r="BH343">
        <f t="shared" si="307"/>
        <v>-35.461696275298209</v>
      </c>
      <c r="BI343">
        <f t="shared" si="308"/>
        <v>-35.461696275298209</v>
      </c>
      <c r="BJ343">
        <f t="shared" si="293"/>
        <v>0</v>
      </c>
      <c r="BK343">
        <f t="shared" si="309"/>
        <v>0</v>
      </c>
      <c r="BM343">
        <f t="shared" si="310"/>
        <v>-51.247598274339914</v>
      </c>
      <c r="BN343">
        <f t="shared" si="294"/>
        <v>-168.30610919037542</v>
      </c>
      <c r="BQ343" s="66">
        <f t="shared" si="311"/>
        <v>31.363440915394229</v>
      </c>
      <c r="BR343" s="71"/>
      <c r="BS343" s="71"/>
      <c r="BT343" s="71">
        <v>213796.209</v>
      </c>
      <c r="BU343" s="71">
        <v>13.368399999999999</v>
      </c>
      <c r="BV343" s="71">
        <v>-151.101</v>
      </c>
      <c r="BY343" s="71"/>
      <c r="BZ343" s="71"/>
      <c r="CA343" s="71"/>
      <c r="CC343" s="71"/>
    </row>
    <row r="344" spans="1:81" ht="13" x14ac:dyDescent="0.3">
      <c r="A344">
        <f t="shared" si="263"/>
        <v>650000</v>
      </c>
      <c r="B344">
        <f t="shared" si="295"/>
        <v>650</v>
      </c>
      <c r="C344">
        <f t="shared" si="264"/>
        <v>1.0206366045264623</v>
      </c>
      <c r="D344">
        <f t="shared" si="265"/>
        <v>0.20143412154225265</v>
      </c>
      <c r="F344">
        <f t="shared" si="266"/>
        <v>1.7623108481733968E-4</v>
      </c>
      <c r="G344">
        <f t="shared" si="267"/>
        <v>4.1390591907010804E-3</v>
      </c>
      <c r="H344">
        <f t="shared" si="268"/>
        <v>-3.1374535908092991</v>
      </c>
      <c r="J344">
        <f t="shared" si="269"/>
        <v>15</v>
      </c>
      <c r="M344">
        <f t="shared" si="270"/>
        <v>1.6898120005707528E-3</v>
      </c>
      <c r="N344">
        <f t="shared" si="271"/>
        <v>-1.5707963250000001</v>
      </c>
      <c r="O344">
        <f t="shared" si="272"/>
        <v>223.84196667946415</v>
      </c>
      <c r="P344">
        <f t="shared" si="273"/>
        <v>1.5663288744167871</v>
      </c>
      <c r="Q344">
        <f t="shared" si="274"/>
        <v>85.979990847917719</v>
      </c>
      <c r="R344">
        <f t="shared" si="275"/>
        <v>1.5591654515563251</v>
      </c>
      <c r="S344">
        <f t="shared" si="276"/>
        <v>0.97890947523582073</v>
      </c>
      <c r="T344">
        <f t="shared" si="277"/>
        <v>-0.20574294445756516</v>
      </c>
      <c r="U344">
        <f t="shared" si="278"/>
        <v>0.29457813230428603</v>
      </c>
      <c r="V344">
        <f t="shared" si="279"/>
        <v>-1.2717822944388073</v>
      </c>
      <c r="X344">
        <f t="shared" si="296"/>
        <v>-31.936695047108948</v>
      </c>
      <c r="Y344">
        <f t="shared" si="280"/>
        <v>-163.79985078404582</v>
      </c>
      <c r="Z344">
        <f t="shared" si="297"/>
        <v>16.200149215954184</v>
      </c>
      <c r="AC344">
        <v>1</v>
      </c>
      <c r="AD344">
        <f t="shared" si="281"/>
        <v>223.83973294956002</v>
      </c>
      <c r="AE344">
        <f t="shared" si="282"/>
        <v>-9.1417723775599077E-2</v>
      </c>
      <c r="AF344">
        <f t="shared" si="283"/>
        <v>2.8180086070499998E-2</v>
      </c>
      <c r="AG344">
        <f t="shared" si="298"/>
        <v>679.29073996925945</v>
      </c>
      <c r="AH344">
        <f t="shared" si="299"/>
        <v>-2239.141962589204</v>
      </c>
      <c r="AJ344">
        <f t="shared" si="284"/>
        <v>21000</v>
      </c>
      <c r="AK344">
        <f t="shared" si="285"/>
        <v>4382.6159945295003</v>
      </c>
      <c r="AL344">
        <v>1</v>
      </c>
      <c r="AM344">
        <f t="shared" si="286"/>
        <v>85.974175344739493</v>
      </c>
      <c r="AN344">
        <f t="shared" si="300"/>
        <v>53.809757261868832</v>
      </c>
      <c r="AO344">
        <f t="shared" si="301"/>
        <v>-243.63351156028006</v>
      </c>
      <c r="AQ344">
        <f t="shared" si="287"/>
        <v>5.9171562620377151E-3</v>
      </c>
      <c r="AR344">
        <f t="shared" si="288"/>
        <v>-7.6923031406490292</v>
      </c>
      <c r="AT344">
        <f t="shared" si="313"/>
        <v>-17220.13928172821</v>
      </c>
      <c r="AU344">
        <f t="shared" si="314"/>
        <v>-5238.5596453648632</v>
      </c>
      <c r="AV344">
        <f t="shared" si="302"/>
        <v>-2.8462768429943046</v>
      </c>
      <c r="AW344">
        <f t="shared" si="303"/>
        <v>-1480.0022944356274</v>
      </c>
      <c r="AX344">
        <f t="shared" si="304"/>
        <v>-3088.7951723783453</v>
      </c>
      <c r="AY344">
        <f t="shared" si="312"/>
        <v>-2.0176268435239608</v>
      </c>
      <c r="BA344">
        <f t="shared" si="289"/>
        <v>5.2551794253786053</v>
      </c>
      <c r="BB344">
        <f t="shared" si="305"/>
        <v>14.411750971020986</v>
      </c>
      <c r="BC344">
        <f t="shared" si="306"/>
        <v>-0.82864999947034379</v>
      </c>
      <c r="BD344">
        <f t="shared" si="290"/>
        <v>-227.47814771742031</v>
      </c>
      <c r="BF344">
        <f t="shared" si="291"/>
        <v>-36.967350756115522</v>
      </c>
      <c r="BG344">
        <f t="shared" si="292"/>
        <v>-215.69967206688307</v>
      </c>
      <c r="BH344">
        <f t="shared" si="307"/>
        <v>-35.699672066883068</v>
      </c>
      <c r="BI344">
        <f t="shared" si="308"/>
        <v>-35.699672066883068</v>
      </c>
      <c r="BJ344">
        <f t="shared" si="293"/>
        <v>0</v>
      </c>
      <c r="BK344">
        <f t="shared" si="309"/>
        <v>0</v>
      </c>
      <c r="BM344">
        <f t="shared" si="310"/>
        <v>-51.379101727136515</v>
      </c>
      <c r="BN344">
        <f t="shared" si="294"/>
        <v>-168.22152434946281</v>
      </c>
      <c r="BQ344" s="66">
        <f t="shared" si="311"/>
        <v>31.313711771306124</v>
      </c>
      <c r="BR344" s="71"/>
      <c r="BS344" s="71"/>
      <c r="BT344" s="71">
        <v>218776.16200000001</v>
      </c>
      <c r="BU344" s="71">
        <v>13.6015</v>
      </c>
      <c r="BV344" s="71">
        <v>-153.08699999999999</v>
      </c>
      <c r="BY344" s="71"/>
      <c r="BZ344" s="71"/>
      <c r="CA344" s="71"/>
      <c r="CC344" s="71"/>
    </row>
    <row r="345" spans="1:81" ht="13" x14ac:dyDescent="0.3">
      <c r="A345">
        <f t="shared" si="263"/>
        <v>655000</v>
      </c>
      <c r="B345">
        <f t="shared" si="295"/>
        <v>655</v>
      </c>
      <c r="C345">
        <f t="shared" si="264"/>
        <v>1.0209520410797981</v>
      </c>
      <c r="D345">
        <f t="shared" si="265"/>
        <v>0.20294157377483235</v>
      </c>
      <c r="F345">
        <f t="shared" si="266"/>
        <v>1.7355035644546775E-4</v>
      </c>
      <c r="G345">
        <f t="shared" si="267"/>
        <v>4.1074525675687352E-3</v>
      </c>
      <c r="H345">
        <f t="shared" si="268"/>
        <v>-3.1374851974324316</v>
      </c>
      <c r="J345">
        <f t="shared" si="269"/>
        <v>15</v>
      </c>
      <c r="M345">
        <f t="shared" si="270"/>
        <v>1.6769126723221214E-3</v>
      </c>
      <c r="N345">
        <f t="shared" si="271"/>
        <v>-1.5707963250000001</v>
      </c>
      <c r="O345">
        <f t="shared" si="272"/>
        <v>225.56379372787106</v>
      </c>
      <c r="P345">
        <f t="shared" si="273"/>
        <v>1.56636297665813</v>
      </c>
      <c r="Q345">
        <f t="shared" si="274"/>
        <v>86.641286268076215</v>
      </c>
      <c r="R345">
        <f t="shared" si="275"/>
        <v>1.5592542289480567</v>
      </c>
      <c r="S345">
        <f t="shared" si="276"/>
        <v>0.97859414198607142</v>
      </c>
      <c r="T345">
        <f t="shared" si="277"/>
        <v>-0.2072808019307297</v>
      </c>
      <c r="U345">
        <f t="shared" si="278"/>
        <v>0.29252253953783464</v>
      </c>
      <c r="V345">
        <f t="shared" si="279"/>
        <v>-1.2739326234293431</v>
      </c>
      <c r="X345">
        <f t="shared" si="296"/>
        <v>-32.064224286361984</v>
      </c>
      <c r="Y345">
        <f t="shared" si="280"/>
        <v>-163.91956809361238</v>
      </c>
      <c r="Z345">
        <f t="shared" si="297"/>
        <v>16.080431906387616</v>
      </c>
      <c r="AC345">
        <v>1</v>
      </c>
      <c r="AD345">
        <f t="shared" si="281"/>
        <v>225.561577049172</v>
      </c>
      <c r="AE345">
        <f t="shared" si="282"/>
        <v>-9.282955962799147E-2</v>
      </c>
      <c r="AF345">
        <f t="shared" si="283"/>
        <v>2.8396855963350003E-2</v>
      </c>
      <c r="AG345">
        <f t="shared" si="298"/>
        <v>669.84351312045806</v>
      </c>
      <c r="AH345">
        <f t="shared" si="299"/>
        <v>-2224.9392124319279</v>
      </c>
      <c r="AJ345">
        <f t="shared" si="284"/>
        <v>21000</v>
      </c>
      <c r="AK345">
        <f t="shared" si="285"/>
        <v>4416.32842525665</v>
      </c>
      <c r="AL345">
        <v>1</v>
      </c>
      <c r="AM345">
        <f t="shared" si="286"/>
        <v>86.635515155083652</v>
      </c>
      <c r="AN345">
        <f t="shared" si="300"/>
        <v>53.766664030205327</v>
      </c>
      <c r="AO345">
        <f t="shared" si="301"/>
        <v>-241.77421117049474</v>
      </c>
      <c r="AQ345">
        <f t="shared" si="287"/>
        <v>5.8271628534684143E-3</v>
      </c>
      <c r="AR345">
        <f t="shared" si="288"/>
        <v>-7.6335833380436231</v>
      </c>
      <c r="AT345">
        <f t="shared" si="313"/>
        <v>-16980.355612942974</v>
      </c>
      <c r="AU345">
        <f t="shared" si="314"/>
        <v>-5126.2713639828426</v>
      </c>
      <c r="AV345">
        <f t="shared" si="302"/>
        <v>-2.8483989417306543</v>
      </c>
      <c r="AW345">
        <f t="shared" si="303"/>
        <v>-1456.291886945188</v>
      </c>
      <c r="AX345">
        <f t="shared" si="304"/>
        <v>-3066.2735560643991</v>
      </c>
      <c r="AY345">
        <f t="shared" si="312"/>
        <v>-2.0141946228807779</v>
      </c>
      <c r="BA345">
        <f t="shared" si="289"/>
        <v>5.2252570955414201</v>
      </c>
      <c r="BB345">
        <f t="shared" si="305"/>
        <v>14.362153273376897</v>
      </c>
      <c r="BC345">
        <f t="shared" si="306"/>
        <v>-0.83420431884987645</v>
      </c>
      <c r="BD345">
        <f t="shared" si="290"/>
        <v>-227.79638677629887</v>
      </c>
      <c r="BF345">
        <f t="shared" si="291"/>
        <v>-37.147404511650656</v>
      </c>
      <c r="BG345">
        <f t="shared" si="292"/>
        <v>-215.93335140103079</v>
      </c>
      <c r="BH345">
        <f t="shared" si="307"/>
        <v>-35.933351401030791</v>
      </c>
      <c r="BI345">
        <f t="shared" si="308"/>
        <v>-35.933351401030791</v>
      </c>
      <c r="BJ345">
        <f t="shared" si="293"/>
        <v>0</v>
      </c>
      <c r="BK345">
        <f t="shared" si="309"/>
        <v>0</v>
      </c>
      <c r="BM345">
        <f t="shared" si="310"/>
        <v>-51.509557785027553</v>
      </c>
      <c r="BN345">
        <f t="shared" si="294"/>
        <v>-168.13696462473189</v>
      </c>
      <c r="BQ345" s="66">
        <f t="shared" si="311"/>
        <v>31.264114073662036</v>
      </c>
      <c r="BR345" s="71"/>
      <c r="BS345" s="71"/>
      <c r="BT345" s="71">
        <v>223872.114</v>
      </c>
      <c r="BU345" s="71">
        <v>13.8704</v>
      </c>
      <c r="BV345" s="71">
        <v>-154.70699999999999</v>
      </c>
      <c r="BY345" s="71"/>
      <c r="BZ345" s="71"/>
      <c r="CA345" s="71"/>
      <c r="CC345" s="71"/>
    </row>
    <row r="346" spans="1:81" ht="13" x14ac:dyDescent="0.3">
      <c r="A346">
        <f t="shared" si="263"/>
        <v>660000</v>
      </c>
      <c r="B346">
        <f t="shared" si="295"/>
        <v>660</v>
      </c>
      <c r="C346">
        <f t="shared" si="264"/>
        <v>1.0212697962208097</v>
      </c>
      <c r="D346">
        <f t="shared" si="265"/>
        <v>0.20444809137979539</v>
      </c>
      <c r="F346">
        <f t="shared" si="266"/>
        <v>1.7093033598032493E-4</v>
      </c>
      <c r="G346">
        <f t="shared" si="267"/>
        <v>4.076325074298043E-3</v>
      </c>
      <c r="H346">
        <f t="shared" si="268"/>
        <v>-3.1375163249257021</v>
      </c>
      <c r="J346">
        <f t="shared" si="269"/>
        <v>15</v>
      </c>
      <c r="M346">
        <f t="shared" si="270"/>
        <v>1.6642087884408932E-3</v>
      </c>
      <c r="N346">
        <f t="shared" si="271"/>
        <v>-1.5707963250000001</v>
      </c>
      <c r="O346">
        <f t="shared" si="272"/>
        <v>227.28562103462576</v>
      </c>
      <c r="P346">
        <f t="shared" si="273"/>
        <v>1.5663965622089251</v>
      </c>
      <c r="Q346">
        <f t="shared" si="274"/>
        <v>87.30258236074657</v>
      </c>
      <c r="R346">
        <f t="shared" si="275"/>
        <v>1.5593416614056295</v>
      </c>
      <c r="S346">
        <f t="shared" si="276"/>
        <v>0.97827670043361104</v>
      </c>
      <c r="T346">
        <f t="shared" si="277"/>
        <v>-0.20881766531991669</v>
      </c>
      <c r="U346">
        <f t="shared" si="278"/>
        <v>0.29049412077184145</v>
      </c>
      <c r="V346">
        <f t="shared" si="279"/>
        <v>-1.2760531403575144</v>
      </c>
      <c r="X346">
        <f t="shared" si="296"/>
        <v>-32.190863734539889</v>
      </c>
      <c r="Y346">
        <f t="shared" si="280"/>
        <v>-164.03765310234633</v>
      </c>
      <c r="Z346">
        <f t="shared" si="297"/>
        <v>15.962346897653674</v>
      </c>
      <c r="AC346">
        <v>1</v>
      </c>
      <c r="AD346">
        <f t="shared" si="281"/>
        <v>227.28342114878402</v>
      </c>
      <c r="AE346">
        <f t="shared" si="282"/>
        <v>-9.425221414591943E-2</v>
      </c>
      <c r="AF346">
        <f t="shared" si="283"/>
        <v>2.86136258562E-2</v>
      </c>
      <c r="AG346">
        <f t="shared" si="298"/>
        <v>660.58602270927349</v>
      </c>
      <c r="AH346">
        <f t="shared" si="299"/>
        <v>-2210.8940541867082</v>
      </c>
      <c r="AJ346">
        <f t="shared" si="284"/>
        <v>21000</v>
      </c>
      <c r="AK346">
        <f t="shared" si="285"/>
        <v>4450.0408559838006</v>
      </c>
      <c r="AL346">
        <v>1</v>
      </c>
      <c r="AM346">
        <f t="shared" si="286"/>
        <v>87.296854965427798</v>
      </c>
      <c r="AN346">
        <f t="shared" si="300"/>
        <v>53.724546304277887</v>
      </c>
      <c r="AO346">
        <f t="shared" si="301"/>
        <v>-239.94307082415608</v>
      </c>
      <c r="AQ346">
        <f t="shared" si="287"/>
        <v>5.7392069908132511E-3</v>
      </c>
      <c r="AR346">
        <f t="shared" si="288"/>
        <v>-7.5757532278734914</v>
      </c>
      <c r="AT346">
        <f t="shared" si="313"/>
        <v>-16745.396527571698</v>
      </c>
      <c r="AU346">
        <f t="shared" si="314"/>
        <v>-5017.1254724396258</v>
      </c>
      <c r="AV346">
        <f t="shared" si="302"/>
        <v>-2.8504916561257363</v>
      </c>
      <c r="AW346">
        <f t="shared" si="303"/>
        <v>-1433.1299375056483</v>
      </c>
      <c r="AX346">
        <f t="shared" si="304"/>
        <v>-3044.0729922545979</v>
      </c>
      <c r="AY346">
        <f t="shared" si="312"/>
        <v>-2.0108069887123365</v>
      </c>
      <c r="BA346">
        <f t="shared" si="289"/>
        <v>5.1955856305077592</v>
      </c>
      <c r="BB346">
        <f t="shared" si="305"/>
        <v>14.312690139936773</v>
      </c>
      <c r="BC346">
        <f t="shared" si="306"/>
        <v>-0.83968466741339975</v>
      </c>
      <c r="BD346">
        <f t="shared" si="290"/>
        <v>-228.11038761960816</v>
      </c>
      <c r="BF346">
        <f t="shared" si="291"/>
        <v>-37.326291994312577</v>
      </c>
      <c r="BG346">
        <f t="shared" si="292"/>
        <v>-216.16281861770815</v>
      </c>
      <c r="BH346">
        <f t="shared" si="307"/>
        <v>-36.162818617708155</v>
      </c>
      <c r="BI346">
        <f t="shared" si="308"/>
        <v>-36.162818617708155</v>
      </c>
      <c r="BJ346">
        <f t="shared" si="293"/>
        <v>0</v>
      </c>
      <c r="BK346">
        <f t="shared" si="309"/>
        <v>0</v>
      </c>
      <c r="BM346">
        <f t="shared" si="310"/>
        <v>-51.638982134249353</v>
      </c>
      <c r="BN346">
        <f t="shared" si="294"/>
        <v>-168.05243099810002</v>
      </c>
      <c r="BQ346" s="66">
        <f t="shared" si="311"/>
        <v>31.214650940221912</v>
      </c>
      <c r="BR346" s="71"/>
      <c r="BS346" s="71"/>
      <c r="BT346" s="71">
        <v>229086.76500000001</v>
      </c>
      <c r="BU346" s="71">
        <v>14.1297</v>
      </c>
      <c r="BV346" s="71">
        <v>-156.46</v>
      </c>
      <c r="BY346" s="71"/>
      <c r="BZ346" s="71"/>
      <c r="CA346" s="71"/>
      <c r="CC346" s="71"/>
    </row>
    <row r="347" spans="1:81" ht="13" x14ac:dyDescent="0.3">
      <c r="A347">
        <f t="shared" si="263"/>
        <v>665000</v>
      </c>
      <c r="B347">
        <f t="shared" si="295"/>
        <v>665</v>
      </c>
      <c r="C347">
        <f t="shared" si="264"/>
        <v>1.021589867785978</v>
      </c>
      <c r="D347">
        <f t="shared" si="265"/>
        <v>0.2059536683940984</v>
      </c>
      <c r="F347">
        <f t="shared" si="266"/>
        <v>1.6836920400765848E-4</v>
      </c>
      <c r="G347">
        <f t="shared" si="267"/>
        <v>4.0456658962612834E-3</v>
      </c>
      <c r="H347">
        <f t="shared" si="268"/>
        <v>-3.1375469841037389</v>
      </c>
      <c r="J347">
        <f t="shared" si="269"/>
        <v>15</v>
      </c>
      <c r="M347">
        <f t="shared" si="270"/>
        <v>1.6516959404075031E-3</v>
      </c>
      <c r="N347">
        <f t="shared" si="271"/>
        <v>-1.5707963250000001</v>
      </c>
      <c r="O347">
        <f t="shared" si="272"/>
        <v>229.00744859390102</v>
      </c>
      <c r="P347">
        <f t="shared" si="273"/>
        <v>1.5664296427235471</v>
      </c>
      <c r="Q347">
        <f t="shared" si="274"/>
        <v>87.963879110761354</v>
      </c>
      <c r="R347">
        <f t="shared" si="275"/>
        <v>1.559427779260617</v>
      </c>
      <c r="S347">
        <f t="shared" si="276"/>
        <v>0.977957157125947</v>
      </c>
      <c r="T347">
        <f t="shared" si="277"/>
        <v>-0.2103535283357732</v>
      </c>
      <c r="U347">
        <f t="shared" si="278"/>
        <v>0.28849236877708551</v>
      </c>
      <c r="V347">
        <f t="shared" si="279"/>
        <v>-1.2781444422450909</v>
      </c>
      <c r="X347">
        <f t="shared" si="296"/>
        <v>-32.316625273189416</v>
      </c>
      <c r="Y347">
        <f t="shared" si="280"/>
        <v>-164.15413821239406</v>
      </c>
      <c r="Z347">
        <f t="shared" si="297"/>
        <v>15.845861787605941</v>
      </c>
      <c r="AC347">
        <v>1</v>
      </c>
      <c r="AD347">
        <f t="shared" si="281"/>
        <v>229.005265248396</v>
      </c>
      <c r="AE347">
        <f t="shared" si="282"/>
        <v>-9.5685687329382971E-2</v>
      </c>
      <c r="AF347">
        <f t="shared" si="283"/>
        <v>2.8830395749050001E-2</v>
      </c>
      <c r="AG347">
        <f t="shared" si="298"/>
        <v>651.51338883217545</v>
      </c>
      <c r="AH347">
        <f t="shared" si="299"/>
        <v>-2197.0044034789012</v>
      </c>
      <c r="AJ347">
        <f t="shared" si="284"/>
        <v>21000</v>
      </c>
      <c r="AK347">
        <f t="shared" si="285"/>
        <v>4483.7532867109503</v>
      </c>
      <c r="AL347">
        <v>1</v>
      </c>
      <c r="AM347">
        <f t="shared" si="286"/>
        <v>87.958194775771958</v>
      </c>
      <c r="AN347">
        <f t="shared" si="300"/>
        <v>53.683374862487845</v>
      </c>
      <c r="AO347">
        <f t="shared" si="301"/>
        <v>-238.13945566453538</v>
      </c>
      <c r="AQ347">
        <f t="shared" si="287"/>
        <v>5.6532276255143732E-3</v>
      </c>
      <c r="AR347">
        <f t="shared" si="288"/>
        <v>-7.5187927419341163</v>
      </c>
      <c r="AT347">
        <f t="shared" si="313"/>
        <v>-16515.137609386315</v>
      </c>
      <c r="AU347">
        <f t="shared" si="314"/>
        <v>-4911.0143052113835</v>
      </c>
      <c r="AV347">
        <f t="shared" si="302"/>
        <v>-2.8525555735537735</v>
      </c>
      <c r="AW347">
        <f t="shared" si="303"/>
        <v>-1410.4996262904801</v>
      </c>
      <c r="AX347">
        <f t="shared" si="304"/>
        <v>-3022.1867214656236</v>
      </c>
      <c r="AY347">
        <f t="shared" si="312"/>
        <v>-2.007463107886585</v>
      </c>
      <c r="BA347">
        <f t="shared" si="289"/>
        <v>5.1661644232460002</v>
      </c>
      <c r="BB347">
        <f t="shared" si="305"/>
        <v>14.263364486502342</v>
      </c>
      <c r="BC347">
        <f t="shared" si="306"/>
        <v>-0.84509246566718854</v>
      </c>
      <c r="BD347">
        <f t="shared" si="290"/>
        <v>-228.4202316363625</v>
      </c>
      <c r="BF347">
        <f t="shared" si="291"/>
        <v>-37.504025620153413</v>
      </c>
      <c r="BG347">
        <f t="shared" si="292"/>
        <v>-216.38815606721934</v>
      </c>
      <c r="BH347">
        <f t="shared" si="307"/>
        <v>-36.388156067219342</v>
      </c>
      <c r="BI347">
        <f t="shared" si="308"/>
        <v>-36.388156067219342</v>
      </c>
      <c r="BJ347">
        <f t="shared" si="293"/>
        <v>0</v>
      </c>
      <c r="BK347">
        <f t="shared" si="309"/>
        <v>0</v>
      </c>
      <c r="BM347">
        <f t="shared" si="310"/>
        <v>-51.767390106655753</v>
      </c>
      <c r="BN347">
        <f t="shared" si="294"/>
        <v>-167.96792443085684</v>
      </c>
      <c r="BQ347" s="66">
        <f t="shared" si="311"/>
        <v>31.165325286787478</v>
      </c>
      <c r="BR347" s="71"/>
      <c r="BS347" s="71"/>
      <c r="BT347" s="71">
        <v>234422.88200000001</v>
      </c>
      <c r="BU347" s="71">
        <v>14.451599999999999</v>
      </c>
      <c r="BV347" s="71">
        <v>-158.77500000000001</v>
      </c>
      <c r="BY347" s="71"/>
      <c r="BZ347" s="71"/>
      <c r="CA347" s="71"/>
      <c r="CC347" s="71"/>
    </row>
    <row r="348" spans="1:81" ht="13" x14ac:dyDescent="0.3">
      <c r="A348">
        <f t="shared" si="263"/>
        <v>670000</v>
      </c>
      <c r="B348">
        <f t="shared" si="295"/>
        <v>670</v>
      </c>
      <c r="C348">
        <f t="shared" si="264"/>
        <v>1.0219122535987319</v>
      </c>
      <c r="D348">
        <f t="shared" si="265"/>
        <v>0.20745829887919826</v>
      </c>
      <c r="F348">
        <f t="shared" si="266"/>
        <v>1.6586520876932037E-4</v>
      </c>
      <c r="G348">
        <f t="shared" si="267"/>
        <v>4.0154645419207095E-3</v>
      </c>
      <c r="H348">
        <f t="shared" si="268"/>
        <v>-3.1375771854580794</v>
      </c>
      <c r="J348">
        <f t="shared" si="269"/>
        <v>15</v>
      </c>
      <c r="M348">
        <f t="shared" si="270"/>
        <v>1.6393698512999842E-3</v>
      </c>
      <c r="N348">
        <f t="shared" si="271"/>
        <v>-1.5707963250000001</v>
      </c>
      <c r="O348">
        <f t="shared" si="272"/>
        <v>230.72927640004346</v>
      </c>
      <c r="P348">
        <f t="shared" si="273"/>
        <v>1.5664622295084896</v>
      </c>
      <c r="Q348">
        <f t="shared" si="274"/>
        <v>88.625176503405797</v>
      </c>
      <c r="R348">
        <f t="shared" si="275"/>
        <v>1.5595126119393674</v>
      </c>
      <c r="S348">
        <f t="shared" si="276"/>
        <v>0.97763551864228337</v>
      </c>
      <c r="T348">
        <f t="shared" si="277"/>
        <v>-0.21188838471600926</v>
      </c>
      <c r="U348">
        <f t="shared" si="278"/>
        <v>0.28651678805447661</v>
      </c>
      <c r="V348">
        <f t="shared" si="279"/>
        <v>-1.2802071107982804</v>
      </c>
      <c r="X348">
        <f t="shared" si="296"/>
        <v>-32.441520556377519</v>
      </c>
      <c r="Y348">
        <f t="shared" si="280"/>
        <v>-164.26905500181778</v>
      </c>
      <c r="Z348">
        <f t="shared" si="297"/>
        <v>15.730944998182224</v>
      </c>
      <c r="AC348">
        <v>1</v>
      </c>
      <c r="AD348">
        <f t="shared" si="281"/>
        <v>230.72710934800804</v>
      </c>
      <c r="AE348">
        <f t="shared" si="282"/>
        <v>-9.7129979178382092E-2</v>
      </c>
      <c r="AF348">
        <f t="shared" si="283"/>
        <v>2.9047165641899998E-2</v>
      </c>
      <c r="AG348">
        <f t="shared" si="298"/>
        <v>642.620881617284</v>
      </c>
      <c r="AH348">
        <f t="shared" si="299"/>
        <v>-2183.2681932863493</v>
      </c>
      <c r="AJ348">
        <f t="shared" si="284"/>
        <v>21000</v>
      </c>
      <c r="AK348">
        <f t="shared" si="285"/>
        <v>4517.4657174381</v>
      </c>
      <c r="AL348">
        <v>1</v>
      </c>
      <c r="AM348">
        <f t="shared" si="286"/>
        <v>88.619534586116103</v>
      </c>
      <c r="AN348">
        <f t="shared" si="300"/>
        <v>53.643121569230992</v>
      </c>
      <c r="AO348">
        <f t="shared" si="301"/>
        <v>-236.36274977359685</v>
      </c>
      <c r="AQ348">
        <f t="shared" si="287"/>
        <v>5.5691659784105714E-3</v>
      </c>
      <c r="AR348">
        <f t="shared" si="288"/>
        <v>-7.4626824110701655</v>
      </c>
      <c r="AT348">
        <f t="shared" si="313"/>
        <v>-16289.458282336058</v>
      </c>
      <c r="AU348">
        <f t="shared" si="314"/>
        <v>-4807.8345331755045</v>
      </c>
      <c r="AV348">
        <f t="shared" si="302"/>
        <v>-2.8545912663614041</v>
      </c>
      <c r="AW348">
        <f t="shared" si="303"/>
        <v>-1388.3847737887138</v>
      </c>
      <c r="AX348">
        <f t="shared" si="304"/>
        <v>-3000.6081727552737</v>
      </c>
      <c r="AY348">
        <f t="shared" si="312"/>
        <v>-2.0041621657176778</v>
      </c>
      <c r="BA348">
        <f t="shared" si="289"/>
        <v>5.1369927387609406</v>
      </c>
      <c r="BB348">
        <f t="shared" si="305"/>
        <v>14.214179036821633</v>
      </c>
      <c r="BC348">
        <f t="shared" si="306"/>
        <v>-0.85042910064372634</v>
      </c>
      <c r="BD348">
        <f t="shared" si="290"/>
        <v>-228.72599829766941</v>
      </c>
      <c r="BF348">
        <f t="shared" si="291"/>
        <v>-37.680617653528174</v>
      </c>
      <c r="BG348">
        <f t="shared" si="292"/>
        <v>-216.60944416204606</v>
      </c>
      <c r="BH348">
        <f t="shared" si="307"/>
        <v>-36.60944416204606</v>
      </c>
      <c r="BI348">
        <f t="shared" si="308"/>
        <v>-36.60944416204606</v>
      </c>
      <c r="BJ348">
        <f t="shared" si="293"/>
        <v>0</v>
      </c>
      <c r="BK348">
        <f t="shared" si="309"/>
        <v>0</v>
      </c>
      <c r="BM348">
        <f t="shared" si="310"/>
        <v>-51.8947966903498</v>
      </c>
      <c r="BN348">
        <f t="shared" si="294"/>
        <v>-167.88344586437665</v>
      </c>
      <c r="BQ348" s="66">
        <f t="shared" si="311"/>
        <v>31.116139837106772</v>
      </c>
      <c r="BR348" s="71"/>
      <c r="BS348" s="71"/>
      <c r="BT348" s="71">
        <v>239883.29199999999</v>
      </c>
      <c r="BU348" s="71">
        <v>14.4628</v>
      </c>
      <c r="BV348" s="71">
        <v>-161.529</v>
      </c>
      <c r="BY348" s="71"/>
      <c r="BZ348" s="71"/>
      <c r="CA348" s="71"/>
      <c r="CC348" s="71"/>
    </row>
    <row r="349" spans="1:81" ht="13" x14ac:dyDescent="0.3">
      <c r="A349">
        <f t="shared" si="263"/>
        <v>675000</v>
      </c>
      <c r="B349">
        <f t="shared" si="295"/>
        <v>675</v>
      </c>
      <c r="C349">
        <f t="shared" si="264"/>
        <v>1.0222369514695189</v>
      </c>
      <c r="D349">
        <f t="shared" si="265"/>
        <v>0.20896197692115931</v>
      </c>
      <c r="F349">
        <f t="shared" si="266"/>
        <v>1.6341666316640899E-4</v>
      </c>
      <c r="G349">
        <f t="shared" si="267"/>
        <v>3.9857108308505879E-3</v>
      </c>
      <c r="H349">
        <f t="shared" si="268"/>
        <v>-3.1376069391691495</v>
      </c>
      <c r="J349">
        <f t="shared" si="269"/>
        <v>15</v>
      </c>
      <c r="M349">
        <f t="shared" si="270"/>
        <v>1.6272263709199845E-3</v>
      </c>
      <c r="N349">
        <f t="shared" si="271"/>
        <v>-1.5707963250000001</v>
      </c>
      <c r="O349">
        <f t="shared" si="272"/>
        <v>232.45110444756727</v>
      </c>
      <c r="P349">
        <f t="shared" si="273"/>
        <v>1.5664943335352495</v>
      </c>
      <c r="Q349">
        <f t="shared" si="274"/>
        <v>89.286474524401029</v>
      </c>
      <c r="R349">
        <f t="shared" si="275"/>
        <v>1.5595961879965219</v>
      </c>
      <c r="S349">
        <f t="shared" si="276"/>
        <v>0.97731179159316728</v>
      </c>
      <c r="T349">
        <f t="shared" si="277"/>
        <v>-0.21342222822551229</v>
      </c>
      <c r="U349">
        <f t="shared" si="278"/>
        <v>0.2845668945284216</v>
      </c>
      <c r="V349">
        <f t="shared" si="279"/>
        <v>-1.2822417128775689</v>
      </c>
      <c r="X349">
        <f t="shared" si="296"/>
        <v>-32.565561016252374</v>
      </c>
      <c r="Y349">
        <f t="shared" si="280"/>
        <v>-164.38243424954342</v>
      </c>
      <c r="Z349">
        <f t="shared" si="297"/>
        <v>15.617565750456578</v>
      </c>
      <c r="AC349">
        <v>1</v>
      </c>
      <c r="AD349">
        <f t="shared" si="281"/>
        <v>232.44895344762003</v>
      </c>
      <c r="AE349">
        <f t="shared" si="282"/>
        <v>-9.858508969291678E-2</v>
      </c>
      <c r="AF349">
        <f t="shared" si="283"/>
        <v>2.9263935534750003E-2</v>
      </c>
      <c r="AG349">
        <f t="shared" si="298"/>
        <v>633.90391597021278</v>
      </c>
      <c r="AH349">
        <f t="shared" si="299"/>
        <v>-2169.6833748563345</v>
      </c>
      <c r="AJ349">
        <f t="shared" si="284"/>
        <v>21000</v>
      </c>
      <c r="AK349">
        <f t="shared" si="285"/>
        <v>4551.1781481652497</v>
      </c>
      <c r="AL349">
        <v>1</v>
      </c>
      <c r="AM349">
        <f t="shared" si="286"/>
        <v>89.280874396460248</v>
      </c>
      <c r="AN349">
        <f t="shared" si="300"/>
        <v>53.603759326825049</v>
      </c>
      <c r="AO349">
        <f t="shared" si="301"/>
        <v>-234.61235547110238</v>
      </c>
      <c r="AQ349">
        <f t="shared" si="287"/>
        <v>5.4869654392507876E-3</v>
      </c>
      <c r="AR349">
        <f t="shared" si="288"/>
        <v>-7.4074033429885633</v>
      </c>
      <c r="AT349">
        <f t="shared" si="313"/>
        <v>-16068.241675258785</v>
      </c>
      <c r="AU349">
        <f t="shared" si="314"/>
        <v>-4707.4869639832496</v>
      </c>
      <c r="AV349">
        <f t="shared" si="302"/>
        <v>-2.8565992923268526</v>
      </c>
      <c r="AW349">
        <f t="shared" si="303"/>
        <v>-1366.7698117868777</v>
      </c>
      <c r="AX349">
        <f t="shared" si="304"/>
        <v>-2979.3309571206996</v>
      </c>
      <c r="AY349">
        <f t="shared" si="312"/>
        <v>-2.0009033655545467</v>
      </c>
      <c r="BA349">
        <f t="shared" si="289"/>
        <v>5.1080697233739025</v>
      </c>
      <c r="BB349">
        <f t="shared" si="305"/>
        <v>14.165136332007215</v>
      </c>
      <c r="BC349">
        <f t="shared" si="306"/>
        <v>-0.85569592677230588</v>
      </c>
      <c r="BD349">
        <f t="shared" si="290"/>
        <v>-229.02776520661106</v>
      </c>
      <c r="BF349">
        <f t="shared" si="291"/>
        <v>-37.856080207912356</v>
      </c>
      <c r="BG349">
        <f t="shared" si="292"/>
        <v>-216.82676142740948</v>
      </c>
      <c r="BH349">
        <f t="shared" si="307"/>
        <v>-36.82676142740948</v>
      </c>
      <c r="BI349">
        <f t="shared" si="308"/>
        <v>-36.82676142740948</v>
      </c>
      <c r="BJ349">
        <f t="shared" si="293"/>
        <v>0</v>
      </c>
      <c r="BK349">
        <f t="shared" si="309"/>
        <v>0</v>
      </c>
      <c r="BM349">
        <f t="shared" si="310"/>
        <v>-52.021216539919578</v>
      </c>
      <c r="BN349">
        <f t="shared" si="294"/>
        <v>-167.79899622079844</v>
      </c>
      <c r="BQ349" s="66">
        <f t="shared" si="311"/>
        <v>31.067097132292353</v>
      </c>
      <c r="BR349" s="71"/>
      <c r="BS349" s="71"/>
      <c r="BT349" s="71">
        <v>245470.89199999999</v>
      </c>
      <c r="BU349" s="71">
        <v>14.575900000000001</v>
      </c>
      <c r="BV349" s="71">
        <v>-163.59700000000001</v>
      </c>
      <c r="BY349" s="71"/>
      <c r="BZ349" s="71"/>
      <c r="CA349" s="71"/>
      <c r="CC349" s="71"/>
    </row>
    <row r="350" spans="1:81" ht="13" x14ac:dyDescent="0.3">
      <c r="A350">
        <f t="shared" si="263"/>
        <v>680000</v>
      </c>
      <c r="B350">
        <f t="shared" si="295"/>
        <v>680</v>
      </c>
      <c r="C350">
        <f t="shared" si="264"/>
        <v>1.0225639591958742</v>
      </c>
      <c r="D350">
        <f t="shared" si="265"/>
        <v>0.21046469663075851</v>
      </c>
      <c r="F350">
        <f t="shared" si="266"/>
        <v>1.610219419161546E-4</v>
      </c>
      <c r="G350">
        <f t="shared" si="267"/>
        <v>3.9563948822882791E-3</v>
      </c>
      <c r="H350">
        <f t="shared" si="268"/>
        <v>-3.1376362551177119</v>
      </c>
      <c r="J350">
        <f t="shared" si="269"/>
        <v>15</v>
      </c>
      <c r="M350">
        <f t="shared" si="270"/>
        <v>1.615261471133808E-3</v>
      </c>
      <c r="N350">
        <f t="shared" si="271"/>
        <v>-1.5707963250000001</v>
      </c>
      <c r="O350">
        <f t="shared" si="272"/>
        <v>234.17293273114791</v>
      </c>
      <c r="P350">
        <f t="shared" si="273"/>
        <v>1.566525965452642</v>
      </c>
      <c r="Q350">
        <f t="shared" si="274"/>
        <v>89.947773159888115</v>
      </c>
      <c r="R350">
        <f t="shared" si="275"/>
        <v>1.5596785351470552</v>
      </c>
      <c r="S350">
        <f t="shared" si="276"/>
        <v>0.97698598262013736</v>
      </c>
      <c r="T350">
        <f t="shared" si="277"/>
        <v>-0.21495505265645964</v>
      </c>
      <c r="U350">
        <f t="shared" si="278"/>
        <v>0.28264221524832611</v>
      </c>
      <c r="V350">
        <f t="shared" si="279"/>
        <v>-1.2842488009511357</v>
      </c>
      <c r="X350">
        <f t="shared" si="296"/>
        <v>-32.688757868441122</v>
      </c>
      <c r="Y350">
        <f t="shared" si="280"/>
        <v>-164.49430595945446</v>
      </c>
      <c r="Z350">
        <f t="shared" si="297"/>
        <v>15.505694040545535</v>
      </c>
      <c r="AC350">
        <v>1</v>
      </c>
      <c r="AD350">
        <f t="shared" si="281"/>
        <v>234.17079754723204</v>
      </c>
      <c r="AE350">
        <f t="shared" si="282"/>
        <v>-0.10005101887298705</v>
      </c>
      <c r="AF350">
        <f t="shared" si="283"/>
        <v>2.9480705427600003E-2</v>
      </c>
      <c r="AG350">
        <f t="shared" si="298"/>
        <v>625.35804652100387</v>
      </c>
      <c r="AH350">
        <f t="shared" si="299"/>
        <v>-2156.2479185228322</v>
      </c>
      <c r="AJ350">
        <f t="shared" si="284"/>
        <v>21000</v>
      </c>
      <c r="AK350">
        <f t="shared" si="285"/>
        <v>4584.8905788924003</v>
      </c>
      <c r="AL350">
        <v>1</v>
      </c>
      <c r="AM350">
        <f t="shared" si="286"/>
        <v>89.942214206804408</v>
      </c>
      <c r="AN350">
        <f t="shared" si="300"/>
        <v>53.565262029901554</v>
      </c>
      <c r="AO350">
        <f t="shared" si="301"/>
        <v>-232.88769264461175</v>
      </c>
      <c r="AQ350">
        <f t="shared" si="287"/>
        <v>5.4065714713605797E-3</v>
      </c>
      <c r="AR350">
        <f t="shared" si="288"/>
        <v>-7.3529372010503886</v>
      </c>
      <c r="AT350">
        <f t="shared" si="313"/>
        <v>-15851.374491820294</v>
      </c>
      <c r="AU350">
        <f t="shared" si="314"/>
        <v>-4609.8763527219553</v>
      </c>
      <c r="AV350">
        <f t="shared" si="302"/>
        <v>-2.858580195103154</v>
      </c>
      <c r="AW350">
        <f t="shared" si="303"/>
        <v>-1345.6397558716519</v>
      </c>
      <c r="AX350">
        <f t="shared" si="304"/>
        <v>-2958.348861178285</v>
      </c>
      <c r="AY350">
        <f t="shared" si="312"/>
        <v>-1.9976859283750192</v>
      </c>
      <c r="BA350">
        <f t="shared" si="289"/>
        <v>5.0793944134578357</v>
      </c>
      <c r="BB350">
        <f t="shared" si="305"/>
        <v>14.116238739492939</v>
      </c>
      <c r="BC350">
        <f t="shared" si="306"/>
        <v>-0.86089426672813474</v>
      </c>
      <c r="BD350">
        <f t="shared" si="290"/>
        <v>-229.32560814689461</v>
      </c>
      <c r="BF350">
        <f t="shared" si="291"/>
        <v>-38.03042524680307</v>
      </c>
      <c r="BG350">
        <f t="shared" si="292"/>
        <v>-217.0401845505705</v>
      </c>
      <c r="BH350">
        <f t="shared" si="307"/>
        <v>-37.040184550570501</v>
      </c>
      <c r="BI350">
        <f t="shared" si="308"/>
        <v>-37.040184550570501</v>
      </c>
      <c r="BJ350">
        <f t="shared" si="293"/>
        <v>0</v>
      </c>
      <c r="BK350">
        <f t="shared" si="309"/>
        <v>0</v>
      </c>
      <c r="BM350">
        <f t="shared" si="310"/>
        <v>-52.146663986296019</v>
      </c>
      <c r="BN350">
        <f t="shared" si="294"/>
        <v>-167.71457640367589</v>
      </c>
      <c r="BQ350" s="66">
        <f t="shared" si="311"/>
        <v>31.018199539778074</v>
      </c>
      <c r="BR350" s="71"/>
      <c r="BS350" s="71"/>
      <c r="BT350" s="71">
        <v>251188.64300000001</v>
      </c>
      <c r="BU350" s="71">
        <v>14.7446</v>
      </c>
      <c r="BV350" s="71">
        <v>-165.89599999999999</v>
      </c>
      <c r="BY350" s="71"/>
      <c r="BZ350" s="71"/>
      <c r="CA350" s="71"/>
      <c r="CC350" s="71"/>
    </row>
    <row r="351" spans="1:81" ht="13" x14ac:dyDescent="0.3">
      <c r="A351">
        <f t="shared" si="263"/>
        <v>685000</v>
      </c>
      <c r="B351">
        <f t="shared" si="295"/>
        <v>685</v>
      </c>
      <c r="C351">
        <f t="shared" si="264"/>
        <v>1.0228932745624912</v>
      </c>
      <c r="D351">
        <f t="shared" si="265"/>
        <v>0.21196645214358975</v>
      </c>
      <c r="F351">
        <f t="shared" si="266"/>
        <v>1.5867947885359973E-4</v>
      </c>
      <c r="G351">
        <f t="shared" si="267"/>
        <v>3.9275071041872753E-3</v>
      </c>
      <c r="H351">
        <f t="shared" si="268"/>
        <v>-3.1376651428958131</v>
      </c>
      <c r="J351">
        <f t="shared" si="269"/>
        <v>15</v>
      </c>
      <c r="M351">
        <f t="shared" si="270"/>
        <v>1.6034712414175027E-3</v>
      </c>
      <c r="N351">
        <f t="shared" si="271"/>
        <v>-1.5707963250000001</v>
      </c>
      <c r="O351">
        <f t="shared" si="272"/>
        <v>235.89476124561642</v>
      </c>
      <c r="P351">
        <f t="shared" si="273"/>
        <v>1.5665571355985786</v>
      </c>
      <c r="Q351">
        <f t="shared" si="274"/>
        <v>90.609072396412699</v>
      </c>
      <c r="R351">
        <f t="shared" si="275"/>
        <v>1.5597596802969123</v>
      </c>
      <c r="S351">
        <f t="shared" si="276"/>
        <v>0.97665809839537043</v>
      </c>
      <c r="T351">
        <f t="shared" si="277"/>
        <v>-0.21648685182842978</v>
      </c>
      <c r="U351">
        <f t="shared" si="278"/>
        <v>0.28074228809806817</v>
      </c>
      <c r="V351">
        <f t="shared" si="279"/>
        <v>-1.2862289135324687</v>
      </c>
      <c r="X351">
        <f t="shared" si="296"/>
        <v>-32.811122117289486</v>
      </c>
      <c r="Y351">
        <f t="shared" si="280"/>
        <v>-164.60469938366248</v>
      </c>
      <c r="Z351">
        <f t="shared" si="297"/>
        <v>15.395300616337522</v>
      </c>
      <c r="AC351">
        <v>1</v>
      </c>
      <c r="AD351">
        <f t="shared" si="281"/>
        <v>235.89264164684403</v>
      </c>
      <c r="AE351">
        <f t="shared" si="282"/>
        <v>-0.10152776671859287</v>
      </c>
      <c r="AF351">
        <f t="shared" si="283"/>
        <v>2.9697475320450001E-2</v>
      </c>
      <c r="AG351">
        <f t="shared" si="298"/>
        <v>616.97896276412382</v>
      </c>
      <c r="AH351">
        <f t="shared" si="299"/>
        <v>-2142.9598144314923</v>
      </c>
      <c r="AJ351">
        <f t="shared" si="284"/>
        <v>21000</v>
      </c>
      <c r="AK351">
        <f t="shared" si="285"/>
        <v>4618.60300961955</v>
      </c>
      <c r="AL351">
        <v>1</v>
      </c>
      <c r="AM351">
        <f t="shared" si="286"/>
        <v>90.603554017148554</v>
      </c>
      <c r="AN351">
        <f t="shared" si="300"/>
        <v>53.527604522118729</v>
      </c>
      <c r="AO351">
        <f t="shared" si="301"/>
        <v>-231.18819810879978</v>
      </c>
      <c r="AQ351">
        <f t="shared" si="287"/>
        <v>5.327931521161745E-3</v>
      </c>
      <c r="AR351">
        <f t="shared" si="288"/>
        <v>-7.2992661839915902</v>
      </c>
      <c r="AT351">
        <f t="shared" si="313"/>
        <v>-15638.746885469081</v>
      </c>
      <c r="AU351">
        <f t="shared" si="314"/>
        <v>-4514.9112222822678</v>
      </c>
      <c r="AV351">
        <f t="shared" si="302"/>
        <v>-2.8605345046460173</v>
      </c>
      <c r="AW351">
        <f t="shared" si="303"/>
        <v>-1324.980179363002</v>
      </c>
      <c r="AX351">
        <f t="shared" si="304"/>
        <v>-2937.6558411107972</v>
      </c>
      <c r="AY351">
        <f t="shared" si="312"/>
        <v>-1.9945090923858237</v>
      </c>
      <c r="BA351">
        <f t="shared" si="289"/>
        <v>5.0509657436578985</v>
      </c>
      <c r="BB351">
        <f t="shared" si="305"/>
        <v>14.067488461552495</v>
      </c>
      <c r="BC351">
        <f t="shared" si="306"/>
        <v>-0.86602541226019358</v>
      </c>
      <c r="BD351">
        <f t="shared" si="290"/>
        <v>-229.61960113028493</v>
      </c>
      <c r="BF351">
        <f t="shared" si="291"/>
        <v>-38.203664584696696</v>
      </c>
      <c r="BG351">
        <f t="shared" si="292"/>
        <v>-217.24978842888336</v>
      </c>
      <c r="BH351">
        <f t="shared" si="307"/>
        <v>-37.249788428883363</v>
      </c>
      <c r="BI351">
        <f t="shared" si="308"/>
        <v>-37.249788428883363</v>
      </c>
      <c r="BJ351">
        <f t="shared" si="293"/>
        <v>0</v>
      </c>
      <c r="BK351">
        <f t="shared" si="309"/>
        <v>0</v>
      </c>
      <c r="BM351">
        <f t="shared" si="310"/>
        <v>-52.271153046249196</v>
      </c>
      <c r="BN351">
        <f t="shared" si="294"/>
        <v>-167.63018729859846</v>
      </c>
      <c r="BQ351" s="66">
        <f t="shared" si="311"/>
        <v>30.969449261837632</v>
      </c>
      <c r="BR351" s="71"/>
      <c r="BS351" s="71"/>
      <c r="BT351" s="71">
        <v>257039.57800000001</v>
      </c>
      <c r="BU351" s="71">
        <v>14.891</v>
      </c>
      <c r="BV351" s="71">
        <v>-168.07</v>
      </c>
      <c r="BY351" s="71"/>
      <c r="BZ351" s="71"/>
      <c r="CA351" s="71"/>
      <c r="CC351" s="71"/>
    </row>
    <row r="352" spans="1:81" ht="13" x14ac:dyDescent="0.3">
      <c r="A352">
        <f t="shared" si="263"/>
        <v>690000</v>
      </c>
      <c r="B352">
        <f t="shared" si="295"/>
        <v>690</v>
      </c>
      <c r="C352">
        <f t="shared" si="264"/>
        <v>1.0232248953412932</v>
      </c>
      <c r="D352">
        <f t="shared" si="265"/>
        <v>0.21346723762016601</v>
      </c>
      <c r="F352">
        <f t="shared" si="266"/>
        <v>1.5638776436970782E-4</v>
      </c>
      <c r="G352">
        <f t="shared" si="267"/>
        <v>3.8990381827467219E-3</v>
      </c>
      <c r="H352">
        <f t="shared" si="268"/>
        <v>-3.1376936118172534</v>
      </c>
      <c r="J352">
        <f t="shared" si="269"/>
        <v>15</v>
      </c>
      <c r="M352">
        <f t="shared" si="270"/>
        <v>1.5918518845956368E-3</v>
      </c>
      <c r="N352">
        <f t="shared" si="271"/>
        <v>-1.5707963250000001</v>
      </c>
      <c r="O352">
        <f t="shared" si="272"/>
        <v>237.61658998595354</v>
      </c>
      <c r="P352">
        <f t="shared" si="273"/>
        <v>1.5665878540113294</v>
      </c>
      <c r="Q352">
        <f t="shared" si="274"/>
        <v>91.270372220910318</v>
      </c>
      <c r="R352">
        <f t="shared" si="275"/>
        <v>1.5598396495723135</v>
      </c>
      <c r="S352">
        <f t="shared" si="276"/>
        <v>0.97632814562132619</v>
      </c>
      <c r="T352">
        <f t="shared" si="277"/>
        <v>-0.21801761958851137</v>
      </c>
      <c r="U352">
        <f t="shared" si="278"/>
        <v>0.27886666151327283</v>
      </c>
      <c r="V352">
        <f t="shared" si="279"/>
        <v>-1.2881825756027852</v>
      </c>
      <c r="X352">
        <f t="shared" si="296"/>
        <v>-32.932664560949007</v>
      </c>
      <c r="Y352">
        <f t="shared" si="280"/>
        <v>-164.71364304498655</v>
      </c>
      <c r="Z352">
        <f t="shared" si="297"/>
        <v>15.286356955013446</v>
      </c>
      <c r="AC352">
        <v>1</v>
      </c>
      <c r="AD352">
        <f t="shared" si="281"/>
        <v>237.61448574645604</v>
      </c>
      <c r="AE352">
        <f t="shared" si="282"/>
        <v>-0.10301533322973423</v>
      </c>
      <c r="AF352">
        <f t="shared" si="283"/>
        <v>2.9914245213299998E-2</v>
      </c>
      <c r="AG352">
        <f t="shared" si="298"/>
        <v>608.76248438380003</v>
      </c>
      <c r="AH352">
        <f t="shared" si="299"/>
        <v>-2129.8170731792852</v>
      </c>
      <c r="AJ352">
        <f t="shared" si="284"/>
        <v>21000</v>
      </c>
      <c r="AK352">
        <f t="shared" si="285"/>
        <v>4652.3154403466997</v>
      </c>
      <c r="AL352">
        <v>1</v>
      </c>
      <c r="AM352">
        <f t="shared" si="286"/>
        <v>91.264893827492713</v>
      </c>
      <c r="AN352">
        <f t="shared" si="300"/>
        <v>53.490762555061444</v>
      </c>
      <c r="AO352">
        <f t="shared" si="301"/>
        <v>-229.51332499260516</v>
      </c>
      <c r="AQ352">
        <f t="shared" si="287"/>
        <v>5.2509949322647907E-3</v>
      </c>
      <c r="AR352">
        <f t="shared" si="288"/>
        <v>-7.2463730065254115</v>
      </c>
      <c r="AT352">
        <f t="shared" si="313"/>
        <v>-15430.252339202876</v>
      </c>
      <c r="AU352">
        <f t="shared" si="314"/>
        <v>-4422.5036928820318</v>
      </c>
      <c r="AV352">
        <f t="shared" si="302"/>
        <v>-2.8624627376269252</v>
      </c>
      <c r="AW352">
        <f t="shared" si="303"/>
        <v>-1304.7771885935426</v>
      </c>
      <c r="AX352">
        <f t="shared" si="304"/>
        <v>-2917.2460168683278</v>
      </c>
      <c r="AY352">
        <f t="shared" si="312"/>
        <v>-1.9913721126287676</v>
      </c>
      <c r="BA352">
        <f t="shared" si="289"/>
        <v>5.0227825546264331</v>
      </c>
      <c r="BB352">
        <f t="shared" si="305"/>
        <v>14.018887543402156</v>
      </c>
      <c r="BC352">
        <f t="shared" si="306"/>
        <v>-0.87109062499815759</v>
      </c>
      <c r="BD352">
        <f t="shared" si="290"/>
        <v>-229.90981644283778</v>
      </c>
      <c r="BF352">
        <f t="shared" si="291"/>
        <v>-38.375809888136708</v>
      </c>
      <c r="BG352">
        <f t="shared" si="292"/>
        <v>-217.45564621662331</v>
      </c>
      <c r="BH352">
        <f t="shared" si="307"/>
        <v>-37.455646216623308</v>
      </c>
      <c r="BI352">
        <f t="shared" si="308"/>
        <v>-37.455646216623308</v>
      </c>
      <c r="BJ352">
        <f t="shared" si="293"/>
        <v>0</v>
      </c>
      <c r="BK352">
        <f t="shared" si="309"/>
        <v>0</v>
      </c>
      <c r="BM352">
        <f t="shared" si="310"/>
        <v>-52.394697431538866</v>
      </c>
      <c r="BN352">
        <f t="shared" si="294"/>
        <v>-167.5458297737855</v>
      </c>
      <c r="BQ352" s="66">
        <f t="shared" si="311"/>
        <v>30.920848343687297</v>
      </c>
      <c r="BR352" s="71"/>
      <c r="BS352" s="71"/>
      <c r="BT352" s="71">
        <v>263026.799</v>
      </c>
      <c r="BU352" s="71">
        <v>14.9779</v>
      </c>
      <c r="BV352" s="71">
        <v>-170.82400000000001</v>
      </c>
      <c r="BY352" s="71"/>
      <c r="BZ352" s="71"/>
      <c r="CA352" s="71"/>
      <c r="CC352" s="71"/>
    </row>
    <row r="353" spans="1:81" ht="13" x14ac:dyDescent="0.3">
      <c r="A353">
        <f t="shared" si="263"/>
        <v>695000</v>
      </c>
      <c r="B353">
        <f t="shared" si="295"/>
        <v>695</v>
      </c>
      <c r="C353">
        <f t="shared" si="264"/>
        <v>1.0235588192915022</v>
      </c>
      <c r="D353">
        <f t="shared" si="265"/>
        <v>0.21496704724602059</v>
      </c>
      <c r="F353">
        <f t="shared" si="266"/>
        <v>1.5414534297807233E-4</v>
      </c>
      <c r="G353">
        <f t="shared" si="267"/>
        <v>3.8709790723933765E-3</v>
      </c>
      <c r="H353">
        <f t="shared" si="268"/>
        <v>-3.1377216709276068</v>
      </c>
      <c r="J353">
        <f t="shared" si="269"/>
        <v>15</v>
      </c>
      <c r="M353">
        <f t="shared" si="270"/>
        <v>1.5803997127640137E-3</v>
      </c>
      <c r="N353">
        <f t="shared" si="271"/>
        <v>-1.5707963250000001</v>
      </c>
      <c r="O353">
        <f t="shared" si="272"/>
        <v>239.33841894728451</v>
      </c>
      <c r="P353">
        <f t="shared" si="273"/>
        <v>1.5666181304403017</v>
      </c>
      <c r="Q353">
        <f t="shared" si="274"/>
        <v>91.931672620692424</v>
      </c>
      <c r="R353">
        <f t="shared" si="275"/>
        <v>1.5599184683477971</v>
      </c>
      <c r="S353">
        <f t="shared" si="276"/>
        <v>0.97599613103039284</v>
      </c>
      <c r="T353">
        <f t="shared" si="277"/>
        <v>-0.21954734981141094</v>
      </c>
      <c r="U353">
        <f t="shared" si="278"/>
        <v>0.27701489420621844</v>
      </c>
      <c r="V353">
        <f t="shared" si="279"/>
        <v>-1.2901102990188362</v>
      </c>
      <c r="X353">
        <f t="shared" si="296"/>
        <v>-33.053395796316849</v>
      </c>
      <c r="Y353">
        <f t="shared" si="280"/>
        <v>-164.82116475866857</v>
      </c>
      <c r="Z353">
        <f t="shared" si="297"/>
        <v>15.178835241331427</v>
      </c>
      <c r="AC353">
        <v>1</v>
      </c>
      <c r="AD353">
        <f t="shared" si="281"/>
        <v>239.33632984606803</v>
      </c>
      <c r="AE353">
        <f t="shared" si="282"/>
        <v>-0.10451371840641123</v>
      </c>
      <c r="AF353">
        <f t="shared" si="283"/>
        <v>3.0131015106149999E-2</v>
      </c>
      <c r="AG353">
        <f t="shared" si="298"/>
        <v>600.70455675727965</v>
      </c>
      <c r="AH353">
        <f t="shared" si="299"/>
        <v>-2116.8177263752382</v>
      </c>
      <c r="AJ353">
        <f t="shared" si="284"/>
        <v>21000</v>
      </c>
      <c r="AK353">
        <f t="shared" si="285"/>
        <v>4686.0278710738503</v>
      </c>
      <c r="AL353">
        <v>1</v>
      </c>
      <c r="AM353">
        <f t="shared" si="286"/>
        <v>91.926233637836845</v>
      </c>
      <c r="AN353">
        <f t="shared" si="300"/>
        <v>53.454712749202685</v>
      </c>
      <c r="AO353">
        <f t="shared" si="301"/>
        <v>-227.86254215281153</v>
      </c>
      <c r="AQ353">
        <f t="shared" si="287"/>
        <v>5.1757128638720232E-3</v>
      </c>
      <c r="AR353">
        <f t="shared" si="288"/>
        <v>-7.1942408807821119</v>
      </c>
      <c r="AT353">
        <f t="shared" si="313"/>
        <v>-15225.787549951185</v>
      </c>
      <c r="AU353">
        <f t="shared" si="314"/>
        <v>-4332.5693202321927</v>
      </c>
      <c r="AV353">
        <f t="shared" si="302"/>
        <v>-2.8643653978320138</v>
      </c>
      <c r="AW353">
        <f t="shared" si="303"/>
        <v>-1285.0173994554002</v>
      </c>
      <c r="AX353">
        <f t="shared" si="304"/>
        <v>-2897.1136666103098</v>
      </c>
      <c r="AY353">
        <f t="shared" si="312"/>
        <v>-1.9882742605933257</v>
      </c>
      <c r="BA353">
        <f t="shared" si="289"/>
        <v>4.9948436002995873</v>
      </c>
      <c r="BB353">
        <f t="shared" si="305"/>
        <v>13.970437880908619</v>
      </c>
      <c r="BC353">
        <f t="shared" si="306"/>
        <v>-0.87609113723868814</v>
      </c>
      <c r="BD353">
        <f t="shared" si="290"/>
        <v>-230.1963246899511</v>
      </c>
      <c r="BF353">
        <f t="shared" si="291"/>
        <v>-38.546872676825721</v>
      </c>
      <c r="BG353">
        <f t="shared" si="292"/>
        <v>-217.65782937060581</v>
      </c>
      <c r="BH353">
        <f t="shared" si="307"/>
        <v>-37.65782937060581</v>
      </c>
      <c r="BI353">
        <f t="shared" si="308"/>
        <v>-37.65782937060581</v>
      </c>
      <c r="BJ353">
        <f t="shared" si="293"/>
        <v>0</v>
      </c>
      <c r="BK353">
        <f t="shared" si="309"/>
        <v>0</v>
      </c>
      <c r="BM353">
        <f t="shared" si="310"/>
        <v>-52.517310557734334</v>
      </c>
      <c r="BN353">
        <f t="shared" si="294"/>
        <v>-167.46150468065474</v>
      </c>
      <c r="BQ353" s="66">
        <f t="shared" si="311"/>
        <v>30.872398681193754</v>
      </c>
      <c r="BR353" s="71"/>
      <c r="BS353" s="71"/>
      <c r="BT353" s="71">
        <v>269153.48</v>
      </c>
      <c r="BU353" s="71">
        <v>15.0854</v>
      </c>
      <c r="BV353" s="71">
        <v>-173.35300000000001</v>
      </c>
      <c r="BY353" s="71"/>
      <c r="BZ353" s="71"/>
      <c r="CA353" s="71"/>
      <c r="CC353" s="71"/>
    </row>
    <row r="354" spans="1:81" ht="13" x14ac:dyDescent="0.3">
      <c r="A354">
        <f t="shared" si="263"/>
        <v>700000</v>
      </c>
      <c r="B354">
        <f t="shared" si="295"/>
        <v>700</v>
      </c>
      <c r="C354">
        <f t="shared" si="264"/>
        <v>1.023895044159711</v>
      </c>
      <c r="D354">
        <f t="shared" si="265"/>
        <v>0.21646587523180644</v>
      </c>
      <c r="F354">
        <f t="shared" si="266"/>
        <v>1.5195081100290162E-4</v>
      </c>
      <c r="G354">
        <f t="shared" si="267"/>
        <v>3.8433209861933851E-3</v>
      </c>
      <c r="H354">
        <f t="shared" si="268"/>
        <v>-3.1377493290138068</v>
      </c>
      <c r="J354">
        <f t="shared" si="269"/>
        <v>15</v>
      </c>
      <c r="M354">
        <f t="shared" si="270"/>
        <v>1.5691111433871279E-3</v>
      </c>
      <c r="N354">
        <f t="shared" si="271"/>
        <v>-1.5707963250000001</v>
      </c>
      <c r="O354">
        <f t="shared" si="272"/>
        <v>241.06024812487379</v>
      </c>
      <c r="P354">
        <f t="shared" si="273"/>
        <v>1.5666479743563571</v>
      </c>
      <c r="Q354">
        <f t="shared" si="274"/>
        <v>92.592973583432965</v>
      </c>
      <c r="R354">
        <f t="shared" si="275"/>
        <v>1.5599961612730566</v>
      </c>
      <c r="S354">
        <f t="shared" si="276"/>
        <v>0.97566206138453304</v>
      </c>
      <c r="T354">
        <f t="shared" si="277"/>
        <v>-0.22107603639955864</v>
      </c>
      <c r="U354">
        <f t="shared" si="278"/>
        <v>0.27518655489820115</v>
      </c>
      <c r="V354">
        <f t="shared" si="279"/>
        <v>-1.2920125829066502</v>
      </c>
      <c r="X354">
        <f t="shared" si="296"/>
        <v>-33.173326223833236</v>
      </c>
      <c r="Y354">
        <f t="shared" si="280"/>
        <v>-164.92729165335393</v>
      </c>
      <c r="Z354">
        <f t="shared" si="297"/>
        <v>15.072708346646067</v>
      </c>
      <c r="AC354">
        <v>1</v>
      </c>
      <c r="AD354">
        <f t="shared" si="281"/>
        <v>241.05817394568001</v>
      </c>
      <c r="AE354">
        <f t="shared" si="282"/>
        <v>-0.10602292224862377</v>
      </c>
      <c r="AF354">
        <f t="shared" si="283"/>
        <v>3.0347784999000003E-2</v>
      </c>
      <c r="AG354">
        <f t="shared" si="298"/>
        <v>592.80124662888625</v>
      </c>
      <c r="AH354">
        <f t="shared" si="299"/>
        <v>-2103.9598271282603</v>
      </c>
      <c r="AJ354">
        <f t="shared" si="284"/>
        <v>21000</v>
      </c>
      <c r="AK354">
        <f t="shared" si="285"/>
        <v>4719.740301801</v>
      </c>
      <c r="AL354">
        <v>1</v>
      </c>
      <c r="AM354">
        <f t="shared" si="286"/>
        <v>92.587573448181004</v>
      </c>
      <c r="AN354">
        <f t="shared" si="300"/>
        <v>53.419432556809376</v>
      </c>
      <c r="AO354">
        <f t="shared" si="301"/>
        <v>-226.23533361273886</v>
      </c>
      <c r="AQ354">
        <f t="shared" si="287"/>
        <v>5.1020382132458096E-3</v>
      </c>
      <c r="AR354">
        <f t="shared" si="288"/>
        <v>-7.1428534985441337</v>
      </c>
      <c r="AT354">
        <f t="shared" si="313"/>
        <v>-15025.252317386245</v>
      </c>
      <c r="AU354">
        <f t="shared" si="314"/>
        <v>-4245.0269418616062</v>
      </c>
      <c r="AV354">
        <f t="shared" si="302"/>
        <v>-2.8662429765472774</v>
      </c>
      <c r="AW354">
        <f t="shared" si="303"/>
        <v>-1265.6879151409726</v>
      </c>
      <c r="AX354">
        <f t="shared" si="304"/>
        <v>-2877.2532213766913</v>
      </c>
      <c r="AY354">
        <f t="shared" si="312"/>
        <v>-1.9852148238358369</v>
      </c>
      <c r="BA354">
        <f t="shared" si="289"/>
        <v>4.9671475547414268</v>
      </c>
      <c r="BB354">
        <f t="shared" si="305"/>
        <v>13.922141227921996</v>
      </c>
      <c r="BC354">
        <f t="shared" si="306"/>
        <v>-0.88102815271144053</v>
      </c>
      <c r="BD354">
        <f t="shared" si="290"/>
        <v>-230.4791948402538</v>
      </c>
      <c r="BF354">
        <f t="shared" si="291"/>
        <v>-38.716864324795822</v>
      </c>
      <c r="BG354">
        <f t="shared" si="292"/>
        <v>-217.85640769461924</v>
      </c>
      <c r="BH354">
        <f t="shared" si="307"/>
        <v>-37.856407694619236</v>
      </c>
      <c r="BI354">
        <f t="shared" si="308"/>
        <v>-37.856407694619236</v>
      </c>
      <c r="BJ354">
        <f t="shared" si="293"/>
        <v>0</v>
      </c>
      <c r="BK354">
        <f t="shared" si="309"/>
        <v>0</v>
      </c>
      <c r="BM354">
        <f t="shared" si="310"/>
        <v>-52.639005552717819</v>
      </c>
      <c r="BN354">
        <f t="shared" si="294"/>
        <v>-167.37721285436544</v>
      </c>
      <c r="BQ354" s="66">
        <f t="shared" si="311"/>
        <v>30.824102028207136</v>
      </c>
      <c r="BR354" s="71"/>
      <c r="BS354" s="71"/>
      <c r="BT354" s="71">
        <v>275422.87</v>
      </c>
      <c r="BU354" s="71">
        <v>15.1145</v>
      </c>
      <c r="BV354" s="71">
        <v>-175.80699999999999</v>
      </c>
      <c r="BY354" s="71"/>
      <c r="BZ354" s="71"/>
      <c r="CA354" s="71"/>
      <c r="CC354" s="71"/>
    </row>
    <row r="355" spans="1:81" ht="13" x14ac:dyDescent="0.3">
      <c r="A355">
        <f t="shared" si="263"/>
        <v>705000</v>
      </c>
      <c r="B355">
        <f t="shared" si="295"/>
        <v>705</v>
      </c>
      <c r="C355">
        <f t="shared" si="264"/>
        <v>1.024233567679955</v>
      </c>
      <c r="D355">
        <f t="shared" si="265"/>
        <v>0.21796371581339422</v>
      </c>
      <c r="F355">
        <f t="shared" si="266"/>
        <v>1.4980281438141952E-4</v>
      </c>
      <c r="G355">
        <f t="shared" si="267"/>
        <v>3.8160553866724758E-3</v>
      </c>
      <c r="H355">
        <f t="shared" si="268"/>
        <v>-3.1377765946133276</v>
      </c>
      <c r="J355">
        <f t="shared" si="269"/>
        <v>15</v>
      </c>
      <c r="M355">
        <f t="shared" si="270"/>
        <v>1.5579826955616873E-3</v>
      </c>
      <c r="N355">
        <f t="shared" si="271"/>
        <v>-1.5707963250000001</v>
      </c>
      <c r="O355">
        <f t="shared" si="272"/>
        <v>242.78207751412032</v>
      </c>
      <c r="P355">
        <f t="shared" si="273"/>
        <v>1.5666773949616877</v>
      </c>
      <c r="Q355">
        <f t="shared" si="274"/>
        <v>93.254275097155457</v>
      </c>
      <c r="R355">
        <f t="shared" si="275"/>
        <v>1.5600727522986395</v>
      </c>
      <c r="S355">
        <f t="shared" si="276"/>
        <v>0.97532594347492685</v>
      </c>
      <c r="T355">
        <f t="shared" si="277"/>
        <v>-0.2226036732832124</v>
      </c>
      <c r="U355">
        <f t="shared" si="278"/>
        <v>0.27338122205918558</v>
      </c>
      <c r="V355">
        <f t="shared" si="279"/>
        <v>-1.2938899140417497</v>
      </c>
      <c r="X355">
        <f t="shared" si="296"/>
        <v>-33.292466052141293</v>
      </c>
      <c r="Y355">
        <f t="shared" si="280"/>
        <v>-165.03205019136462</v>
      </c>
      <c r="Z355">
        <f t="shared" si="297"/>
        <v>14.967949808635382</v>
      </c>
      <c r="AC355">
        <v>1</v>
      </c>
      <c r="AD355">
        <f t="shared" si="281"/>
        <v>242.78001804529202</v>
      </c>
      <c r="AE355">
        <f t="shared" si="282"/>
        <v>-0.10754294475637191</v>
      </c>
      <c r="AF355">
        <f t="shared" si="283"/>
        <v>3.0564554891850001E-2</v>
      </c>
      <c r="AG355">
        <f t="shared" si="298"/>
        <v>585.04873794801972</v>
      </c>
      <c r="AH355">
        <f t="shared" si="299"/>
        <v>-2091.2414504676003</v>
      </c>
      <c r="AJ355">
        <f t="shared" si="284"/>
        <v>21000</v>
      </c>
      <c r="AK355">
        <f t="shared" si="285"/>
        <v>4753.4527325281497</v>
      </c>
      <c r="AL355">
        <v>1</v>
      </c>
      <c r="AM355">
        <f t="shared" si="286"/>
        <v>93.24891325852515</v>
      </c>
      <c r="AN355">
        <f t="shared" si="300"/>
        <v>53.38490022668266</v>
      </c>
      <c r="AO355">
        <f t="shared" si="301"/>
        <v>-224.63119802480168</v>
      </c>
      <c r="AQ355">
        <f t="shared" si="287"/>
        <v>5.0299255420122018E-3</v>
      </c>
      <c r="AR355">
        <f t="shared" si="288"/>
        <v>-7.0921950142372046</v>
      </c>
      <c r="AT355">
        <f t="shared" si="313"/>
        <v>-14828.549436982168</v>
      </c>
      <c r="AU355">
        <f t="shared" si="314"/>
        <v>-4159.7985311469356</v>
      </c>
      <c r="AV355">
        <f t="shared" si="302"/>
        <v>-2.8680959529306098</v>
      </c>
      <c r="AW355">
        <f t="shared" si="303"/>
        <v>-1246.7763050087576</v>
      </c>
      <c r="AX355">
        <f t="shared" si="304"/>
        <v>-2857.6592599769606</v>
      </c>
      <c r="AY355">
        <f t="shared" si="312"/>
        <v>-1.9821931056054765</v>
      </c>
      <c r="BA355">
        <f t="shared" si="289"/>
        <v>4.9396930185798782</v>
      </c>
      <c r="BB355">
        <f t="shared" si="305"/>
        <v>13.873999203252808</v>
      </c>
      <c r="BC355">
        <f t="shared" si="306"/>
        <v>-0.88590284732513336</v>
      </c>
      <c r="BD355">
        <f t="shared" si="290"/>
        <v>-230.75849426835271</v>
      </c>
      <c r="BF355">
        <f t="shared" si="291"/>
        <v>-38.885796061632092</v>
      </c>
      <c r="BG355">
        <f t="shared" si="292"/>
        <v>-218.05144938269191</v>
      </c>
      <c r="BH355">
        <f t="shared" si="307"/>
        <v>-38.051449382691914</v>
      </c>
      <c r="BI355">
        <f t="shared" si="308"/>
        <v>-38.051449382691914</v>
      </c>
      <c r="BJ355">
        <f t="shared" si="293"/>
        <v>0</v>
      </c>
      <c r="BK355">
        <f t="shared" si="309"/>
        <v>0</v>
      </c>
      <c r="BM355">
        <f t="shared" si="310"/>
        <v>-52.7597952648849</v>
      </c>
      <c r="BN355">
        <f t="shared" si="294"/>
        <v>-167.29295511433924</v>
      </c>
      <c r="BQ355" s="66">
        <f t="shared" si="311"/>
        <v>30.775960003537939</v>
      </c>
      <c r="BR355" s="71"/>
      <c r="BS355" s="71"/>
      <c r="BT355" s="71">
        <v>281838.29300000001</v>
      </c>
      <c r="BU355" s="71">
        <v>15.1486</v>
      </c>
      <c r="BV355" s="71">
        <v>-177.72399999999999</v>
      </c>
      <c r="BY355" s="71"/>
      <c r="BZ355" s="71"/>
      <c r="CA355" s="71"/>
      <c r="CC355" s="71"/>
    </row>
    <row r="356" spans="1:81" ht="13" x14ac:dyDescent="0.3">
      <c r="A356">
        <f t="shared" si="263"/>
        <v>710000</v>
      </c>
      <c r="B356">
        <f t="shared" si="295"/>
        <v>710</v>
      </c>
      <c r="C356">
        <f t="shared" si="264"/>
        <v>1.0245743875737818</v>
      </c>
      <c r="D356">
        <f t="shared" si="265"/>
        <v>0.21946056325196869</v>
      </c>
      <c r="F356">
        <f t="shared" si="266"/>
        <v>1.4770004657425656E-4</v>
      </c>
      <c r="G356">
        <f t="shared" si="267"/>
        <v>3.7891739770244447E-3</v>
      </c>
      <c r="H356">
        <f t="shared" si="268"/>
        <v>-3.1378034760229756</v>
      </c>
      <c r="J356">
        <f t="shared" si="269"/>
        <v>15</v>
      </c>
      <c r="M356">
        <f t="shared" si="270"/>
        <v>1.5470109864380134E-3</v>
      </c>
      <c r="N356">
        <f t="shared" si="271"/>
        <v>-1.5707963250000001</v>
      </c>
      <c r="O356">
        <f t="shared" si="272"/>
        <v>244.5039071105524</v>
      </c>
      <c r="P356">
        <f t="shared" si="273"/>
        <v>1.5667064011992762</v>
      </c>
      <c r="Q356">
        <f t="shared" si="274"/>
        <v>93.915577150220813</v>
      </c>
      <c r="R356">
        <f t="shared" si="275"/>
        <v>1.5601482647005598</v>
      </c>
      <c r="S356">
        <f t="shared" si="276"/>
        <v>0.97498778412161624</v>
      </c>
      <c r="T356">
        <f t="shared" si="277"/>
        <v>-0.22413025442056028</v>
      </c>
      <c r="U356">
        <f t="shared" si="278"/>
        <v>0.27159848365456951</v>
      </c>
      <c r="V356">
        <f t="shared" si="279"/>
        <v>-1.2957427672163528</v>
      </c>
      <c r="X356">
        <f t="shared" si="296"/>
        <v>-33.410825302613908</v>
      </c>
      <c r="Y356">
        <f t="shared" si="280"/>
        <v>-165.13546618828988</v>
      </c>
      <c r="Z356">
        <f t="shared" si="297"/>
        <v>14.864533811710118</v>
      </c>
      <c r="AC356">
        <v>1</v>
      </c>
      <c r="AD356">
        <f t="shared" si="281"/>
        <v>244.50186214490401</v>
      </c>
      <c r="AE356">
        <f t="shared" si="282"/>
        <v>-0.10907378592965561</v>
      </c>
      <c r="AF356">
        <f t="shared" si="283"/>
        <v>3.0781324784700002E-2</v>
      </c>
      <c r="AG356">
        <f t="shared" si="298"/>
        <v>577.44332786453867</v>
      </c>
      <c r="AH356">
        <f t="shared" si="299"/>
        <v>-2078.6606937011406</v>
      </c>
      <c r="AJ356">
        <f t="shared" si="284"/>
        <v>21000</v>
      </c>
      <c r="AK356">
        <f t="shared" si="285"/>
        <v>4787.1651632553003</v>
      </c>
      <c r="AL356">
        <v>1</v>
      </c>
      <c r="AM356">
        <f t="shared" si="286"/>
        <v>93.910253068869295</v>
      </c>
      <c r="AN356">
        <f t="shared" si="300"/>
        <v>53.351094770629615</v>
      </c>
      <c r="AO356">
        <f t="shared" si="301"/>
        <v>-223.0496481557567</v>
      </c>
      <c r="AQ356">
        <f t="shared" si="287"/>
        <v>4.9593310060846033E-3</v>
      </c>
      <c r="AR356">
        <f t="shared" si="288"/>
        <v>-7.0422500286401366</v>
      </c>
      <c r="AT356">
        <f t="shared" si="313"/>
        <v>-14635.584597149849</v>
      </c>
      <c r="AU356">
        <f t="shared" si="314"/>
        <v>-4076.8090586215044</v>
      </c>
      <c r="AV356">
        <f t="shared" si="302"/>
        <v>-2.8699247943711734</v>
      </c>
      <c r="AW356">
        <f t="shared" si="303"/>
        <v>-1228.2705845098249</v>
      </c>
      <c r="AX356">
        <f t="shared" si="304"/>
        <v>-2838.3265040864794</v>
      </c>
      <c r="AY356">
        <f t="shared" si="312"/>
        <v>-1.9792084244771178</v>
      </c>
      <c r="BA356">
        <f t="shared" si="289"/>
        <v>4.9124785250576197</v>
      </c>
      <c r="BB356">
        <f t="shared" si="305"/>
        <v>13.826013297310944</v>
      </c>
      <c r="BC356">
        <f t="shared" si="306"/>
        <v>-0.89071636989405567</v>
      </c>
      <c r="BD356">
        <f t="shared" si="290"/>
        <v>-231.03428879645807</v>
      </c>
      <c r="BF356">
        <f t="shared" si="291"/>
        <v>-39.053678973743885</v>
      </c>
      <c r="BG356">
        <f t="shared" si="292"/>
        <v>-218.24302106121593</v>
      </c>
      <c r="BH356">
        <f t="shared" si="307"/>
        <v>-38.243021061215927</v>
      </c>
      <c r="BI356">
        <f t="shared" si="308"/>
        <v>-38.243021061215927</v>
      </c>
      <c r="BJ356">
        <f t="shared" si="293"/>
        <v>0</v>
      </c>
      <c r="BK356">
        <f t="shared" si="309"/>
        <v>0</v>
      </c>
      <c r="BM356">
        <f t="shared" si="310"/>
        <v>-52.879692271054822</v>
      </c>
      <c r="BN356">
        <f t="shared" si="294"/>
        <v>-167.20873226475786</v>
      </c>
      <c r="BQ356" s="66">
        <f t="shared" si="311"/>
        <v>30.727974097596082</v>
      </c>
      <c r="BR356" s="71"/>
      <c r="BS356" s="71"/>
      <c r="BT356" s="71">
        <v>288403.15000000002</v>
      </c>
      <c r="BU356" s="71">
        <v>14.961</v>
      </c>
      <c r="BV356" s="71">
        <v>-178.92099999999999</v>
      </c>
      <c r="BY356" s="71"/>
      <c r="BZ356" s="71"/>
      <c r="CA356" s="71"/>
      <c r="CC356" s="71"/>
    </row>
    <row r="357" spans="1:81" ht="13" x14ac:dyDescent="0.3">
      <c r="A357">
        <f t="shared" si="263"/>
        <v>715000</v>
      </c>
      <c r="B357">
        <f t="shared" si="295"/>
        <v>715</v>
      </c>
      <c r="C357">
        <f t="shared" si="264"/>
        <v>1.0249175015503251</v>
      </c>
      <c r="D357">
        <f t="shared" si="265"/>
        <v>0.22095641183412371</v>
      </c>
      <c r="F357">
        <f t="shared" si="266"/>
        <v>1.4564124657780799E-4</v>
      </c>
      <c r="G357">
        <f t="shared" si="267"/>
        <v>3.7626686926888813E-3</v>
      </c>
      <c r="H357">
        <f t="shared" si="268"/>
        <v>-3.1378299813073114</v>
      </c>
      <c r="J357">
        <f t="shared" si="269"/>
        <v>15</v>
      </c>
      <c r="M357">
        <f t="shared" si="270"/>
        <v>1.5361927277915937E-3</v>
      </c>
      <c r="N357">
        <f t="shared" si="271"/>
        <v>-1.5707963250000001</v>
      </c>
      <c r="O357">
        <f t="shared" si="272"/>
        <v>246.22573690982369</v>
      </c>
      <c r="P357">
        <f t="shared" si="273"/>
        <v>1.5667350017619586</v>
      </c>
      <c r="Q357">
        <f t="shared" si="274"/>
        <v>94.576879731315415</v>
      </c>
      <c r="R357">
        <f t="shared" si="275"/>
        <v>1.5602227211038768</v>
      </c>
      <c r="S357">
        <f t="shared" si="276"/>
        <v>0.97464759017314895</v>
      </c>
      <c r="T357">
        <f t="shared" si="277"/>
        <v>-0.2256557737978212</v>
      </c>
      <c r="U357">
        <f t="shared" si="278"/>
        <v>0.26983793689888935</v>
      </c>
      <c r="V357">
        <f t="shared" si="279"/>
        <v>-1.2975716055940514</v>
      </c>
      <c r="X357">
        <f t="shared" si="296"/>
        <v>-33.528413813751925</v>
      </c>
      <c r="Y357">
        <f t="shared" si="280"/>
        <v>-165.23756483192065</v>
      </c>
      <c r="Z357">
        <f t="shared" si="297"/>
        <v>14.76243516807935</v>
      </c>
      <c r="AC357">
        <v>1</v>
      </c>
      <c r="AD357">
        <f t="shared" si="281"/>
        <v>246.22370624451599</v>
      </c>
      <c r="AE357">
        <f t="shared" si="282"/>
        <v>-0.11061544576847487</v>
      </c>
      <c r="AF357">
        <f t="shared" si="283"/>
        <v>3.0998094677549999E-2</v>
      </c>
      <c r="AG357">
        <f t="shared" si="298"/>
        <v>569.98142287520398</v>
      </c>
      <c r="AH357">
        <f t="shared" si="299"/>
        <v>-2066.2156767163119</v>
      </c>
      <c r="AJ357">
        <f t="shared" si="284"/>
        <v>21000</v>
      </c>
      <c r="AK357">
        <f t="shared" si="285"/>
        <v>4820.87759398245</v>
      </c>
      <c r="AL357">
        <v>1</v>
      </c>
      <c r="AM357">
        <f t="shared" si="286"/>
        <v>94.571592879213455</v>
      </c>
      <c r="AN357">
        <f t="shared" si="300"/>
        <v>53.31799593156984</v>
      </c>
      <c r="AO357">
        <f t="shared" si="301"/>
        <v>-221.49021039353192</v>
      </c>
      <c r="AQ357">
        <f t="shared" si="287"/>
        <v>4.8902122890056784E-3</v>
      </c>
      <c r="AR357">
        <f t="shared" si="288"/>
        <v>-6.9930035732781199</v>
      </c>
      <c r="AT357">
        <f t="shared" si="313"/>
        <v>-14446.266280281789</v>
      </c>
      <c r="AU357">
        <f t="shared" si="314"/>
        <v>-3995.9863601624629</v>
      </c>
      <c r="AV357">
        <f t="shared" si="302"/>
        <v>-2.8717299568365759</v>
      </c>
      <c r="AW357">
        <f t="shared" si="303"/>
        <v>-1210.1591961146405</v>
      </c>
      <c r="AX357">
        <f t="shared" si="304"/>
        <v>-2819.2498135400606</v>
      </c>
      <c r="AY357">
        <f t="shared" si="312"/>
        <v>-1.9762601139911953</v>
      </c>
      <c r="BA357">
        <f t="shared" si="289"/>
        <v>4.8855025457196248</v>
      </c>
      <c r="BB357">
        <f t="shared" si="305"/>
        <v>13.778184878423563</v>
      </c>
      <c r="BC357">
        <f t="shared" si="306"/>
        <v>-0.89546984284538067</v>
      </c>
      <c r="BD357">
        <f t="shared" si="290"/>
        <v>-231.30664273490979</v>
      </c>
      <c r="BF357">
        <f t="shared" si="291"/>
        <v>-39.220524005679508</v>
      </c>
      <c r="BG357">
        <f t="shared" si="292"/>
        <v>-218.43118782995057</v>
      </c>
      <c r="BH357">
        <f t="shared" si="307"/>
        <v>-38.431187829950574</v>
      </c>
      <c r="BI357">
        <f t="shared" si="308"/>
        <v>-38.431187829950574</v>
      </c>
      <c r="BJ357">
        <f t="shared" si="293"/>
        <v>0</v>
      </c>
      <c r="BK357">
        <f t="shared" si="309"/>
        <v>0</v>
      </c>
      <c r="BM357">
        <f t="shared" si="310"/>
        <v>-52.998708884103074</v>
      </c>
      <c r="BN357">
        <f t="shared" si="294"/>
        <v>-167.12454509504079</v>
      </c>
      <c r="BQ357" s="66">
        <f t="shared" si="311"/>
        <v>30.680145678708701</v>
      </c>
      <c r="BR357" s="71"/>
      <c r="BS357" s="71"/>
      <c r="BT357" s="71">
        <v>295120.92300000001</v>
      </c>
      <c r="BU357" s="71">
        <v>14.946199999999999</v>
      </c>
      <c r="BV357" s="71">
        <v>-181.99</v>
      </c>
      <c r="BW357" s="75"/>
      <c r="BY357" s="71"/>
      <c r="BZ357" s="71"/>
      <c r="CA357" s="71"/>
      <c r="CC357" s="71"/>
    </row>
    <row r="358" spans="1:81" ht="13" x14ac:dyDescent="0.3">
      <c r="A358">
        <f t="shared" si="263"/>
        <v>720000</v>
      </c>
      <c r="B358">
        <f t="shared" si="295"/>
        <v>720</v>
      </c>
      <c r="C358">
        <f t="shared" si="264"/>
        <v>1.025262907306375</v>
      </c>
      <c r="D358">
        <f t="shared" si="265"/>
        <v>0.22245125587195566</v>
      </c>
      <c r="F358">
        <f t="shared" si="266"/>
        <v>1.4362519703291267E-4</v>
      </c>
      <c r="G358">
        <f t="shared" si="267"/>
        <v>3.7365316932801819E-3</v>
      </c>
      <c r="H358">
        <f t="shared" si="268"/>
        <v>-3.1378561183067202</v>
      </c>
      <c r="J358">
        <f t="shared" si="269"/>
        <v>15</v>
      </c>
      <c r="M358">
        <f t="shared" si="270"/>
        <v>1.5255247227374854E-3</v>
      </c>
      <c r="N358">
        <f t="shared" si="271"/>
        <v>-1.5707963250000001</v>
      </c>
      <c r="O358">
        <f t="shared" si="272"/>
        <v>247.94756690770836</v>
      </c>
      <c r="P358">
        <f t="shared" si="273"/>
        <v>1.5667632051011107</v>
      </c>
      <c r="Q358">
        <f t="shared" si="274"/>
        <v>95.23818282943985</v>
      </c>
      <c r="R358">
        <f t="shared" si="275"/>
        <v>1.5602961435052931</v>
      </c>
      <c r="S358">
        <f t="shared" si="276"/>
        <v>0.97430536850622063</v>
      </c>
      <c r="T358">
        <f t="shared" si="277"/>
        <v>-0.22718022542934385</v>
      </c>
      <c r="U358">
        <f t="shared" si="278"/>
        <v>0.26809918801629606</v>
      </c>
      <c r="V358">
        <f t="shared" si="279"/>
        <v>-1.2993768810524373</v>
      </c>
      <c r="X358">
        <f t="shared" si="296"/>
        <v>-33.645241245458102</v>
      </c>
      <c r="Y358">
        <f t="shared" si="280"/>
        <v>-165.33837070055074</v>
      </c>
      <c r="Z358">
        <f t="shared" si="297"/>
        <v>14.66162929944926</v>
      </c>
      <c r="AC358">
        <v>1</v>
      </c>
      <c r="AD358">
        <f t="shared" si="281"/>
        <v>247.94555034412801</v>
      </c>
      <c r="AE358">
        <f t="shared" si="282"/>
        <v>-0.11216792427282975</v>
      </c>
      <c r="AF358">
        <f t="shared" si="283"/>
        <v>3.1214864570400003E-2</v>
      </c>
      <c r="AG358">
        <f t="shared" si="298"/>
        <v>562.65953511513612</v>
      </c>
      <c r="AH358">
        <f t="shared" si="299"/>
        <v>-2053.9045422281197</v>
      </c>
      <c r="AJ358">
        <f t="shared" si="284"/>
        <v>21000</v>
      </c>
      <c r="AK358">
        <f t="shared" si="285"/>
        <v>4854.5900247096006</v>
      </c>
      <c r="AL358">
        <v>1</v>
      </c>
      <c r="AM358">
        <f t="shared" si="286"/>
        <v>95.2329326895576</v>
      </c>
      <c r="AN358">
        <f t="shared" si="300"/>
        <v>53.285584153186726</v>
      </c>
      <c r="AO358">
        <f t="shared" si="301"/>
        <v>-219.95242427458757</v>
      </c>
      <c r="AQ358">
        <f t="shared" si="287"/>
        <v>4.822528538518259E-3</v>
      </c>
      <c r="AR358">
        <f t="shared" si="288"/>
        <v>-6.944441095466293</v>
      </c>
      <c r="AT358">
        <f t="shared" si="313"/>
        <v>-14260.505667548276</v>
      </c>
      <c r="AU358">
        <f t="shared" si="314"/>
        <v>-3917.2610116797982</v>
      </c>
      <c r="AV358">
        <f t="shared" si="302"/>
        <v>-2.8735118852083081</v>
      </c>
      <c r="AW358">
        <f t="shared" si="303"/>
        <v>-1192.4309911837513</v>
      </c>
      <c r="AX358">
        <f t="shared" si="304"/>
        <v>-2800.4241818134019</v>
      </c>
      <c r="AY358">
        <f t="shared" si="312"/>
        <v>-1.973347522300626</v>
      </c>
      <c r="BA358">
        <f t="shared" si="289"/>
        <v>4.8587634957579748</v>
      </c>
      <c r="BB358">
        <f t="shared" si="305"/>
        <v>13.730515198848005</v>
      </c>
      <c r="BC358">
        <f t="shared" si="306"/>
        <v>-0.90016436290768209</v>
      </c>
      <c r="BD358">
        <f t="shared" si="290"/>
        <v>-231.5756189216265</v>
      </c>
      <c r="BF358">
        <f t="shared" si="291"/>
        <v>-39.386341961479502</v>
      </c>
      <c r="BG358">
        <f t="shared" si="292"/>
        <v>-218.61601330192835</v>
      </c>
      <c r="BH358">
        <f t="shared" si="307"/>
        <v>-38.616013301928348</v>
      </c>
      <c r="BI358">
        <f t="shared" si="308"/>
        <v>-38.616013301928348</v>
      </c>
      <c r="BJ358">
        <f t="shared" si="293"/>
        <v>0</v>
      </c>
      <c r="BK358">
        <f t="shared" si="309"/>
        <v>0</v>
      </c>
      <c r="BM358">
        <f t="shared" si="310"/>
        <v>-53.116857160327498</v>
      </c>
      <c r="BN358">
        <f t="shared" si="294"/>
        <v>-167.04039438030185</v>
      </c>
      <c r="BQ358" s="66">
        <f t="shared" si="311"/>
        <v>30.632475999133142</v>
      </c>
      <c r="BR358" s="71"/>
      <c r="BS358" s="71"/>
      <c r="BT358" s="71">
        <v>301995.17200000002</v>
      </c>
      <c r="BU358" s="71">
        <v>15.1762</v>
      </c>
      <c r="BV358" s="71">
        <v>-183.36099999999999</v>
      </c>
      <c r="BW358" s="75"/>
      <c r="BY358" s="71"/>
      <c r="BZ358" s="71"/>
      <c r="CA358" s="71"/>
      <c r="CC358" s="71"/>
    </row>
    <row r="359" spans="1:81" ht="13" x14ac:dyDescent="0.3">
      <c r="A359">
        <f t="shared" si="263"/>
        <v>725000</v>
      </c>
      <c r="B359">
        <f t="shared" si="295"/>
        <v>725</v>
      </c>
      <c r="C359">
        <f t="shared" si="264"/>
        <v>1.0256106025264509</v>
      </c>
      <c r="D359">
        <f t="shared" si="265"/>
        <v>0.22394508970315538</v>
      </c>
      <c r="F359">
        <f t="shared" si="266"/>
        <v>1.4165072242455326E-4</v>
      </c>
      <c r="G359">
        <f t="shared" si="267"/>
        <v>3.7107553548508575E-3</v>
      </c>
      <c r="H359">
        <f t="shared" si="268"/>
        <v>-3.1378818946451492</v>
      </c>
      <c r="J359">
        <f t="shared" si="269"/>
        <v>15</v>
      </c>
      <c r="M359">
        <f t="shared" si="270"/>
        <v>1.5150038625806751E-3</v>
      </c>
      <c r="N359">
        <f t="shared" si="271"/>
        <v>-1.5707963250000001</v>
      </c>
      <c r="O359">
        <f t="shared" si="272"/>
        <v>249.66939710009729</v>
      </c>
      <c r="P359">
        <f t="shared" si="273"/>
        <v>1.5667910194349726</v>
      </c>
      <c r="Q359">
        <f t="shared" si="274"/>
        <v>95.899486433898147</v>
      </c>
      <c r="R359">
        <f t="shared" si="275"/>
        <v>1.5603685532948175</v>
      </c>
      <c r="S359">
        <f t="shared" si="276"/>
        <v>0.97396112602531781</v>
      </c>
      <c r="T359">
        <f t="shared" si="277"/>
        <v>-0.22870360335770398</v>
      </c>
      <c r="U359">
        <f t="shared" si="278"/>
        <v>0.26638185200763165</v>
      </c>
      <c r="V359">
        <f t="shared" si="279"/>
        <v>-1.3011590345141308</v>
      </c>
      <c r="X359">
        <f t="shared" si="296"/>
        <v>-33.761317083190704</v>
      </c>
      <c r="Y359">
        <f t="shared" si="280"/>
        <v>-165.43790778066881</v>
      </c>
      <c r="Z359">
        <f t="shared" si="297"/>
        <v>14.562092219331191</v>
      </c>
      <c r="AC359">
        <v>1</v>
      </c>
      <c r="AD359">
        <f t="shared" si="281"/>
        <v>249.66739444373999</v>
      </c>
      <c r="AE359">
        <f t="shared" si="282"/>
        <v>-0.11373122144272016</v>
      </c>
      <c r="AF359">
        <f t="shared" si="283"/>
        <v>3.1431634463250001E-2</v>
      </c>
      <c r="AG359">
        <f t="shared" si="298"/>
        <v>555.47427878847145</v>
      </c>
      <c r="AH359">
        <f t="shared" si="299"/>
        <v>-2041.7254559784451</v>
      </c>
      <c r="AJ359">
        <f t="shared" si="284"/>
        <v>21000</v>
      </c>
      <c r="AK359">
        <f t="shared" si="285"/>
        <v>4888.3024554367503</v>
      </c>
      <c r="AL359">
        <v>1</v>
      </c>
      <c r="AM359">
        <f t="shared" si="286"/>
        <v>95.89427249990176</v>
      </c>
      <c r="AN359">
        <f t="shared" si="300"/>
        <v>53.253840551038152</v>
      </c>
      <c r="AO359">
        <f t="shared" si="301"/>
        <v>-218.43584203082017</v>
      </c>
      <c r="AQ359">
        <f t="shared" si="287"/>
        <v>4.7562403061877263E-3</v>
      </c>
      <c r="AR359">
        <f t="shared" si="288"/>
        <v>-6.8965484439722022</v>
      </c>
      <c r="AT359">
        <f t="shared" si="313"/>
        <v>-14078.216547292755</v>
      </c>
      <c r="AU359">
        <f t="shared" si="314"/>
        <v>-3840.5662099531082</v>
      </c>
      <c r="AV359">
        <f t="shared" si="302"/>
        <v>-2.8752710136058766</v>
      </c>
      <c r="AW359">
        <f t="shared" si="303"/>
        <v>-1175.0752127294181</v>
      </c>
      <c r="AX359">
        <f t="shared" si="304"/>
        <v>-2781.8447316834508</v>
      </c>
      <c r="AY359">
        <f t="shared" si="312"/>
        <v>-1.9704700118248406</v>
      </c>
      <c r="BA359">
        <f t="shared" si="289"/>
        <v>4.8322597390333666</v>
      </c>
      <c r="BB359">
        <f t="shared" si="305"/>
        <v>13.683005400495059</v>
      </c>
      <c r="BC359">
        <f t="shared" si="306"/>
        <v>-0.90480100178103595</v>
      </c>
      <c r="BD359">
        <f t="shared" si="290"/>
        <v>-231.84127876049953</v>
      </c>
      <c r="BF359">
        <f t="shared" si="291"/>
        <v>-39.551143506064477</v>
      </c>
      <c r="BG359">
        <f t="shared" si="292"/>
        <v>-218.79755964228696</v>
      </c>
      <c r="BH359">
        <f t="shared" si="307"/>
        <v>-38.797559642286956</v>
      </c>
      <c r="BI359">
        <f t="shared" si="308"/>
        <v>-38.797559642286956</v>
      </c>
      <c r="BJ359">
        <f t="shared" si="293"/>
        <v>0</v>
      </c>
      <c r="BK359">
        <f t="shared" si="309"/>
        <v>0</v>
      </c>
      <c r="BM359">
        <f t="shared" si="310"/>
        <v>-53.23414890655954</v>
      </c>
      <c r="BN359">
        <f t="shared" si="294"/>
        <v>-166.95628088178745</v>
      </c>
      <c r="BQ359" s="66">
        <f t="shared" si="311"/>
        <v>30.584966200780194</v>
      </c>
      <c r="BR359" s="71"/>
      <c r="BS359" s="71"/>
      <c r="BT359" s="71">
        <v>309029.54300000001</v>
      </c>
      <c r="BU359" s="71">
        <v>15.284700000000001</v>
      </c>
      <c r="BV359" s="71">
        <v>-186.209</v>
      </c>
      <c r="BW359" s="75"/>
      <c r="BY359" s="71"/>
      <c r="BZ359" s="71"/>
      <c r="CA359" s="71"/>
      <c r="CC359" s="71"/>
    </row>
    <row r="360" spans="1:81" ht="13" x14ac:dyDescent="0.3">
      <c r="A360">
        <f t="shared" si="263"/>
        <v>730000</v>
      </c>
      <c r="B360">
        <f t="shared" si="295"/>
        <v>730</v>
      </c>
      <c r="C360">
        <f t="shared" si="264"/>
        <v>1.0259605848828734</v>
      </c>
      <c r="D360">
        <f t="shared" si="265"/>
        <v>0.22543790769109873</v>
      </c>
      <c r="F360">
        <f t="shared" si="266"/>
        <v>1.3971668736760651E-4</v>
      </c>
      <c r="G360">
        <f t="shared" si="267"/>
        <v>3.6853322624731031E-3</v>
      </c>
      <c r="H360">
        <f t="shared" si="268"/>
        <v>-3.1379073177375272</v>
      </c>
      <c r="J360">
        <f t="shared" si="269"/>
        <v>15</v>
      </c>
      <c r="M360">
        <f t="shared" si="270"/>
        <v>1.5046271237958758E-3</v>
      </c>
      <c r="N360">
        <f t="shared" si="271"/>
        <v>-1.5707963250000001</v>
      </c>
      <c r="O360">
        <f t="shared" si="272"/>
        <v>251.3912274829938</v>
      </c>
      <c r="P360">
        <f t="shared" si="273"/>
        <v>1.5668184527566329</v>
      </c>
      <c r="Q360">
        <f t="shared" si="274"/>
        <v>96.560790534287335</v>
      </c>
      <c r="R360">
        <f t="shared" si="275"/>
        <v>1.5604399712765369</v>
      </c>
      <c r="S360">
        <f t="shared" si="276"/>
        <v>0.97361486966236099</v>
      </c>
      <c r="T360">
        <f t="shared" si="277"/>
        <v>-0.23022590165379977</v>
      </c>
      <c r="U360">
        <f t="shared" si="278"/>
        <v>0.2646855524239376</v>
      </c>
      <c r="V360">
        <f t="shared" si="279"/>
        <v>-1.3029184962666436</v>
      </c>
      <c r="X360">
        <f t="shared" si="296"/>
        <v>-33.876650642000911</v>
      </c>
      <c r="Y360">
        <f t="shared" si="280"/>
        <v>-165.53619948406305</v>
      </c>
      <c r="Z360">
        <f t="shared" si="297"/>
        <v>14.463800515936953</v>
      </c>
      <c r="AC360">
        <v>1</v>
      </c>
      <c r="AD360">
        <f t="shared" si="281"/>
        <v>251.38923854335204</v>
      </c>
      <c r="AE360">
        <f t="shared" si="282"/>
        <v>-0.11530533727814615</v>
      </c>
      <c r="AF360">
        <f t="shared" si="283"/>
        <v>3.1648404356100002E-2</v>
      </c>
      <c r="AG360">
        <f t="shared" ref="AG360:AG423" si="315">AC360*AE360/(AE360^2+AF360^2)+AD360*AF360/(AE360^2+AF360^2)</f>
        <v>548.42236673264142</v>
      </c>
      <c r="AH360">
        <f t="shared" ref="AH360:AH423" si="316">AD360*AE360/(AE360^2+AF360^2)-AC360*AF360/(AE360^2+AF360^2)</f>
        <v>-2029.6766068904626</v>
      </c>
      <c r="AJ360">
        <f t="shared" si="284"/>
        <v>21000</v>
      </c>
      <c r="AK360">
        <f t="shared" si="285"/>
        <v>4922.0148861639009</v>
      </c>
      <c r="AL360">
        <v>1</v>
      </c>
      <c r="AM360">
        <f t="shared" si="286"/>
        <v>96.555612310245905</v>
      </c>
      <c r="AN360">
        <f t="shared" ref="AN360:AN423" si="317">AJ360*AL360/(AL360^2+AM360^2)+AK360*AM360/(AL360^2+AM360^2)</f>
        <v>53.222746885047286</v>
      </c>
      <c r="AO360">
        <f t="shared" ref="AO360:AO423" si="318">AK360*AL360/(AL360^2+AM360^2)-AJ360*AM360/(AL360^2+AM360^2)</f>
        <v>-216.94002815507193</v>
      </c>
      <c r="AQ360">
        <f t="shared" si="287"/>
        <v>4.691309489909228E-3</v>
      </c>
      <c r="AR360">
        <f t="shared" si="288"/>
        <v>-6.849311855267473</v>
      </c>
      <c r="AT360">
        <f t="shared" si="313"/>
        <v>-13899.315226880371</v>
      </c>
      <c r="AU360">
        <f t="shared" si="314"/>
        <v>-3765.8376592830787</v>
      </c>
      <c r="AV360">
        <f t="shared" si="302"/>
        <v>-2.8770077657000619</v>
      </c>
      <c r="AW360">
        <f t="shared" si="303"/>
        <v>-1158.0814790185625</v>
      </c>
      <c r="AX360">
        <f t="shared" si="304"/>
        <v>-2763.5067110592695</v>
      </c>
      <c r="AY360">
        <f t="shared" si="312"/>
        <v>-1.9676269589109459</v>
      </c>
      <c r="BA360">
        <f t="shared" si="289"/>
        <v>4.8059895927916454</v>
      </c>
      <c r="BB360">
        <f t="shared" si="305"/>
        <v>13.63565652037696</v>
      </c>
      <c r="BC360">
        <f t="shared" si="306"/>
        <v>-0.90938080678911604</v>
      </c>
      <c r="BD360">
        <f t="shared" si="290"/>
        <v>-232.10368225875524</v>
      </c>
      <c r="BF360">
        <f t="shared" si="291"/>
        <v>-39.7149391666536</v>
      </c>
      <c r="BG360">
        <f t="shared" si="292"/>
        <v>-218.97588760605166</v>
      </c>
      <c r="BH360">
        <f t="shared" si="307"/>
        <v>-38.975887606051657</v>
      </c>
      <c r="BI360">
        <f t="shared" si="308"/>
        <v>-38.975887606051657</v>
      </c>
      <c r="BJ360">
        <f t="shared" si="293"/>
        <v>0</v>
      </c>
      <c r="BK360">
        <f t="shared" si="309"/>
        <v>0</v>
      </c>
      <c r="BM360">
        <f t="shared" si="310"/>
        <v>-53.350595687030562</v>
      </c>
      <c r="BN360">
        <f t="shared" si="294"/>
        <v>-166.87220534729641</v>
      </c>
      <c r="BQ360" s="66">
        <f t="shared" si="311"/>
        <v>30.537617320662097</v>
      </c>
      <c r="BR360" s="71"/>
      <c r="BS360" s="71"/>
      <c r="BT360" s="71">
        <v>316227.766</v>
      </c>
      <c r="BU360" s="71">
        <v>15.331799999999999</v>
      </c>
      <c r="BV360" s="71">
        <v>-189.75</v>
      </c>
      <c r="BW360" s="75"/>
      <c r="BY360" s="71"/>
      <c r="BZ360" s="71"/>
      <c r="CA360" s="71"/>
      <c r="CC360" s="71"/>
    </row>
    <row r="361" spans="1:81" ht="13" x14ac:dyDescent="0.3">
      <c r="A361">
        <f t="shared" si="263"/>
        <v>735000</v>
      </c>
      <c r="B361">
        <f t="shared" si="295"/>
        <v>735</v>
      </c>
      <c r="C361">
        <f t="shared" si="264"/>
        <v>1.0263128520358378</v>
      </c>
      <c r="D361">
        <f t="shared" si="265"/>
        <v>0.22692970422493525</v>
      </c>
      <c r="F361">
        <f t="shared" si="266"/>
        <v>1.3782199497397443E-4</v>
      </c>
      <c r="G361">
        <f t="shared" si="267"/>
        <v>3.6602552031234485E-3</v>
      </c>
      <c r="H361">
        <f t="shared" si="268"/>
        <v>-3.1379323947968767</v>
      </c>
      <c r="J361">
        <f t="shared" si="269"/>
        <v>15</v>
      </c>
      <c r="M361">
        <f t="shared" si="270"/>
        <v>1.4943915651305978E-3</v>
      </c>
      <c r="N361">
        <f t="shared" si="271"/>
        <v>-1.5707963250000001</v>
      </c>
      <c r="O361">
        <f t="shared" si="272"/>
        <v>253.11305805251013</v>
      </c>
      <c r="P361">
        <f t="shared" si="273"/>
        <v>1.5668455128416878</v>
      </c>
      <c r="Q361">
        <f t="shared" si="274"/>
        <v>97.22209512048741</v>
      </c>
      <c r="R361">
        <f t="shared" si="275"/>
        <v>1.5605104176885423</v>
      </c>
      <c r="S361">
        <f t="shared" si="276"/>
        <v>0.9732666063763461</v>
      </c>
      <c r="T361">
        <f t="shared" si="277"/>
        <v>-0.23174711441694584</v>
      </c>
      <c r="U361">
        <f t="shared" si="278"/>
        <v>0.26300992114622984</v>
      </c>
      <c r="V361">
        <f t="shared" si="279"/>
        <v>-1.3046556862714966</v>
      </c>
      <c r="X361">
        <f t="shared" si="296"/>
        <v>-33.991251070457508</v>
      </c>
      <c r="Y361">
        <f t="shared" si="280"/>
        <v>-165.63326866435966</v>
      </c>
      <c r="Z361">
        <f t="shared" si="297"/>
        <v>14.366731335640338</v>
      </c>
      <c r="AC361">
        <v>1</v>
      </c>
      <c r="AD361">
        <f t="shared" si="281"/>
        <v>253.11108264296405</v>
      </c>
      <c r="AE361">
        <f t="shared" si="282"/>
        <v>-0.11689027177910773</v>
      </c>
      <c r="AF361">
        <f t="shared" si="283"/>
        <v>3.1865174248950003E-2</v>
      </c>
      <c r="AG361">
        <f t="shared" si="315"/>
        <v>541.50060711093022</v>
      </c>
      <c r="AH361">
        <f t="shared" si="316"/>
        <v>-2017.7562071817986</v>
      </c>
      <c r="AJ361">
        <f t="shared" si="284"/>
        <v>21000</v>
      </c>
      <c r="AK361">
        <f t="shared" si="285"/>
        <v>4955.7273168910506</v>
      </c>
      <c r="AL361">
        <v>1</v>
      </c>
      <c r="AM361">
        <f t="shared" si="286"/>
        <v>97.216952120590051</v>
      </c>
      <c r="AN361">
        <f t="shared" si="317"/>
        <v>53.192285533298268</v>
      </c>
      <c r="AO361">
        <f t="shared" si="318"/>
        <v>-215.46455898436128</v>
      </c>
      <c r="AQ361">
        <f t="shared" si="287"/>
        <v>4.627699279143283E-3</v>
      </c>
      <c r="AR361">
        <f t="shared" si="288"/>
        <v>-6.8027179403406262</v>
      </c>
      <c r="AT361">
        <f t="shared" si="313"/>
        <v>-13723.720447860094</v>
      </c>
      <c r="AU361">
        <f t="shared" si="314"/>
        <v>-3693.0134636443277</v>
      </c>
      <c r="AV361">
        <f t="shared" si="302"/>
        <v>-2.878722555015695</v>
      </c>
      <c r="AW361">
        <f t="shared" si="303"/>
        <v>-1141.439767970505</v>
      </c>
      <c r="AX361">
        <f t="shared" si="304"/>
        <v>-2745.4054889754884</v>
      </c>
      <c r="AY361">
        <f t="shared" si="312"/>
        <v>-1.9648177535020193</v>
      </c>
      <c r="BA361">
        <f t="shared" si="289"/>
        <v>4.7799513320927103</v>
      </c>
      <c r="BB361">
        <f t="shared" si="305"/>
        <v>13.588469495793916</v>
      </c>
      <c r="BC361">
        <f t="shared" si="306"/>
        <v>-0.9139048015136757</v>
      </c>
      <c r="BD361">
        <f t="shared" si="290"/>
        <v>-232.36288806330816</v>
      </c>
      <c r="BF361">
        <f t="shared" si="291"/>
        <v>-39.877739334209878</v>
      </c>
      <c r="BG361">
        <f t="shared" si="292"/>
        <v>-219.15105657489076</v>
      </c>
      <c r="BH361">
        <f t="shared" si="307"/>
        <v>-39.15105657489076</v>
      </c>
      <c r="BI361">
        <f t="shared" si="308"/>
        <v>-39.15105657489076</v>
      </c>
      <c r="BJ361">
        <f t="shared" si="293"/>
        <v>0</v>
      </c>
      <c r="BK361">
        <f t="shared" si="309"/>
        <v>0</v>
      </c>
      <c r="BM361">
        <f t="shared" si="310"/>
        <v>-53.466208830003794</v>
      </c>
      <c r="BN361">
        <f t="shared" si="294"/>
        <v>-166.78816851158263</v>
      </c>
      <c r="BQ361" s="66">
        <f t="shared" si="311"/>
        <v>30.490430296079051</v>
      </c>
      <c r="BR361" s="71"/>
      <c r="BS361" s="71"/>
      <c r="BT361" s="71">
        <v>323593.65700000001</v>
      </c>
      <c r="BU361" s="71">
        <v>15.3347</v>
      </c>
      <c r="BV361" s="71">
        <v>-192.398</v>
      </c>
      <c r="BW361" s="75"/>
      <c r="BY361" s="71"/>
      <c r="BZ361" s="71"/>
      <c r="CA361" s="71"/>
      <c r="CC361" s="71"/>
    </row>
    <row r="362" spans="1:81" ht="13" x14ac:dyDescent="0.3">
      <c r="A362">
        <f t="shared" si="263"/>
        <v>740000</v>
      </c>
      <c r="B362">
        <f t="shared" si="295"/>
        <v>740</v>
      </c>
      <c r="C362">
        <f t="shared" si="264"/>
        <v>1.0266674016334854</v>
      </c>
      <c r="D362">
        <f t="shared" si="265"/>
        <v>0.22842047371967583</v>
      </c>
      <c r="F362">
        <f t="shared" si="266"/>
        <v>1.3596558529671045E-4</v>
      </c>
      <c r="G362">
        <f t="shared" si="267"/>
        <v>3.6355171588561396E-3</v>
      </c>
      <c r="H362">
        <f t="shared" si="268"/>
        <v>-3.137957132841144</v>
      </c>
      <c r="J362">
        <f t="shared" si="269"/>
        <v>15</v>
      </c>
      <c r="M362">
        <f t="shared" si="270"/>
        <v>1.4842943248256615E-3</v>
      </c>
      <c r="N362">
        <f t="shared" si="271"/>
        <v>-1.5707963250000001</v>
      </c>
      <c r="O362">
        <f t="shared" si="272"/>
        <v>254.83488880486343</v>
      </c>
      <c r="P362">
        <f t="shared" si="273"/>
        <v>1.566872207255587</v>
      </c>
      <c r="Q362">
        <f t="shared" si="274"/>
        <v>97.883400182651911</v>
      </c>
      <c r="R362">
        <f t="shared" si="275"/>
        <v>1.5605799122220452</v>
      </c>
      <c r="S362">
        <f t="shared" si="276"/>
        <v>0.97291634315298581</v>
      </c>
      <c r="T362">
        <f t="shared" si="277"/>
        <v>-0.23326723577496516</v>
      </c>
      <c r="U362">
        <f t="shared" si="278"/>
        <v>0.26135459817137524</v>
      </c>
      <c r="V362">
        <f t="shared" si="279"/>
        <v>-1.3063710144629914</v>
      </c>
      <c r="X362">
        <f t="shared" si="296"/>
        <v>-34.105127354462908</v>
      </c>
      <c r="Y362">
        <f t="shared" si="280"/>
        <v>-165.72913763301639</v>
      </c>
      <c r="Z362">
        <f t="shared" si="297"/>
        <v>14.270862366983607</v>
      </c>
      <c r="AC362">
        <v>1</v>
      </c>
      <c r="AD362">
        <f t="shared" si="281"/>
        <v>254.83292674257603</v>
      </c>
      <c r="AE362">
        <f t="shared" si="282"/>
        <v>-0.11848602494560487</v>
      </c>
      <c r="AF362">
        <f t="shared" si="283"/>
        <v>3.2081944141799996E-2</v>
      </c>
      <c r="AG362">
        <f t="shared" si="315"/>
        <v>534.70590022817942</v>
      </c>
      <c r="AH362">
        <f t="shared" si="316"/>
        <v>-2005.9624924397565</v>
      </c>
      <c r="AJ362">
        <f t="shared" si="284"/>
        <v>21000</v>
      </c>
      <c r="AK362">
        <f t="shared" si="285"/>
        <v>4989.4397476182003</v>
      </c>
      <c r="AL362">
        <v>1</v>
      </c>
      <c r="AM362">
        <f t="shared" si="286"/>
        <v>97.878291930934211</v>
      </c>
      <c r="AN362">
        <f t="shared" si="317"/>
        <v>53.162439467066953</v>
      </c>
      <c r="AO362">
        <f t="shared" si="318"/>
        <v>-214.00902229999718</v>
      </c>
      <c r="AQ362">
        <f t="shared" si="287"/>
        <v>4.5653741027327872E-3</v>
      </c>
      <c r="AR362">
        <f t="shared" si="288"/>
        <v>-6.7567536720445256</v>
      </c>
      <c r="AT362">
        <f t="shared" si="313"/>
        <v>-13551.353304306434</v>
      </c>
      <c r="AU362">
        <f t="shared" si="314"/>
        <v>-3622.0340240446626</v>
      </c>
      <c r="AV362">
        <f t="shared" si="302"/>
        <v>-2.8804157852243457</v>
      </c>
      <c r="AW362">
        <f t="shared" si="303"/>
        <v>-1125.1404023058262</v>
      </c>
      <c r="AX362">
        <f t="shared" si="304"/>
        <v>-2727.5365517408013</v>
      </c>
      <c r="AY362">
        <f t="shared" si="312"/>
        <v>-1.9620417988125236</v>
      </c>
      <c r="BA362">
        <f t="shared" si="289"/>
        <v>4.7541431939681624</v>
      </c>
      <c r="BB362">
        <f t="shared" si="305"/>
        <v>13.541445169272148</v>
      </c>
      <c r="BC362">
        <f t="shared" si="306"/>
        <v>-0.91837398641182211</v>
      </c>
      <c r="BD362">
        <f t="shared" si="290"/>
        <v>-232.61895349612814</v>
      </c>
      <c r="BF362">
        <f t="shared" si="291"/>
        <v>-40.039554264908965</v>
      </c>
      <c r="BG362">
        <f t="shared" si="292"/>
        <v>-219.32312459286919</v>
      </c>
      <c r="BH362">
        <f t="shared" si="307"/>
        <v>-39.323124592869192</v>
      </c>
      <c r="BI362">
        <f t="shared" si="308"/>
        <v>-39.323124592869192</v>
      </c>
      <c r="BJ362">
        <f t="shared" si="293"/>
        <v>0</v>
      </c>
      <c r="BK362">
        <f t="shared" si="309"/>
        <v>0</v>
      </c>
      <c r="BM362">
        <f t="shared" si="310"/>
        <v>-53.580999434181109</v>
      </c>
      <c r="BN362">
        <f t="shared" si="294"/>
        <v>-166.70417109674108</v>
      </c>
      <c r="BQ362" s="66">
        <f t="shared" si="311"/>
        <v>30.443405969557283</v>
      </c>
      <c r="BR362" s="71"/>
      <c r="BS362" s="71"/>
      <c r="BT362" s="71">
        <v>331131.12099999998</v>
      </c>
      <c r="BU362" s="71">
        <v>15.331</v>
      </c>
      <c r="BV362" s="71">
        <v>-194.60300000000001</v>
      </c>
      <c r="BW362" s="75"/>
      <c r="BY362" s="71"/>
      <c r="BZ362" s="71"/>
      <c r="CA362" s="71"/>
      <c r="CC362" s="71"/>
    </row>
    <row r="363" spans="1:81" ht="13" x14ac:dyDescent="0.3">
      <c r="A363">
        <f t="shared" si="263"/>
        <v>745000</v>
      </c>
      <c r="B363">
        <f t="shared" si="295"/>
        <v>745</v>
      </c>
      <c r="C363">
        <f t="shared" si="264"/>
        <v>1.0270242313119777</v>
      </c>
      <c r="D363">
        <f t="shared" si="265"/>
        <v>0.2299102106162785</v>
      </c>
      <c r="F363">
        <f t="shared" si="266"/>
        <v>1.3414643384701915E-4</v>
      </c>
      <c r="G363">
        <f t="shared" si="267"/>
        <v>3.6111113002516839E-3</v>
      </c>
      <c r="H363">
        <f t="shared" si="268"/>
        <v>-3.1379815386997487</v>
      </c>
      <c r="J363">
        <f t="shared" si="269"/>
        <v>15</v>
      </c>
      <c r="M363">
        <f t="shared" si="270"/>
        <v>1.4743326179476369E-3</v>
      </c>
      <c r="N363">
        <f t="shared" si="271"/>
        <v>-1.5707963250000001</v>
      </c>
      <c r="O363">
        <f t="shared" si="272"/>
        <v>256.55671973637254</v>
      </c>
      <c r="P363">
        <f t="shared" si="273"/>
        <v>1.5668985433606863</v>
      </c>
      <c r="Q363">
        <f t="shared" si="274"/>
        <v>98.544705711198688</v>
      </c>
      <c r="R363">
        <f t="shared" si="275"/>
        <v>1.5606484740397266</v>
      </c>
      <c r="S363">
        <f t="shared" si="276"/>
        <v>0.97256408700435282</v>
      </c>
      <c r="T363">
        <f t="shared" si="277"/>
        <v>-0.23478625988427945</v>
      </c>
      <c r="U363">
        <f t="shared" si="278"/>
        <v>0.25971923140390907</v>
      </c>
      <c r="V363">
        <f t="shared" si="279"/>
        <v>-1.3080648810370212</v>
      </c>
      <c r="X363">
        <f t="shared" si="296"/>
        <v>-34.218288320963588</v>
      </c>
      <c r="Y363">
        <f t="shared" si="280"/>
        <v>-165.82382817479038</v>
      </c>
      <c r="Z363">
        <f t="shared" si="297"/>
        <v>14.176171825209622</v>
      </c>
      <c r="AC363">
        <v>1</v>
      </c>
      <c r="AD363">
        <f t="shared" si="281"/>
        <v>256.55477084218802</v>
      </c>
      <c r="AE363">
        <f t="shared" si="282"/>
        <v>-0.12009259677763759</v>
      </c>
      <c r="AF363">
        <f t="shared" si="283"/>
        <v>3.2298714034650004E-2</v>
      </c>
      <c r="AG363">
        <f t="shared" si="315"/>
        <v>528.03523546471956</v>
      </c>
      <c r="AH363">
        <f t="shared" si="316"/>
        <v>-1994.2937216617102</v>
      </c>
      <c r="AJ363">
        <f t="shared" si="284"/>
        <v>21000</v>
      </c>
      <c r="AK363">
        <f t="shared" si="285"/>
        <v>5023.1521783453509</v>
      </c>
      <c r="AL363">
        <v>1</v>
      </c>
      <c r="AM363">
        <f t="shared" si="286"/>
        <v>98.539631741278342</v>
      </c>
      <c r="AN363">
        <f t="shared" si="317"/>
        <v>53.133192227020317</v>
      </c>
      <c r="AO363">
        <f t="shared" si="318"/>
        <v>-212.57301694378384</v>
      </c>
      <c r="AQ363">
        <f t="shared" si="287"/>
        <v>4.50429957916329E-3</v>
      </c>
      <c r="AR363">
        <f t="shared" si="288"/>
        <v>-6.7114063729533022</v>
      </c>
      <c r="AT363">
        <f t="shared" si="313"/>
        <v>-13382.137164212274</v>
      </c>
      <c r="AU363">
        <f t="shared" si="314"/>
        <v>-3552.8419408130253</v>
      </c>
      <c r="AV363">
        <f t="shared" si="302"/>
        <v>-2.8820878504272982</v>
      </c>
      <c r="AW363">
        <f t="shared" si="303"/>
        <v>-1109.1740354053532</v>
      </c>
      <c r="AX363">
        <f t="shared" si="304"/>
        <v>-2709.8954992343979</v>
      </c>
      <c r="AY363">
        <f t="shared" si="312"/>
        <v>-1.9592985110108123</v>
      </c>
      <c r="BA363">
        <f t="shared" si="289"/>
        <v>4.7285633813231041</v>
      </c>
      <c r="BB363">
        <f t="shared" si="305"/>
        <v>13.494584293265728</v>
      </c>
      <c r="BC363">
        <f t="shared" si="306"/>
        <v>-0.92278933941648589</v>
      </c>
      <c r="BD363">
        <f t="shared" si="290"/>
        <v>-232.87193458864485</v>
      </c>
      <c r="BF363">
        <f t="shared" si="291"/>
        <v>-40.200394081628126</v>
      </c>
      <c r="BG363">
        <f t="shared" si="292"/>
        <v>-219.49214840122318</v>
      </c>
      <c r="BH363">
        <f t="shared" si="307"/>
        <v>-39.492148401223176</v>
      </c>
      <c r="BI363">
        <f t="shared" si="308"/>
        <v>-39.492148401223176</v>
      </c>
      <c r="BJ363">
        <f t="shared" si="293"/>
        <v>0</v>
      </c>
      <c r="BK363">
        <f t="shared" si="309"/>
        <v>0</v>
      </c>
      <c r="BM363">
        <f t="shared" si="310"/>
        <v>-53.69497837489385</v>
      </c>
      <c r="BN363">
        <f t="shared" si="294"/>
        <v>-166.62021381257836</v>
      </c>
      <c r="BQ363" s="66">
        <f t="shared" si="311"/>
        <v>30.396545093550863</v>
      </c>
      <c r="BR363" s="71"/>
      <c r="BS363" s="71"/>
      <c r="BT363" s="71">
        <v>338844.15600000002</v>
      </c>
      <c r="BU363" s="71">
        <v>15.2844</v>
      </c>
      <c r="BV363" s="71">
        <v>-197.85300000000001</v>
      </c>
      <c r="BW363" s="75"/>
      <c r="BY363" s="71"/>
      <c r="BZ363" s="71"/>
      <c r="CA363" s="71"/>
      <c r="CC363" s="71"/>
    </row>
    <row r="364" spans="1:81" ht="13" x14ac:dyDescent="0.3">
      <c r="A364">
        <f t="shared" ref="A364:A427" si="319">A363+5000</f>
        <v>750000</v>
      </c>
      <c r="B364">
        <f t="shared" si="295"/>
        <v>750</v>
      </c>
      <c r="C364">
        <f t="shared" si="264"/>
        <v>1.0273833386955689</v>
      </c>
      <c r="D364">
        <f t="shared" si="265"/>
        <v>0.23139890938173277</v>
      </c>
      <c r="F364">
        <f t="shared" si="266"/>
        <v>1.323635501802545E-4</v>
      </c>
      <c r="G364">
        <f t="shared" si="267"/>
        <v>3.5870309801276814E-3</v>
      </c>
      <c r="H364">
        <f t="shared" si="268"/>
        <v>-3.1380056190198724</v>
      </c>
      <c r="J364">
        <f t="shared" si="269"/>
        <v>15</v>
      </c>
      <c r="M364">
        <f t="shared" si="270"/>
        <v>1.464503733827986E-3</v>
      </c>
      <c r="N364">
        <f t="shared" si="271"/>
        <v>-1.5707963250000001</v>
      </c>
      <c r="O364">
        <f t="shared" si="272"/>
        <v>258.27855084345435</v>
      </c>
      <c r="P364">
        <f t="shared" si="273"/>
        <v>1.5669245283230171</v>
      </c>
      <c r="Q364">
        <f t="shared" si="274"/>
        <v>99.206011696801013</v>
      </c>
      <c r="R364">
        <f t="shared" si="275"/>
        <v>1.5607161217933501</v>
      </c>
      <c r="S364">
        <f t="shared" si="276"/>
        <v>0.97220984496851881</v>
      </c>
      <c r="T364">
        <f t="shared" si="277"/>
        <v>-0.23630418092999794</v>
      </c>
      <c r="U364">
        <f t="shared" si="278"/>
        <v>0.2581034764536343</v>
      </c>
      <c r="V364">
        <f t="shared" si="279"/>
        <v>-1.3097376767302888</v>
      </c>
      <c r="X364">
        <f t="shared" si="296"/>
        <v>-34.330742641558714</v>
      </c>
      <c r="Y364">
        <f t="shared" si="280"/>
        <v>-165.91736156269997</v>
      </c>
      <c r="Z364">
        <f t="shared" si="297"/>
        <v>14.082638437300034</v>
      </c>
      <c r="AC364">
        <v>1</v>
      </c>
      <c r="AD364">
        <f t="shared" si="281"/>
        <v>258.27661494180001</v>
      </c>
      <c r="AE364">
        <f t="shared" si="282"/>
        <v>-0.12170998727520589</v>
      </c>
      <c r="AF364">
        <f t="shared" si="283"/>
        <v>3.2515483927499998E-2</v>
      </c>
      <c r="AG364">
        <f t="shared" si="315"/>
        <v>521.48568832381306</v>
      </c>
      <c r="AH364">
        <f t="shared" si="316"/>
        <v>-1982.748177263562</v>
      </c>
      <c r="AJ364">
        <f t="shared" si="284"/>
        <v>21000</v>
      </c>
      <c r="AK364">
        <f t="shared" si="285"/>
        <v>5056.8646090725006</v>
      </c>
      <c r="AL364">
        <v>1</v>
      </c>
      <c r="AM364">
        <f t="shared" si="286"/>
        <v>99.200971551622501</v>
      </c>
      <c r="AN364">
        <f t="shared" si="317"/>
        <v>53.104527900522406</v>
      </c>
      <c r="AO364">
        <f t="shared" si="318"/>
        <v>-211.15615244956618</v>
      </c>
      <c r="AQ364">
        <f t="shared" si="287"/>
        <v>4.4444424691366807E-3</v>
      </c>
      <c r="AR364">
        <f t="shared" si="288"/>
        <v>-6.6666637037050203</v>
      </c>
      <c r="AT364">
        <f t="shared" si="313"/>
        <v>-13215.997593810043</v>
      </c>
      <c r="AU364">
        <f t="shared" si="314"/>
        <v>-3485.381920554627</v>
      </c>
      <c r="AV364">
        <f t="shared" si="302"/>
        <v>-2.8837391354291637</v>
      </c>
      <c r="AW364">
        <f t="shared" si="303"/>
        <v>-1093.5316378407863</v>
      </c>
      <c r="AX364">
        <f t="shared" si="304"/>
        <v>-2692.4780413436124</v>
      </c>
      <c r="AY364">
        <f t="shared" si="312"/>
        <v>-1.9565873189086787</v>
      </c>
      <c r="BA364">
        <f t="shared" si="289"/>
        <v>4.70321006659674</v>
      </c>
      <c r="BB364">
        <f t="shared" si="305"/>
        <v>13.447887534634015</v>
      </c>
      <c r="BC364">
        <f t="shared" si="306"/>
        <v>-0.92715181652048506</v>
      </c>
      <c r="BD364">
        <f t="shared" si="290"/>
        <v>-233.12188611521208</v>
      </c>
      <c r="BF364">
        <f t="shared" si="291"/>
        <v>-40.360268775452461</v>
      </c>
      <c r="BG364">
        <f t="shared" si="292"/>
        <v>-219.65818347218007</v>
      </c>
      <c r="BH364">
        <f t="shared" si="307"/>
        <v>-39.65818347218007</v>
      </c>
      <c r="BI364">
        <f t="shared" si="308"/>
        <v>-39.65818347218007</v>
      </c>
      <c r="BJ364">
        <f t="shared" si="293"/>
        <v>0</v>
      </c>
      <c r="BK364">
        <f t="shared" si="309"/>
        <v>0</v>
      </c>
      <c r="BM364">
        <f t="shared" si="310"/>
        <v>-53.808156310086474</v>
      </c>
      <c r="BN364">
        <f t="shared" si="294"/>
        <v>-166.53629735696799</v>
      </c>
      <c r="BQ364" s="66">
        <f t="shared" si="311"/>
        <v>30.349848334919152</v>
      </c>
      <c r="BR364" s="71"/>
      <c r="BS364" s="71"/>
      <c r="BT364" s="71">
        <v>346736.85</v>
      </c>
      <c r="BU364" s="71">
        <v>15.295400000000001</v>
      </c>
      <c r="BV364" s="71">
        <v>-200.482</v>
      </c>
      <c r="BW364" s="75"/>
      <c r="BY364" s="71"/>
      <c r="BZ364" s="71"/>
      <c r="CA364" s="71"/>
      <c r="CC364" s="71"/>
    </row>
    <row r="365" spans="1:81" ht="13" x14ac:dyDescent="0.3">
      <c r="A365">
        <f t="shared" si="319"/>
        <v>755000</v>
      </c>
      <c r="B365">
        <f t="shared" si="295"/>
        <v>755</v>
      </c>
      <c r="C365">
        <f t="shared" si="264"/>
        <v>1.0277447213966797</v>
      </c>
      <c r="D365">
        <f t="shared" si="265"/>
        <v>0.23288656450914269</v>
      </c>
      <c r="F365">
        <f t="shared" si="266"/>
        <v>1.3061597654727173E-4</v>
      </c>
      <c r="G365">
        <f t="shared" si="267"/>
        <v>3.5632697274997956E-3</v>
      </c>
      <c r="H365">
        <f t="shared" si="268"/>
        <v>-3.1380293802725006</v>
      </c>
      <c r="J365">
        <f t="shared" si="269"/>
        <v>15</v>
      </c>
      <c r="M365">
        <f t="shared" si="270"/>
        <v>1.4548050336039594E-3</v>
      </c>
      <c r="N365">
        <f t="shared" si="271"/>
        <v>-1.5707963250000001</v>
      </c>
      <c r="O365">
        <f t="shared" si="272"/>
        <v>260.00038212262069</v>
      </c>
      <c r="P365">
        <f t="shared" si="273"/>
        <v>1.5669501691187868</v>
      </c>
      <c r="Q365">
        <f t="shared" si="274"/>
        <v>99.867318130379246</v>
      </c>
      <c r="R365">
        <f t="shared" si="275"/>
        <v>1.5607828736406764</v>
      </c>
      <c r="S365">
        <f t="shared" si="276"/>
        <v>0.97185362410919807</v>
      </c>
      <c r="T365">
        <f t="shared" si="277"/>
        <v>-0.23782099312600405</v>
      </c>
      <c r="U365">
        <f t="shared" si="278"/>
        <v>0.25650699643884567</v>
      </c>
      <c r="V365">
        <f t="shared" si="279"/>
        <v>-1.3113897830902879</v>
      </c>
      <c r="X365">
        <f t="shared" si="296"/>
        <v>-34.442498836009847</v>
      </c>
      <c r="Y365">
        <f t="shared" si="280"/>
        <v>-166.00975857249779</v>
      </c>
      <c r="Z365">
        <f t="shared" si="297"/>
        <v>13.990241427502212</v>
      </c>
      <c r="AC365">
        <v>1</v>
      </c>
      <c r="AD365">
        <f t="shared" si="281"/>
        <v>259.99845904141205</v>
      </c>
      <c r="AE365">
        <f t="shared" si="282"/>
        <v>-0.12333819643830976</v>
      </c>
      <c r="AF365">
        <f t="shared" si="283"/>
        <v>3.2732253820349999E-2</v>
      </c>
      <c r="AG365">
        <f t="shared" si="315"/>
        <v>515.05441758808695</v>
      </c>
      <c r="AH365">
        <f t="shared" si="316"/>
        <v>-1971.3241650589378</v>
      </c>
      <c r="AJ365">
        <f t="shared" si="284"/>
        <v>21000</v>
      </c>
      <c r="AK365">
        <f t="shared" si="285"/>
        <v>5090.5770397996503</v>
      </c>
      <c r="AL365">
        <v>1</v>
      </c>
      <c r="AM365">
        <f t="shared" si="286"/>
        <v>99.862311361966647</v>
      </c>
      <c r="AN365">
        <f t="shared" si="317"/>
        <v>53.076431099988852</v>
      </c>
      <c r="AO365">
        <f t="shared" si="318"/>
        <v>-209.75804868940588</v>
      </c>
      <c r="AQ365">
        <f t="shared" si="287"/>
        <v>4.3857706303361121E-3</v>
      </c>
      <c r="AR365">
        <f t="shared" si="288"/>
        <v>-6.6225136518075294</v>
      </c>
      <c r="AT365">
        <f t="shared" si="313"/>
        <v>-13052.862284703211</v>
      </c>
      <c r="AU365">
        <f t="shared" si="314"/>
        <v>-3419.6006875268695</v>
      </c>
      <c r="AV365">
        <f t="shared" si="302"/>
        <v>-2.8853700160024811</v>
      </c>
      <c r="AW365">
        <f t="shared" si="303"/>
        <v>-1078.2044845407922</v>
      </c>
      <c r="AX365">
        <f t="shared" si="304"/>
        <v>-2675.2799945364131</v>
      </c>
      <c r="AY365">
        <f t="shared" si="312"/>
        <v>-1.953907663657894</v>
      </c>
      <c r="BA365">
        <f t="shared" si="289"/>
        <v>4.678081395195469</v>
      </c>
      <c r="BB365">
        <f t="shared" si="305"/>
        <v>13.401355478905678</v>
      </c>
      <c r="BC365">
        <f t="shared" si="306"/>
        <v>-0.93146235234458707</v>
      </c>
      <c r="BD365">
        <f t="shared" si="290"/>
        <v>-233.36886162565528</v>
      </c>
      <c r="BF365">
        <f t="shared" si="291"/>
        <v>-40.519188207195356</v>
      </c>
      <c r="BG365">
        <f t="shared" si="292"/>
        <v>-219.82128404184738</v>
      </c>
      <c r="BH365">
        <f t="shared" si="307"/>
        <v>-39.821284041847377</v>
      </c>
      <c r="BI365">
        <f t="shared" si="308"/>
        <v>-39.821284041847377</v>
      </c>
      <c r="BJ365">
        <f t="shared" si="293"/>
        <v>0</v>
      </c>
      <c r="BK365">
        <f t="shared" si="309"/>
        <v>0</v>
      </c>
      <c r="BM365">
        <f t="shared" si="310"/>
        <v>-53.920543686101041</v>
      </c>
      <c r="BN365">
        <f t="shared" si="294"/>
        <v>-166.45242241619209</v>
      </c>
      <c r="BQ365" s="66">
        <f t="shared" si="311"/>
        <v>30.303316279190817</v>
      </c>
      <c r="BR365" s="71"/>
      <c r="BS365" s="71"/>
      <c r="BT365" s="71">
        <v>354813.38900000002</v>
      </c>
      <c r="BU365" s="71">
        <v>15.3028</v>
      </c>
      <c r="BV365" s="71">
        <v>-203.33199999999999</v>
      </c>
      <c r="BW365" s="75"/>
      <c r="BY365" s="71"/>
      <c r="BZ365" s="71"/>
      <c r="CA365" s="71"/>
      <c r="CC365" s="71"/>
    </row>
    <row r="366" spans="1:81" ht="13" x14ac:dyDescent="0.3">
      <c r="A366">
        <f t="shared" si="319"/>
        <v>760000</v>
      </c>
      <c r="B366">
        <f t="shared" si="295"/>
        <v>760</v>
      </c>
      <c r="C366">
        <f t="shared" si="264"/>
        <v>1.0281083770159702</v>
      </c>
      <c r="D366">
        <f t="shared" si="265"/>
        <v>0.23437317051780804</v>
      </c>
      <c r="F366">
        <f t="shared" si="266"/>
        <v>1.2890278660770334E-4</v>
      </c>
      <c r="G366">
        <f t="shared" si="267"/>
        <v>3.5398212417813179E-3</v>
      </c>
      <c r="H366">
        <f t="shared" si="268"/>
        <v>-3.138052828758219</v>
      </c>
      <c r="J366">
        <f t="shared" si="269"/>
        <v>15</v>
      </c>
      <c r="M366">
        <f t="shared" si="270"/>
        <v>1.4452339478565651E-3</v>
      </c>
      <c r="N366">
        <f t="shared" si="271"/>
        <v>-1.5707963250000001</v>
      </c>
      <c r="O366">
        <f t="shared" si="272"/>
        <v>261.72221357047533</v>
      </c>
      <c r="P366">
        <f t="shared" si="273"/>
        <v>1.5669754725406229</v>
      </c>
      <c r="Q366">
        <f t="shared" si="274"/>
        <v>100.52862500309266</v>
      </c>
      <c r="R366">
        <f t="shared" si="275"/>
        <v>1.5608487472617099</v>
      </c>
      <c r="S366">
        <f t="shared" si="276"/>
        <v>0.97149543151538753</v>
      </c>
      <c r="T366">
        <f t="shared" si="277"/>
        <v>-0.23933669071504085</v>
      </c>
      <c r="U366">
        <f t="shared" si="278"/>
        <v>0.25492946179502685</v>
      </c>
      <c r="V366">
        <f t="shared" si="279"/>
        <v>-1.3130215727363876</v>
      </c>
      <c r="X366">
        <f t="shared" si="296"/>
        <v>-34.553565275655174</v>
      </c>
      <c r="Y366">
        <f t="shared" si="280"/>
        <v>-166.10103949667413</v>
      </c>
      <c r="Z366">
        <f t="shared" si="297"/>
        <v>13.898960503325867</v>
      </c>
      <c r="AC366">
        <v>1</v>
      </c>
      <c r="AD366">
        <f t="shared" si="281"/>
        <v>261.72030314102403</v>
      </c>
      <c r="AE366">
        <f t="shared" si="282"/>
        <v>-0.1249772242669492</v>
      </c>
      <c r="AF366">
        <f t="shared" si="283"/>
        <v>3.29490237132E-2</v>
      </c>
      <c r="AG366">
        <f t="shared" si="315"/>
        <v>508.73866258061287</v>
      </c>
      <c r="AH366">
        <f t="shared" si="316"/>
        <v>-1960.0200142116137</v>
      </c>
      <c r="AJ366">
        <f t="shared" si="284"/>
        <v>21000</v>
      </c>
      <c r="AK366">
        <f t="shared" si="285"/>
        <v>5124.2894705268009</v>
      </c>
      <c r="AL366">
        <v>1</v>
      </c>
      <c r="AM366">
        <f t="shared" si="286"/>
        <v>100.52365117231081</v>
      </c>
      <c r="AN366">
        <f t="shared" si="317"/>
        <v>53.048886942234297</v>
      </c>
      <c r="AO366">
        <f t="shared" si="318"/>
        <v>-208.3783355337136</v>
      </c>
      <c r="AQ366">
        <f t="shared" si="287"/>
        <v>4.3282529742672375E-3</v>
      </c>
      <c r="AR366">
        <f t="shared" si="288"/>
        <v>-6.5789445208862007</v>
      </c>
      <c r="AT366">
        <f t="shared" si="313"/>
        <v>-12892.660983695348</v>
      </c>
      <c r="AU366">
        <f t="shared" si="314"/>
        <v>-3355.4468992038314</v>
      </c>
      <c r="AV366">
        <f t="shared" si="302"/>
        <v>-2.8869808591436339</v>
      </c>
      <c r="AW366">
        <f t="shared" si="303"/>
        <v>-1063.1841425585744</v>
      </c>
      <c r="AX366">
        <f t="shared" si="304"/>
        <v>-2658.2972785626803</v>
      </c>
      <c r="AY366">
        <f t="shared" si="312"/>
        <v>-1.951258998453673</v>
      </c>
      <c r="BA366">
        <f t="shared" si="289"/>
        <v>4.6531754887115273</v>
      </c>
      <c r="BB366">
        <f t="shared" si="305"/>
        <v>13.354988634339884</v>
      </c>
      <c r="BC366">
        <f t="shared" si="306"/>
        <v>-0.93572186068996088</v>
      </c>
      <c r="BD366">
        <f t="shared" si="290"/>
        <v>-233.6129134769248</v>
      </c>
      <c r="BF366">
        <f t="shared" si="291"/>
        <v>-40.677162108930872</v>
      </c>
      <c r="BG366">
        <f t="shared" si="292"/>
        <v>-219.98150314219347</v>
      </c>
      <c r="BH366">
        <f t="shared" si="307"/>
        <v>-39.981503142193475</v>
      </c>
      <c r="BI366">
        <f t="shared" si="308"/>
        <v>-39.981503142193475</v>
      </c>
      <c r="BJ366">
        <f t="shared" si="293"/>
        <v>0</v>
      </c>
      <c r="BK366">
        <f t="shared" si="309"/>
        <v>0</v>
      </c>
      <c r="BM366">
        <f t="shared" si="310"/>
        <v>-54.032150743270755</v>
      </c>
      <c r="BN366">
        <f t="shared" si="294"/>
        <v>-166.36858966526864</v>
      </c>
      <c r="BQ366" s="66">
        <f t="shared" si="311"/>
        <v>30.256949434625021</v>
      </c>
      <c r="BR366" s="71"/>
      <c r="BS366" s="71"/>
      <c r="BT366" s="71">
        <v>363078.05499999999</v>
      </c>
      <c r="BU366" s="71">
        <v>15.049200000000001</v>
      </c>
      <c r="BV366" s="71">
        <v>-205.19499999999999</v>
      </c>
      <c r="BW366" s="75"/>
      <c r="BY366" s="71"/>
      <c r="BZ366" s="71"/>
      <c r="CA366" s="71"/>
      <c r="CC366" s="71"/>
    </row>
    <row r="367" spans="1:81" ht="13" x14ac:dyDescent="0.3">
      <c r="A367">
        <f t="shared" si="319"/>
        <v>765000</v>
      </c>
      <c r="B367">
        <f t="shared" si="295"/>
        <v>765</v>
      </c>
      <c r="C367">
        <f t="shared" si="264"/>
        <v>1.0284743031424148</v>
      </c>
      <c r="D367">
        <f t="shared" si="265"/>
        <v>0.23585872195330435</v>
      </c>
      <c r="F367">
        <f t="shared" si="266"/>
        <v>1.2722308420193076E-4</v>
      </c>
      <c r="G367">
        <f t="shared" si="267"/>
        <v>3.5166793872103957E-3</v>
      </c>
      <c r="H367">
        <f t="shared" si="268"/>
        <v>-3.1380759706127899</v>
      </c>
      <c r="J367">
        <f t="shared" si="269"/>
        <v>15</v>
      </c>
      <c r="M367">
        <f t="shared" si="270"/>
        <v>1.4357879743411627E-3</v>
      </c>
      <c r="N367">
        <f t="shared" si="271"/>
        <v>-1.5707963250000001</v>
      </c>
      <c r="O367">
        <f t="shared" si="272"/>
        <v>263.44404518371056</v>
      </c>
      <c r="P367">
        <f t="shared" si="273"/>
        <v>1.5670004452035722</v>
      </c>
      <c r="Q367">
        <f t="shared" si="274"/>
        <v>101.18993230633157</v>
      </c>
      <c r="R367">
        <f t="shared" si="275"/>
        <v>1.5609137598743099</v>
      </c>
      <c r="S367">
        <f t="shared" si="276"/>
        <v>0.97113527430100743</v>
      </c>
      <c r="T367">
        <f t="shared" si="277"/>
        <v>-0.24085126796879444</v>
      </c>
      <c r="U367">
        <f t="shared" si="278"/>
        <v>0.25337055008886872</v>
      </c>
      <c r="V367">
        <f t="shared" si="279"/>
        <v>-1.314633409612348</v>
      </c>
      <c r="X367">
        <f t="shared" si="296"/>
        <v>-34.663950186731142</v>
      </c>
      <c r="Y367">
        <f t="shared" si="280"/>
        <v>-166.19122415800609</v>
      </c>
      <c r="Z367">
        <f t="shared" si="297"/>
        <v>13.808775841993906</v>
      </c>
      <c r="AC367">
        <v>1</v>
      </c>
      <c r="AD367">
        <f t="shared" si="281"/>
        <v>263.44214724063602</v>
      </c>
      <c r="AE367">
        <f t="shared" si="282"/>
        <v>-0.12662707076112423</v>
      </c>
      <c r="AF367">
        <f t="shared" si="283"/>
        <v>3.3165793606050001E-2</v>
      </c>
      <c r="AG367">
        <f t="shared" si="315"/>
        <v>502.53574052648474</v>
      </c>
      <c r="AH367">
        <f t="shared" si="316"/>
        <v>-1948.8340771634873</v>
      </c>
      <c r="AJ367">
        <f t="shared" si="284"/>
        <v>21000</v>
      </c>
      <c r="AK367">
        <f t="shared" si="285"/>
        <v>5158.0019012539506</v>
      </c>
      <c r="AL367">
        <v>1</v>
      </c>
      <c r="AM367">
        <f t="shared" si="286"/>
        <v>101.18499098265495</v>
      </c>
      <c r="AN367">
        <f t="shared" si="317"/>
        <v>53.021881028761648</v>
      </c>
      <c r="AO367">
        <f t="shared" si="318"/>
        <v>-207.01665252470053</v>
      </c>
      <c r="AQ367">
        <f t="shared" si="287"/>
        <v>4.2718594250675274E-3</v>
      </c>
      <c r="AR367">
        <f t="shared" si="288"/>
        <v>-6.5359449203533169</v>
      </c>
      <c r="AT367">
        <f t="shared" si="313"/>
        <v>-12735.325425208537</v>
      </c>
      <c r="AU367">
        <f t="shared" si="314"/>
        <v>-3292.8710658104942</v>
      </c>
      <c r="AV367">
        <f t="shared" si="302"/>
        <v>-2.8885720233203962</v>
      </c>
      <c r="AW367">
        <f t="shared" si="303"/>
        <v>-1048.4624594089455</v>
      </c>
      <c r="AX367">
        <f t="shared" si="304"/>
        <v>-2641.5259132785827</v>
      </c>
      <c r="AY367">
        <f t="shared" si="312"/>
        <v>-1.948640788244981</v>
      </c>
      <c r="BA367">
        <f t="shared" si="289"/>
        <v>4.6284904479394031</v>
      </c>
      <c r="BB367">
        <f t="shared" si="305"/>
        <v>13.30878743579461</v>
      </c>
      <c r="BC367">
        <f t="shared" si="306"/>
        <v>-0.93993123507541521</v>
      </c>
      <c r="BD367">
        <f t="shared" si="290"/>
        <v>-233.85409286387741</v>
      </c>
      <c r="BF367">
        <f t="shared" si="291"/>
        <v>-40.834200085535187</v>
      </c>
      <c r="BG367">
        <f t="shared" si="292"/>
        <v>-220.13889263214378</v>
      </c>
      <c r="BH367">
        <f t="shared" si="307"/>
        <v>-40.138892632143779</v>
      </c>
      <c r="BI367">
        <f t="shared" si="308"/>
        <v>-40.138892632143779</v>
      </c>
      <c r="BJ367">
        <f t="shared" si="293"/>
        <v>0</v>
      </c>
      <c r="BK367">
        <f t="shared" si="309"/>
        <v>0</v>
      </c>
      <c r="BM367">
        <f t="shared" si="310"/>
        <v>-54.1429875213298</v>
      </c>
      <c r="BN367">
        <f t="shared" si="294"/>
        <v>-166.28479976826637</v>
      </c>
      <c r="BQ367" s="66">
        <f t="shared" si="311"/>
        <v>30.210748236079745</v>
      </c>
      <c r="BR367" s="71"/>
      <c r="BS367" s="71"/>
      <c r="BT367" s="71">
        <v>371535.22899999999</v>
      </c>
      <c r="BU367" s="71">
        <v>14.9002</v>
      </c>
      <c r="BV367" s="71">
        <v>-207.41</v>
      </c>
      <c r="BW367" s="75"/>
      <c r="BY367" s="71"/>
      <c r="BZ367" s="71"/>
      <c r="CA367" s="71"/>
      <c r="CC367" s="71"/>
    </row>
    <row r="368" spans="1:81" ht="13" x14ac:dyDescent="0.3">
      <c r="A368">
        <f t="shared" si="319"/>
        <v>770000</v>
      </c>
      <c r="B368">
        <f t="shared" si="295"/>
        <v>770</v>
      </c>
      <c r="C368">
        <f t="shared" si="264"/>
        <v>1.0288424973533745</v>
      </c>
      <c r="D368">
        <f t="shared" si="265"/>
        <v>0.23734321338756112</v>
      </c>
      <c r="F368">
        <f t="shared" si="266"/>
        <v>1.2557600217871152E-4</v>
      </c>
      <c r="G368">
        <f t="shared" si="267"/>
        <v>3.4938381874945828E-3</v>
      </c>
      <c r="H368">
        <f t="shared" si="268"/>
        <v>-3.1380988118125055</v>
      </c>
      <c r="J368">
        <f t="shared" si="269"/>
        <v>15</v>
      </c>
      <c r="M368">
        <f t="shared" si="270"/>
        <v>1.4264646758064797E-3</v>
      </c>
      <c r="N368">
        <f t="shared" si="271"/>
        <v>-1.5707963250000001</v>
      </c>
      <c r="O368">
        <f t="shared" si="272"/>
        <v>265.16587695910482</v>
      </c>
      <c r="P368">
        <f t="shared" si="273"/>
        <v>1.5670250935508663</v>
      </c>
      <c r="Q368">
        <f t="shared" si="274"/>
        <v>101.85124003170996</v>
      </c>
      <c r="R368">
        <f t="shared" si="275"/>
        <v>1.5609779282491905</v>
      </c>
      <c r="S368">
        <f t="shared" si="276"/>
        <v>0.97077315960454291</v>
      </c>
      <c r="T368">
        <f t="shared" si="277"/>
        <v>-0.24236471918797572</v>
      </c>
      <c r="U368">
        <f t="shared" si="278"/>
        <v>0.25182994583746282</v>
      </c>
      <c r="V368">
        <f t="shared" si="279"/>
        <v>-1.3162256492305777</v>
      </c>
      <c r="X368">
        <f t="shared" si="296"/>
        <v>-34.773661653604414</v>
      </c>
      <c r="Y368">
        <f t="shared" si="280"/>
        <v>-166.28033192266963</v>
      </c>
      <c r="Z368">
        <f t="shared" si="297"/>
        <v>13.719668077330368</v>
      </c>
      <c r="AC368">
        <v>1</v>
      </c>
      <c r="AD368">
        <f t="shared" si="281"/>
        <v>265.163991340248</v>
      </c>
      <c r="AE368">
        <f t="shared" si="282"/>
        <v>-0.12828773592083476</v>
      </c>
      <c r="AF368">
        <f t="shared" si="283"/>
        <v>3.3382563498900002E-2</v>
      </c>
      <c r="AG368">
        <f t="shared" si="315"/>
        <v>496.44304401090272</v>
      </c>
      <c r="AH368">
        <f t="shared" si="316"/>
        <v>-1937.7647295402455</v>
      </c>
      <c r="AJ368">
        <f t="shared" si="284"/>
        <v>21000</v>
      </c>
      <c r="AK368">
        <f t="shared" si="285"/>
        <v>5191.7143319811003</v>
      </c>
      <c r="AL368">
        <v>1</v>
      </c>
      <c r="AM368">
        <f t="shared" si="286"/>
        <v>101.84633079299911</v>
      </c>
      <c r="AN368">
        <f t="shared" si="317"/>
        <v>52.995399426943891</v>
      </c>
      <c r="AO368">
        <f t="shared" si="318"/>
        <v>-205.67264856254349</v>
      </c>
      <c r="AQ368">
        <f t="shared" si="287"/>
        <v>4.2165608801817845E-3</v>
      </c>
      <c r="AR368">
        <f t="shared" si="288"/>
        <v>-6.4935037554799475</v>
      </c>
      <c r="AT368">
        <f t="shared" si="313"/>
        <v>-12580.789266187556</v>
      </c>
      <c r="AU368">
        <f t="shared" si="314"/>
        <v>-3231.8254736202693</v>
      </c>
      <c r="AV368">
        <f t="shared" si="302"/>
        <v>-2.8901438587114212</v>
      </c>
      <c r="AW368">
        <f t="shared" si="303"/>
        <v>-1034.0315519448418</v>
      </c>
      <c r="AX368">
        <f t="shared" si="304"/>
        <v>-2624.9620155885968</v>
      </c>
      <c r="AY368">
        <f t="shared" si="312"/>
        <v>-1.9460525094516063</v>
      </c>
      <c r="BA368">
        <f t="shared" si="289"/>
        <v>4.6040243557016289</v>
      </c>
      <c r="BB368">
        <f t="shared" si="305"/>
        <v>13.262752248411566</v>
      </c>
      <c r="BC368">
        <f t="shared" si="306"/>
        <v>-0.94409134925981486</v>
      </c>
      <c r="BD368">
        <f t="shared" si="290"/>
        <v>-234.09244984920838</v>
      </c>
      <c r="BF368">
        <f t="shared" si="291"/>
        <v>-40.99031161623526</v>
      </c>
      <c r="BG368">
        <f t="shared" si="292"/>
        <v>-220.29350322781556</v>
      </c>
      <c r="BH368">
        <f t="shared" si="307"/>
        <v>-40.293503227815563</v>
      </c>
      <c r="BI368">
        <f t="shared" si="308"/>
        <v>-40.293503227815563</v>
      </c>
      <c r="BJ368">
        <f t="shared" si="293"/>
        <v>0</v>
      </c>
      <c r="BK368">
        <f t="shared" si="309"/>
        <v>0</v>
      </c>
      <c r="BM368">
        <f t="shared" si="310"/>
        <v>-54.253063864646826</v>
      </c>
      <c r="BN368">
        <f t="shared" si="294"/>
        <v>-166.20105337860716</v>
      </c>
      <c r="BQ368" s="66">
        <f t="shared" si="311"/>
        <v>30.164713048696704</v>
      </c>
      <c r="BR368" s="71"/>
      <c r="BS368" s="71"/>
      <c r="BT368" s="71">
        <v>380189.39600000001</v>
      </c>
      <c r="BU368" s="71">
        <v>14.938000000000001</v>
      </c>
      <c r="BV368" s="71">
        <v>-210.39400000000001</v>
      </c>
      <c r="BW368" s="75"/>
      <c r="BY368" s="71"/>
      <c r="BZ368" s="71"/>
      <c r="CA368" s="71"/>
      <c r="CC368" s="71"/>
    </row>
    <row r="369" spans="1:81" ht="13" x14ac:dyDescent="0.3">
      <c r="A369">
        <f t="shared" si="319"/>
        <v>775000</v>
      </c>
      <c r="B369">
        <f t="shared" si="295"/>
        <v>775</v>
      </c>
      <c r="C369">
        <f t="shared" si="264"/>
        <v>1.0292129572146718</v>
      </c>
      <c r="D369">
        <f t="shared" si="265"/>
        <v>0.23882663941893889</v>
      </c>
      <c r="F369">
        <f t="shared" si="266"/>
        <v>1.2396070127559762E-4</v>
      </c>
      <c r="G369">
        <f t="shared" si="267"/>
        <v>3.4712918206628654E-3</v>
      </c>
      <c r="H369">
        <f t="shared" si="268"/>
        <v>-3.1381213581793372</v>
      </c>
      <c r="J369">
        <f t="shared" si="269"/>
        <v>15</v>
      </c>
      <c r="M369">
        <f t="shared" si="270"/>
        <v>1.4172616778980508E-3</v>
      </c>
      <c r="N369">
        <f t="shared" si="271"/>
        <v>-1.5707963250000001</v>
      </c>
      <c r="O369">
        <f t="shared" si="272"/>
        <v>266.88770889351957</v>
      </c>
      <c r="P369">
        <f t="shared" si="273"/>
        <v>1.5670494238594637</v>
      </c>
      <c r="Q369">
        <f t="shared" si="274"/>
        <v>102.51254817105819</v>
      </c>
      <c r="R369">
        <f t="shared" si="275"/>
        <v>1.5610412687243431</v>
      </c>
      <c r="S369">
        <f t="shared" si="276"/>
        <v>0.97040909458868474</v>
      </c>
      <c r="T369">
        <f t="shared" si="277"/>
        <v>-0.24387703870240049</v>
      </c>
      <c r="U369">
        <f t="shared" si="278"/>
        <v>0.25030734033252516</v>
      </c>
      <c r="V369">
        <f t="shared" si="279"/>
        <v>-1.3177986389084391</v>
      </c>
      <c r="X369">
        <f t="shared" si="296"/>
        <v>-34.882707621916921</v>
      </c>
      <c r="Y369">
        <f t="shared" si="280"/>
        <v>-166.36838171293067</v>
      </c>
      <c r="Z369">
        <f t="shared" si="297"/>
        <v>13.63161828706933</v>
      </c>
      <c r="AC369">
        <v>1</v>
      </c>
      <c r="AD369">
        <f t="shared" si="281"/>
        <v>266.88583543985999</v>
      </c>
      <c r="AE369">
        <f t="shared" si="282"/>
        <v>-0.12995921974608093</v>
      </c>
      <c r="AF369">
        <f t="shared" si="283"/>
        <v>3.3599333391750003E-2</v>
      </c>
      <c r="AG369">
        <f t="shared" si="315"/>
        <v>490.45803852994305</v>
      </c>
      <c r="AH369">
        <f t="shared" si="316"/>
        <v>-1926.8103700367128</v>
      </c>
      <c r="AJ369">
        <f t="shared" si="284"/>
        <v>21000</v>
      </c>
      <c r="AK369">
        <f t="shared" si="285"/>
        <v>5225.4267627082509</v>
      </c>
      <c r="AL369">
        <v>1</v>
      </c>
      <c r="AM369">
        <f t="shared" si="286"/>
        <v>102.50767060334326</v>
      </c>
      <c r="AN369">
        <f t="shared" si="317"/>
        <v>52.969428652053004</v>
      </c>
      <c r="AO369">
        <f t="shared" si="318"/>
        <v>-204.34598160369049</v>
      </c>
      <c r="AQ369">
        <f t="shared" si="287"/>
        <v>4.1623291728078368E-3</v>
      </c>
      <c r="AR369">
        <f t="shared" si="288"/>
        <v>-6.4516102178521466</v>
      </c>
      <c r="AT369">
        <f t="shared" si="313"/>
        <v>-12428.988023390521</v>
      </c>
      <c r="AU369">
        <f t="shared" si="314"/>
        <v>-3172.264111821175</v>
      </c>
      <c r="AV369">
        <f t="shared" si="302"/>
        <v>-2.8916967074379585</v>
      </c>
      <c r="AW369">
        <f t="shared" si="303"/>
        <v>-1019.8837957449778</v>
      </c>
      <c r="AX369">
        <f t="shared" si="304"/>
        <v>-2608.6017965000319</v>
      </c>
      <c r="AY369">
        <f t="shared" si="312"/>
        <v>-1.9434936496879056</v>
      </c>
      <c r="BA369">
        <f t="shared" si="289"/>
        <v>4.5797752794948545</v>
      </c>
      <c r="BB369">
        <f t="shared" si="305"/>
        <v>13.216883371126686</v>
      </c>
      <c r="BC369">
        <f t="shared" si="306"/>
        <v>-0.94820305775005287</v>
      </c>
      <c r="BD369">
        <f t="shared" si="290"/>
        <v>-234.32803339255634</v>
      </c>
      <c r="BF369">
        <f t="shared" si="291"/>
        <v>-41.145506056162169</v>
      </c>
      <c r="BG369">
        <f t="shared" si="292"/>
        <v>-220.44538453191285</v>
      </c>
      <c r="BH369">
        <f t="shared" si="307"/>
        <v>-40.44538453191285</v>
      </c>
      <c r="BI369">
        <f t="shared" si="308"/>
        <v>-40.44538453191285</v>
      </c>
      <c r="BJ369">
        <f t="shared" si="293"/>
        <v>0</v>
      </c>
      <c r="BK369">
        <f t="shared" si="309"/>
        <v>0</v>
      </c>
      <c r="BM369">
        <f t="shared" si="310"/>
        <v>-54.362389427288853</v>
      </c>
      <c r="BN369">
        <f t="shared" si="294"/>
        <v>-166.11735113935654</v>
      </c>
      <c r="BQ369" s="66">
        <f t="shared" si="311"/>
        <v>30.118844171411823</v>
      </c>
      <c r="BR369" s="71"/>
      <c r="BS369" s="71"/>
      <c r="BT369" s="71">
        <v>389045.14500000002</v>
      </c>
      <c r="BU369" s="71">
        <v>14.7561</v>
      </c>
      <c r="BV369" s="71">
        <v>-213.04300000000001</v>
      </c>
      <c r="BW369" s="75"/>
      <c r="BY369" s="71"/>
      <c r="BZ369" s="71"/>
      <c r="CA369" s="71"/>
      <c r="CC369" s="71"/>
    </row>
    <row r="370" spans="1:81" ht="13" x14ac:dyDescent="0.3">
      <c r="A370">
        <f t="shared" si="319"/>
        <v>780000</v>
      </c>
      <c r="B370">
        <f t="shared" si="295"/>
        <v>780</v>
      </c>
      <c r="C370">
        <f t="shared" si="264"/>
        <v>1.0295856802806655</v>
      </c>
      <c r="D370">
        <f t="shared" si="265"/>
        <v>0.24030899467230432</v>
      </c>
      <c r="F370">
        <f t="shared" si="266"/>
        <v>1.223763690494454E-4</v>
      </c>
      <c r="G370">
        <f t="shared" si="267"/>
        <v>3.4490346141158629E-3</v>
      </c>
      <c r="H370">
        <f t="shared" si="268"/>
        <v>-3.1381436153858844</v>
      </c>
      <c r="J370">
        <f t="shared" si="269"/>
        <v>15</v>
      </c>
      <c r="M370">
        <f t="shared" si="270"/>
        <v>1.4081766671422942E-3</v>
      </c>
      <c r="N370">
        <f t="shared" si="271"/>
        <v>-1.5707963250000001</v>
      </c>
      <c r="O370">
        <f t="shared" si="272"/>
        <v>268.60954098389675</v>
      </c>
      <c r="P370">
        <f t="shared" si="273"/>
        <v>1.5670734422453789</v>
      </c>
      <c r="Q370">
        <f t="shared" si="274"/>
        <v>103.17385671641601</v>
      </c>
      <c r="R370">
        <f t="shared" si="275"/>
        <v>1.5611037972189028</v>
      </c>
      <c r="S370">
        <f t="shared" si="276"/>
        <v>0.97004308643996995</v>
      </c>
      <c r="T370">
        <f t="shared" si="277"/>
        <v>-0.24538822087106779</v>
      </c>
      <c r="U370">
        <f t="shared" si="278"/>
        <v>0.24880243146950978</v>
      </c>
      <c r="V370">
        <f t="shared" si="279"/>
        <v>-1.3193527179968876</v>
      </c>
      <c r="X370">
        <f t="shared" si="296"/>
        <v>-34.991095901646887</v>
      </c>
      <c r="Y370">
        <f t="shared" si="280"/>
        <v>-166.45539201942867</v>
      </c>
      <c r="Z370">
        <f t="shared" si="297"/>
        <v>13.544607980571328</v>
      </c>
      <c r="AC370">
        <v>1</v>
      </c>
      <c r="AD370">
        <f t="shared" si="281"/>
        <v>268.60767953947203</v>
      </c>
      <c r="AE370">
        <f t="shared" si="282"/>
        <v>-0.13164152223686268</v>
      </c>
      <c r="AF370">
        <f t="shared" si="283"/>
        <v>3.3816103284599996E-2</v>
      </c>
      <c r="AG370">
        <f t="shared" si="315"/>
        <v>484.57826013035583</v>
      </c>
      <c r="AH370">
        <f t="shared" si="316"/>
        <v>-1915.96942028375</v>
      </c>
      <c r="AJ370">
        <f t="shared" si="284"/>
        <v>21000</v>
      </c>
      <c r="AK370">
        <f t="shared" si="285"/>
        <v>5259.1391934354006</v>
      </c>
      <c r="AL370">
        <v>1</v>
      </c>
      <c r="AM370">
        <f t="shared" si="286"/>
        <v>103.16901041368739</v>
      </c>
      <c r="AN370">
        <f t="shared" si="317"/>
        <v>52.943955650092178</v>
      </c>
      <c r="AO370">
        <f t="shared" si="318"/>
        <v>-203.03631837076216</v>
      </c>
      <c r="AQ370">
        <f t="shared" si="287"/>
        <v>4.1091370360219282E-3</v>
      </c>
      <c r="AR370">
        <f t="shared" si="288"/>
        <v>-6.4102537761942076</v>
      </c>
      <c r="AT370">
        <f t="shared" si="313"/>
        <v>-12279.859012970983</v>
      </c>
      <c r="AU370">
        <f t="shared" si="314"/>
        <v>-3114.1426027670059</v>
      </c>
      <c r="AV370">
        <f t="shared" si="302"/>
        <v>-2.8932309037880781</v>
      </c>
      <c r="AW370">
        <f t="shared" si="303"/>
        <v>-1006.0118149859946</v>
      </c>
      <c r="AX370">
        <f t="shared" si="304"/>
        <v>-2592.4415582851911</v>
      </c>
      <c r="AY370">
        <f t="shared" si="312"/>
        <v>-1.9409637074931201</v>
      </c>
      <c r="BA370">
        <f t="shared" si="289"/>
        <v>4.5557412739665235</v>
      </c>
      <c r="BB370">
        <f t="shared" si="305"/>
        <v>13.171181040014712</v>
      </c>
      <c r="BC370">
        <f t="shared" si="306"/>
        <v>-0.95226719629495804</v>
      </c>
      <c r="BD370">
        <f t="shared" si="290"/>
        <v>-234.5608913788019</v>
      </c>
      <c r="BF370">
        <f t="shared" si="291"/>
        <v>-41.29979263790748</v>
      </c>
      <c r="BG370">
        <f t="shared" si="292"/>
        <v>-220.59458506230487</v>
      </c>
      <c r="BH370">
        <f t="shared" si="307"/>
        <v>-40.594585062304873</v>
      </c>
      <c r="BI370">
        <f t="shared" si="308"/>
        <v>-40.594585062304873</v>
      </c>
      <c r="BJ370">
        <f t="shared" si="293"/>
        <v>0</v>
      </c>
      <c r="BK370">
        <f t="shared" si="309"/>
        <v>0</v>
      </c>
      <c r="BM370">
        <f t="shared" si="310"/>
        <v>-54.470973677922188</v>
      </c>
      <c r="BN370">
        <f t="shared" si="294"/>
        <v>-166.03369368350297</v>
      </c>
      <c r="BQ370" s="66">
        <f t="shared" si="311"/>
        <v>30.073141840299851</v>
      </c>
      <c r="BR370" s="71"/>
      <c r="BS370" s="71"/>
      <c r="BT370" s="71">
        <v>398107.17099999997</v>
      </c>
      <c r="BU370" s="71">
        <v>14.525499999999999</v>
      </c>
      <c r="BV370" s="71">
        <v>-214.58500000000001</v>
      </c>
      <c r="BW370" s="75"/>
      <c r="BY370" s="71"/>
      <c r="BZ370" s="71"/>
      <c r="CA370" s="71"/>
      <c r="CC370" s="71"/>
    </row>
    <row r="371" spans="1:81" ht="13" x14ac:dyDescent="0.3">
      <c r="A371">
        <f t="shared" si="319"/>
        <v>785000</v>
      </c>
      <c r="B371">
        <f t="shared" si="295"/>
        <v>785</v>
      </c>
      <c r="C371">
        <f t="shared" si="264"/>
        <v>1.0299606640943242</v>
      </c>
      <c r="D371">
        <f t="shared" si="265"/>
        <v>0.24179027379910437</v>
      </c>
      <c r="F371">
        <f t="shared" si="266"/>
        <v>1.2082221885447208E-4</v>
      </c>
      <c r="G371">
        <f t="shared" si="267"/>
        <v>3.4270610398653479E-3</v>
      </c>
      <c r="H371">
        <f t="shared" si="268"/>
        <v>-3.1381655889601348</v>
      </c>
      <c r="J371">
        <f t="shared" si="269"/>
        <v>15</v>
      </c>
      <c r="M371">
        <f t="shared" si="270"/>
        <v>1.3992073890076299E-3</v>
      </c>
      <c r="N371">
        <f t="shared" si="271"/>
        <v>-1.5707963250000001</v>
      </c>
      <c r="O371">
        <f t="shared" si="272"/>
        <v>270.33137322725617</v>
      </c>
      <c r="P371">
        <f t="shared" si="273"/>
        <v>1.5670971546688086</v>
      </c>
      <c r="Q371">
        <f t="shared" si="274"/>
        <v>103.83516566002604</v>
      </c>
      <c r="R371">
        <f t="shared" si="275"/>
        <v>1.5611655292464848</v>
      </c>
      <c r="S371">
        <f t="shared" si="276"/>
        <v>0.96967514236842367</v>
      </c>
      <c r="T371">
        <f t="shared" si="277"/>
        <v>-0.24689826008223661</v>
      </c>
      <c r="U371">
        <f t="shared" si="278"/>
        <v>0.24731492358147367</v>
      </c>
      <c r="V371">
        <f t="shared" si="279"/>
        <v>-1.3208882181017252</v>
      </c>
      <c r="X371">
        <f t="shared" si="296"/>
        <v>-35.098834170088267</v>
      </c>
      <c r="Y371">
        <f t="shared" si="280"/>
        <v>-166.54138091306831</v>
      </c>
      <c r="Z371">
        <f t="shared" si="297"/>
        <v>13.458619086931691</v>
      </c>
      <c r="AC371">
        <v>1</v>
      </c>
      <c r="AD371">
        <f t="shared" si="281"/>
        <v>270.32952363908402</v>
      </c>
      <c r="AE371">
        <f t="shared" si="282"/>
        <v>-0.13333464339317996</v>
      </c>
      <c r="AF371">
        <f t="shared" si="283"/>
        <v>3.4032873177449997E-2</v>
      </c>
      <c r="AG371">
        <f t="shared" si="315"/>
        <v>478.80131313487237</v>
      </c>
      <c r="AH371">
        <f t="shared" si="316"/>
        <v>-1905.2403246984059</v>
      </c>
      <c r="AJ371">
        <f t="shared" si="284"/>
        <v>21000</v>
      </c>
      <c r="AK371">
        <f t="shared" si="285"/>
        <v>5292.8516241625503</v>
      </c>
      <c r="AL371">
        <v>1</v>
      </c>
      <c r="AM371">
        <f t="shared" si="286"/>
        <v>103.83035022403156</v>
      </c>
      <c r="AN371">
        <f t="shared" si="317"/>
        <v>52.91896778139111</v>
      </c>
      <c r="AO371">
        <f t="shared" si="318"/>
        <v>-201.74333407353183</v>
      </c>
      <c r="AQ371">
        <f t="shared" si="287"/>
        <v>4.056958068498491E-3</v>
      </c>
      <c r="AR371">
        <f t="shared" si="288"/>
        <v>-6.3694241675426317</v>
      </c>
      <c r="AT371">
        <f t="shared" si="313"/>
        <v>-12133.341292260267</v>
      </c>
      <c r="AU371">
        <f t="shared" si="314"/>
        <v>-3057.4181354401171</v>
      </c>
      <c r="AV371">
        <f t="shared" si="302"/>
        <v>-2.8947467744336857</v>
      </c>
      <c r="AW371">
        <f t="shared" si="303"/>
        <v>-992.40847277401485</v>
      </c>
      <c r="AX371">
        <f t="shared" si="304"/>
        <v>-2576.4776917464997</v>
      </c>
      <c r="AY371">
        <f t="shared" si="312"/>
        <v>-1.9384621920681648</v>
      </c>
      <c r="BA371">
        <f t="shared" si="289"/>
        <v>4.5319203832318875</v>
      </c>
      <c r="BB371">
        <f t="shared" si="305"/>
        <v>13.125645431475995</v>
      </c>
      <c r="BC371">
        <f t="shared" si="306"/>
        <v>-0.95628458236552083</v>
      </c>
      <c r="BD371">
        <f t="shared" si="290"/>
        <v>-234.79107064558281</v>
      </c>
      <c r="BF371">
        <f t="shared" si="291"/>
        <v>-41.453180473080636</v>
      </c>
      <c r="BG371">
        <f t="shared" si="292"/>
        <v>-220.74115227980914</v>
      </c>
      <c r="BH371">
        <f t="shared" si="307"/>
        <v>-40.741152279809143</v>
      </c>
      <c r="BI371">
        <f t="shared" si="308"/>
        <v>-40.741152279809143</v>
      </c>
      <c r="BJ371">
        <f t="shared" si="293"/>
        <v>0</v>
      </c>
      <c r="BK371">
        <f t="shared" si="309"/>
        <v>0</v>
      </c>
      <c r="BM371">
        <f t="shared" si="310"/>
        <v>-54.578825904556624</v>
      </c>
      <c r="BN371">
        <f t="shared" si="294"/>
        <v>-165.95008163422634</v>
      </c>
      <c r="BQ371" s="66">
        <f t="shared" si="311"/>
        <v>30.027606231761126</v>
      </c>
      <c r="BR371" s="71"/>
      <c r="BS371" s="71"/>
      <c r="BT371" s="71">
        <v>407380.27799999999</v>
      </c>
      <c r="BU371" s="71">
        <v>14.4298</v>
      </c>
      <c r="BV371" s="71">
        <v>-217.34299999999999</v>
      </c>
      <c r="BW371" s="75"/>
      <c r="BY371" s="71"/>
      <c r="BZ371" s="71"/>
      <c r="CA371" s="71"/>
      <c r="CC371" s="71"/>
    </row>
    <row r="372" spans="1:81" ht="13" x14ac:dyDescent="0.3">
      <c r="A372">
        <f t="shared" si="319"/>
        <v>790000</v>
      </c>
      <c r="B372">
        <f t="shared" si="295"/>
        <v>790</v>
      </c>
      <c r="C372">
        <f t="shared" si="264"/>
        <v>1.0303379061873006</v>
      </c>
      <c r="D372">
        <f t="shared" si="265"/>
        <v>0.2432704714774383</v>
      </c>
      <c r="F372">
        <f t="shared" si="266"/>
        <v>1.1929748886545828E-4</v>
      </c>
      <c r="G372">
        <f t="shared" si="267"/>
        <v>3.4053657099546984E-3</v>
      </c>
      <c r="H372">
        <f t="shared" si="268"/>
        <v>-3.1381872842900456</v>
      </c>
      <c r="J372">
        <f t="shared" si="269"/>
        <v>15</v>
      </c>
      <c r="M372">
        <f t="shared" si="270"/>
        <v>1.3903516460392273E-3</v>
      </c>
      <c r="N372">
        <f t="shared" si="271"/>
        <v>-1.5707963250000001</v>
      </c>
      <c r="O372">
        <f t="shared" si="272"/>
        <v>272.05320562069323</v>
      </c>
      <c r="P372">
        <f t="shared" si="273"/>
        <v>1.5671205669390609</v>
      </c>
      <c r="Q372">
        <f t="shared" si="274"/>
        <v>104.4964749943272</v>
      </c>
      <c r="R372">
        <f t="shared" si="275"/>
        <v>1.5612264799280153</v>
      </c>
      <c r="S372">
        <f t="shared" si="276"/>
        <v>0.96930526960719876</v>
      </c>
      <c r="T372">
        <f t="shared" si="277"/>
        <v>-0.24840715075350078</v>
      </c>
      <c r="U372">
        <f t="shared" si="278"/>
        <v>0.24584452727756018</v>
      </c>
      <c r="V372">
        <f t="shared" si="279"/>
        <v>-1.3224054632977338</v>
      </c>
      <c r="X372">
        <f t="shared" si="296"/>
        <v>-35.205929974751157</v>
      </c>
      <c r="Y372">
        <f t="shared" si="280"/>
        <v>-166.62636605653435</v>
      </c>
      <c r="Z372">
        <f t="shared" si="297"/>
        <v>13.373633943465649</v>
      </c>
      <c r="AC372">
        <v>1</v>
      </c>
      <c r="AD372">
        <f t="shared" si="281"/>
        <v>272.05136773869606</v>
      </c>
      <c r="AE372">
        <f t="shared" si="282"/>
        <v>-0.13503858321503287</v>
      </c>
      <c r="AF372">
        <f t="shared" si="283"/>
        <v>3.4249643070300005E-2</v>
      </c>
      <c r="AG372">
        <f t="shared" si="315"/>
        <v>473.12486794966134</v>
      </c>
      <c r="AH372">
        <f t="shared" si="316"/>
        <v>-1894.6215503189294</v>
      </c>
      <c r="AJ372">
        <f t="shared" si="284"/>
        <v>21000</v>
      </c>
      <c r="AK372">
        <f t="shared" si="285"/>
        <v>5326.5640548897009</v>
      </c>
      <c r="AL372">
        <v>1</v>
      </c>
      <c r="AM372">
        <f t="shared" si="286"/>
        <v>104.49169003437569</v>
      </c>
      <c r="AN372">
        <f t="shared" si="317"/>
        <v>52.894452804925571</v>
      </c>
      <c r="AO372">
        <f t="shared" si="318"/>
        <v>-200.46671214049553</v>
      </c>
      <c r="AQ372">
        <f t="shared" si="287"/>
        <v>4.0057667017438306E-3</v>
      </c>
      <c r="AR372">
        <f t="shared" si="288"/>
        <v>-6.3291113887552521</v>
      </c>
      <c r="AT372">
        <f t="shared" si="313"/>
        <v>-11989.375603662867</v>
      </c>
      <c r="AU372">
        <f t="shared" si="314"/>
        <v>-3002.0494019622001</v>
      </c>
      <c r="AV372">
        <f t="shared" si="302"/>
        <v>-2.8962446386405705</v>
      </c>
      <c r="AW372">
        <f t="shared" si="303"/>
        <v>-979.06686191196729</v>
      </c>
      <c r="AX372">
        <f t="shared" si="304"/>
        <v>-2560.7066735802332</v>
      </c>
      <c r="AY372">
        <f t="shared" si="312"/>
        <v>-1.9359886230187846</v>
      </c>
      <c r="BA372">
        <f t="shared" si="289"/>
        <v>4.5083106430404944</v>
      </c>
      <c r="BB372">
        <f t="shared" si="305"/>
        <v>13.08027666527307</v>
      </c>
      <c r="BC372">
        <f t="shared" si="306"/>
        <v>-0.96025601562178586</v>
      </c>
      <c r="BD372">
        <f t="shared" si="290"/>
        <v>-235.01861701004472</v>
      </c>
      <c r="BF372">
        <f t="shared" si="291"/>
        <v>-41.605678553865737</v>
      </c>
      <c r="BG372">
        <f t="shared" si="292"/>
        <v>-220.88513261520097</v>
      </c>
      <c r="BH372">
        <f t="shared" si="307"/>
        <v>-40.885132615200973</v>
      </c>
      <c r="BI372">
        <f t="shared" si="308"/>
        <v>-40.885132615200973</v>
      </c>
      <c r="BJ372">
        <f t="shared" si="293"/>
        <v>0</v>
      </c>
      <c r="BK372">
        <f t="shared" si="309"/>
        <v>0</v>
      </c>
      <c r="BM372">
        <f t="shared" si="310"/>
        <v>-54.685955219138798</v>
      </c>
      <c r="BN372">
        <f t="shared" si="294"/>
        <v>-165.86651560515631</v>
      </c>
      <c r="BQ372" s="66">
        <f t="shared" si="311"/>
        <v>29.982237465558207</v>
      </c>
      <c r="BR372" s="71"/>
      <c r="BS372" s="71"/>
      <c r="BT372" s="71">
        <v>416869.38299999997</v>
      </c>
      <c r="BU372" s="71">
        <v>14.126799999999999</v>
      </c>
      <c r="BV372" s="71">
        <v>-219.017</v>
      </c>
      <c r="BW372" s="75"/>
      <c r="BY372" s="71"/>
      <c r="BZ372" s="71"/>
      <c r="CA372" s="71"/>
      <c r="CC372" s="71"/>
    </row>
    <row r="373" spans="1:81" ht="13" x14ac:dyDescent="0.3">
      <c r="A373">
        <f t="shared" si="319"/>
        <v>795000</v>
      </c>
      <c r="B373">
        <f t="shared" si="295"/>
        <v>795</v>
      </c>
      <c r="C373">
        <f t="shared" si="264"/>
        <v>1.0307174040800076</v>
      </c>
      <c r="D373">
        <f t="shared" si="265"/>
        <v>0.2447495824121288</v>
      </c>
      <c r="F373">
        <f t="shared" si="266"/>
        <v>1.1780144114383128E-4</v>
      </c>
      <c r="G373">
        <f t="shared" si="267"/>
        <v>3.3839433720522986E-3</v>
      </c>
      <c r="H373">
        <f t="shared" si="268"/>
        <v>-3.1382087066279478</v>
      </c>
      <c r="J373">
        <f t="shared" si="269"/>
        <v>15</v>
      </c>
      <c r="M373">
        <f t="shared" si="270"/>
        <v>1.3816072960641376E-3</v>
      </c>
      <c r="N373">
        <f t="shared" si="271"/>
        <v>-1.5707963250000001</v>
      </c>
      <c r="O373">
        <f t="shared" si="272"/>
        <v>273.77503816137636</v>
      </c>
      <c r="P373">
        <f t="shared" si="273"/>
        <v>1.5671436847193019</v>
      </c>
      <c r="Q373">
        <f t="shared" si="274"/>
        <v>105.15778471194868</v>
      </c>
      <c r="R373">
        <f t="shared" si="275"/>
        <v>1.5612866640040783</v>
      </c>
      <c r="S373">
        <f t="shared" si="276"/>
        <v>0.96893347541221797</v>
      </c>
      <c r="T373">
        <f t="shared" si="277"/>
        <v>-0.24991488733186226</v>
      </c>
      <c r="U373">
        <f t="shared" si="278"/>
        <v>0.24439095928596735</v>
      </c>
      <c r="V373">
        <f t="shared" si="279"/>
        <v>-1.323904770335945</v>
      </c>
      <c r="X373">
        <f t="shared" si="296"/>
        <v>-35.312390736185684</v>
      </c>
      <c r="Y373">
        <f t="shared" si="280"/>
        <v>-166.71036471543954</v>
      </c>
      <c r="Z373">
        <f t="shared" si="297"/>
        <v>13.289635284560461</v>
      </c>
      <c r="AC373">
        <v>1</v>
      </c>
      <c r="AD373">
        <f t="shared" si="281"/>
        <v>273.77321183830804</v>
      </c>
      <c r="AE373">
        <f t="shared" si="282"/>
        <v>-0.13675334170242132</v>
      </c>
      <c r="AF373">
        <f t="shared" si="283"/>
        <v>3.4466412963149999E-2</v>
      </c>
      <c r="AG373">
        <f t="shared" si="315"/>
        <v>467.5466589507061</v>
      </c>
      <c r="AH373">
        <f t="shared" si="316"/>
        <v>-1884.1115866261125</v>
      </c>
      <c r="AJ373">
        <f t="shared" si="284"/>
        <v>21000</v>
      </c>
      <c r="AK373">
        <f t="shared" si="285"/>
        <v>5360.2764856168506</v>
      </c>
      <c r="AL373">
        <v>1</v>
      </c>
      <c r="AM373">
        <f t="shared" si="286"/>
        <v>105.15302984471985</v>
      </c>
      <c r="AN373">
        <f t="shared" si="317"/>
        <v>52.870398863324596</v>
      </c>
      <c r="AO373">
        <f t="shared" si="318"/>
        <v>-199.20614396056331</v>
      </c>
      <c r="AQ373">
        <f t="shared" si="287"/>
        <v>3.9555381687677825E-3</v>
      </c>
      <c r="AR373">
        <f t="shared" si="288"/>
        <v>-6.2893056883407743</v>
      </c>
      <c r="AT373">
        <f t="shared" si="313"/>
        <v>-11847.90432058121</v>
      </c>
      <c r="AU373">
        <f t="shared" si="314"/>
        <v>-2947.9965369985171</v>
      </c>
      <c r="AV373">
        <f t="shared" si="302"/>
        <v>-2.8977248084717515</v>
      </c>
      <c r="AW373">
        <f t="shared" si="303"/>
        <v>-965.98029608038155</v>
      </c>
      <c r="AX373">
        <f t="shared" si="304"/>
        <v>-2545.1250638346164</v>
      </c>
      <c r="AY373">
        <f t="shared" si="312"/>
        <v>-1.9335425301049605</v>
      </c>
      <c r="BA373">
        <f t="shared" si="289"/>
        <v>4.4849100828009147</v>
      </c>
      <c r="BB373">
        <f t="shared" si="305"/>
        <v>13.035074807424527</v>
      </c>
      <c r="BC373">
        <f t="shared" si="306"/>
        <v>-0.96418227836679105</v>
      </c>
      <c r="BD373">
        <f t="shared" si="290"/>
        <v>-235.24357529485002</v>
      </c>
      <c r="BF373">
        <f t="shared" si="291"/>
        <v>-41.757295754576049</v>
      </c>
      <c r="BG373">
        <f t="shared" si="292"/>
        <v>-221.02657149547053</v>
      </c>
      <c r="BH373">
        <f t="shared" si="307"/>
        <v>-41.026571495470535</v>
      </c>
      <c r="BI373">
        <f t="shared" si="308"/>
        <v>-41.026571495470535</v>
      </c>
      <c r="BJ373">
        <f t="shared" si="293"/>
        <v>0</v>
      </c>
      <c r="BK373">
        <f t="shared" si="309"/>
        <v>0</v>
      </c>
      <c r="BM373">
        <f t="shared" si="310"/>
        <v>-54.792370562000571</v>
      </c>
      <c r="BN373">
        <f t="shared" si="294"/>
        <v>-165.78299620062052</v>
      </c>
      <c r="BQ373" s="66">
        <f t="shared" si="311"/>
        <v>29.937035607709667</v>
      </c>
      <c r="BR373" s="71"/>
      <c r="BS373" s="71"/>
      <c r="BT373" s="71">
        <v>426579.51899999997</v>
      </c>
      <c r="BU373" s="71">
        <v>14.106299999999999</v>
      </c>
      <c r="BV373" s="71">
        <v>-221.39400000000001</v>
      </c>
      <c r="BW373" s="75"/>
      <c r="BY373" s="71"/>
      <c r="BZ373" s="71"/>
      <c r="CA373" s="71"/>
      <c r="CC373" s="71"/>
    </row>
    <row r="374" spans="1:81" ht="13" x14ac:dyDescent="0.3">
      <c r="A374">
        <f t="shared" si="319"/>
        <v>800000</v>
      </c>
      <c r="B374">
        <f t="shared" si="295"/>
        <v>800</v>
      </c>
      <c r="C374">
        <f t="shared" si="264"/>
        <v>1.0310991552816915</v>
      </c>
      <c r="D374">
        <f t="shared" si="265"/>
        <v>0.24622760133479116</v>
      </c>
      <c r="F374">
        <f t="shared" si="266"/>
        <v>1.1633336074449119E-4</v>
      </c>
      <c r="G374">
        <f t="shared" si="267"/>
        <v>3.3627889052103271E-3</v>
      </c>
      <c r="H374">
        <f t="shared" si="268"/>
        <v>-3.1382298610947901</v>
      </c>
      <c r="J374">
        <f t="shared" si="269"/>
        <v>15</v>
      </c>
      <c r="M374">
        <f t="shared" si="270"/>
        <v>1.3729722504637369E-3</v>
      </c>
      <c r="N374">
        <f t="shared" si="271"/>
        <v>-1.5707963250000001</v>
      </c>
      <c r="O374">
        <f t="shared" si="272"/>
        <v>275.4968708465446</v>
      </c>
      <c r="P374">
        <f t="shared" si="273"/>
        <v>1.5671665135311212</v>
      </c>
      <c r="Q374">
        <f t="shared" si="274"/>
        <v>105.81909480570381</v>
      </c>
      <c r="R374">
        <f t="shared" si="275"/>
        <v>1.5613460958467986</v>
      </c>
      <c r="S374">
        <f t="shared" si="276"/>
        <v>0.96855976706181512</v>
      </c>
      <c r="T374">
        <f t="shared" si="277"/>
        <v>-0.25142146429380263</v>
      </c>
      <c r="U374">
        <f t="shared" si="278"/>
        <v>0.24295394230127487</v>
      </c>
      <c r="V374">
        <f t="shared" si="279"/>
        <v>-1.3253864488442972</v>
      </c>
      <c r="X374">
        <f t="shared" si="296"/>
        <v>-35.418223750731684</v>
      </c>
      <c r="Y374">
        <f t="shared" si="280"/>
        <v>-166.79339376912287</v>
      </c>
      <c r="Z374">
        <f t="shared" si="297"/>
        <v>13.206606230877128</v>
      </c>
      <c r="AC374">
        <v>1</v>
      </c>
      <c r="AD374">
        <f t="shared" si="281"/>
        <v>275.49505593792003</v>
      </c>
      <c r="AE374">
        <f t="shared" si="282"/>
        <v>-0.13847891885534536</v>
      </c>
      <c r="AF374">
        <f t="shared" si="283"/>
        <v>3.4683182856E-2</v>
      </c>
      <c r="AG374">
        <f t="shared" si="315"/>
        <v>462.06448244601074</v>
      </c>
      <c r="AH374">
        <f t="shared" si="316"/>
        <v>-1873.7089453523442</v>
      </c>
      <c r="AJ374">
        <f t="shared" si="284"/>
        <v>21000</v>
      </c>
      <c r="AK374">
        <f t="shared" si="285"/>
        <v>5393.9889163440002</v>
      </c>
      <c r="AL374">
        <v>1</v>
      </c>
      <c r="AM374">
        <f t="shared" si="286"/>
        <v>105.814369655064</v>
      </c>
      <c r="AN374">
        <f t="shared" si="317"/>
        <v>52.846794468531975</v>
      </c>
      <c r="AO374">
        <f t="shared" si="318"/>
        <v>-197.96132863443273</v>
      </c>
      <c r="AQ374">
        <f t="shared" si="287"/>
        <v>3.90624847412169E-3</v>
      </c>
      <c r="AR374">
        <f t="shared" si="288"/>
        <v>-6.2499975585947034</v>
      </c>
      <c r="AT374">
        <f t="shared" si="313"/>
        <v>-11708.871395289707</v>
      </c>
      <c r="AU374">
        <f t="shared" si="314"/>
        <v>-2895.2210599096229</v>
      </c>
      <c r="AV374">
        <f t="shared" si="302"/>
        <v>-2.8991875889843493</v>
      </c>
      <c r="AW374">
        <f t="shared" si="303"/>
        <v>-953.14230141066309</v>
      </c>
      <c r="AX374">
        <f t="shared" si="304"/>
        <v>-2529.7295034583572</v>
      </c>
      <c r="AY374">
        <f t="shared" si="312"/>
        <v>-1.9311234529964603</v>
      </c>
      <c r="BA374">
        <f t="shared" si="289"/>
        <v>4.4617167274717433</v>
      </c>
      <c r="BB374">
        <f t="shared" si="305"/>
        <v>12.990039872962765</v>
      </c>
      <c r="BC374">
        <f t="shared" si="306"/>
        <v>-0.96806413598788899</v>
      </c>
      <c r="BD374">
        <f t="shared" si="290"/>
        <v>-235.46598935346375</v>
      </c>
      <c r="BF374">
        <f t="shared" si="291"/>
        <v>-41.908040833205</v>
      </c>
      <c r="BG374">
        <f t="shared" si="292"/>
        <v>-221.16551336934779</v>
      </c>
      <c r="BH374">
        <f t="shared" si="307"/>
        <v>-41.165513369347792</v>
      </c>
      <c r="BI374">
        <f t="shared" si="308"/>
        <v>-41.165513369347792</v>
      </c>
      <c r="BJ374">
        <f t="shared" si="293"/>
        <v>0</v>
      </c>
      <c r="BK374">
        <f t="shared" si="309"/>
        <v>0</v>
      </c>
      <c r="BM374">
        <f t="shared" si="310"/>
        <v>-54.898080706167761</v>
      </c>
      <c r="BN374">
        <f t="shared" si="294"/>
        <v>-165.69952401588404</v>
      </c>
      <c r="BQ374" s="66">
        <f t="shared" si="311"/>
        <v>29.8920006732479</v>
      </c>
      <c r="BR374" s="71"/>
      <c r="BS374" s="71"/>
      <c r="BT374" s="71">
        <v>436515.83199999999</v>
      </c>
      <c r="BU374" s="71">
        <v>13.8226</v>
      </c>
      <c r="BV374" s="71">
        <v>-223.214</v>
      </c>
      <c r="BW374" s="75"/>
      <c r="BY374" s="71"/>
      <c r="BZ374" s="71"/>
      <c r="CA374" s="71"/>
      <c r="CC374" s="71"/>
    </row>
    <row r="375" spans="1:81" ht="13" x14ac:dyDescent="0.3">
      <c r="A375">
        <f t="shared" si="319"/>
        <v>805000</v>
      </c>
      <c r="B375">
        <f t="shared" si="295"/>
        <v>805</v>
      </c>
      <c r="C375">
        <f t="shared" si="264"/>
        <v>1.0314831572905081</v>
      </c>
      <c r="D375">
        <f t="shared" si="265"/>
        <v>0.24770452300390128</v>
      </c>
      <c r="F375">
        <f t="shared" si="266"/>
        <v>1.1489255486136085E-4</v>
      </c>
      <c r="G375">
        <f t="shared" si="267"/>
        <v>3.3418973157817262E-3</v>
      </c>
      <c r="H375">
        <f t="shared" si="268"/>
        <v>-3.1382507526842183</v>
      </c>
      <c r="J375">
        <f t="shared" si="269"/>
        <v>15</v>
      </c>
      <c r="M375">
        <f t="shared" si="270"/>
        <v>1.3644444725105459E-3</v>
      </c>
      <c r="N375">
        <f t="shared" si="271"/>
        <v>-1.5707963250000001</v>
      </c>
      <c r="O375">
        <f t="shared" si="272"/>
        <v>277.21870367350579</v>
      </c>
      <c r="P375">
        <f t="shared" si="273"/>
        <v>1.5671890587589292</v>
      </c>
      <c r="Q375">
        <f t="shared" si="274"/>
        <v>106.48040526858455</v>
      </c>
      <c r="R375">
        <f t="shared" si="275"/>
        <v>1.5614047894712824</v>
      </c>
      <c r="S375">
        <f t="shared" si="276"/>
        <v>0.96818415185637574</v>
      </c>
      <c r="T375">
        <f t="shared" si="277"/>
        <v>-0.25292687614535303</v>
      </c>
      <c r="U375">
        <f t="shared" si="278"/>
        <v>0.24153320483600441</v>
      </c>
      <c r="V375">
        <f t="shared" si="279"/>
        <v>-1.3268508015219087</v>
      </c>
      <c r="X375">
        <f t="shared" si="296"/>
        <v>-35.523436193196382</v>
      </c>
      <c r="Y375">
        <f t="shared" si="280"/>
        <v>-166.87546972110658</v>
      </c>
      <c r="Z375">
        <f t="shared" si="297"/>
        <v>13.124530278893417</v>
      </c>
      <c r="AC375">
        <v>1</v>
      </c>
      <c r="AD375">
        <f t="shared" si="281"/>
        <v>277.21690003753201</v>
      </c>
      <c r="AE375">
        <f t="shared" si="282"/>
        <v>-0.14021531467380496</v>
      </c>
      <c r="AF375">
        <f t="shared" si="283"/>
        <v>3.4899952748850001E-2</v>
      </c>
      <c r="AG375">
        <f t="shared" si="315"/>
        <v>456.67619471066774</v>
      </c>
      <c r="AH375">
        <f t="shared" si="316"/>
        <v>-1863.4121602796447</v>
      </c>
      <c r="AJ375">
        <f t="shared" si="284"/>
        <v>21000</v>
      </c>
      <c r="AK375">
        <f t="shared" si="285"/>
        <v>5427.7013470711508</v>
      </c>
      <c r="AL375">
        <v>1</v>
      </c>
      <c r="AM375">
        <f t="shared" si="286"/>
        <v>106.47570946540816</v>
      </c>
      <c r="AN375">
        <f t="shared" si="317"/>
        <v>52.823628488088524</v>
      </c>
      <c r="AO375">
        <f t="shared" si="318"/>
        <v>-196.7319727352203</v>
      </c>
      <c r="AQ375">
        <f t="shared" si="287"/>
        <v>3.8578743652349966E-3</v>
      </c>
      <c r="AR375">
        <f t="shared" si="288"/>
        <v>-6.2111777280283444</v>
      </c>
      <c r="AT375">
        <f t="shared" si="313"/>
        <v>-11572.222308681326</v>
      </c>
      <c r="AU375">
        <f t="shared" si="314"/>
        <v>-2843.6858195126451</v>
      </c>
      <c r="AV375">
        <f t="shared" si="302"/>
        <v>-2.9006332784202233</v>
      </c>
      <c r="AW375">
        <f t="shared" si="303"/>
        <v>-940.54660843100896</v>
      </c>
      <c r="AX375">
        <f t="shared" si="304"/>
        <v>-2514.5167119357893</v>
      </c>
      <c r="AY375">
        <f t="shared" si="312"/>
        <v>-1.928730941034412</v>
      </c>
      <c r="BA375">
        <f t="shared" si="289"/>
        <v>4.4387285993267254</v>
      </c>
      <c r="BB375">
        <f t="shared" si="305"/>
        <v>12.945171828562493</v>
      </c>
      <c r="BC375">
        <f t="shared" si="306"/>
        <v>-0.97190233738581133</v>
      </c>
      <c r="BD375">
        <f t="shared" si="290"/>
        <v>-235.68590209473723</v>
      </c>
      <c r="BF375">
        <f t="shared" si="291"/>
        <v>-42.057922432972028</v>
      </c>
      <c r="BG375">
        <f t="shared" si="292"/>
        <v>-221.30200173211605</v>
      </c>
      <c r="BH375">
        <f t="shared" si="307"/>
        <v>-41.302001732116054</v>
      </c>
      <c r="BI375">
        <f t="shared" si="308"/>
        <v>-41.302001732116054</v>
      </c>
      <c r="BJ375">
        <f t="shared" si="293"/>
        <v>0</v>
      </c>
      <c r="BK375">
        <f t="shared" si="309"/>
        <v>0</v>
      </c>
      <c r="BM375">
        <f t="shared" si="310"/>
        <v>-55.003094261534514</v>
      </c>
      <c r="BN375">
        <f t="shared" si="294"/>
        <v>-165.61609963737882</v>
      </c>
      <c r="BQ375" s="66">
        <f t="shared" si="311"/>
        <v>29.847132628847632</v>
      </c>
      <c r="BR375" s="71"/>
      <c r="BS375" s="71"/>
      <c r="BT375" s="71">
        <v>446683.592</v>
      </c>
      <c r="BU375" s="71">
        <v>13.599500000000001</v>
      </c>
      <c r="BV375" s="71">
        <v>-225.053</v>
      </c>
      <c r="BW375" s="75"/>
      <c r="BY375" s="71"/>
      <c r="BZ375" s="71"/>
      <c r="CA375" s="71"/>
      <c r="CC375" s="71"/>
    </row>
    <row r="376" spans="1:81" ht="13" x14ac:dyDescent="0.3">
      <c r="A376">
        <f t="shared" si="319"/>
        <v>810000</v>
      </c>
      <c r="B376">
        <f t="shared" si="295"/>
        <v>810</v>
      </c>
      <c r="C376">
        <f t="shared" si="264"/>
        <v>1.0318694075935975</v>
      </c>
      <c r="D376">
        <f t="shared" si="265"/>
        <v>0.24918034220486179</v>
      </c>
      <c r="F376">
        <f t="shared" si="266"/>
        <v>1.1347835200975324E-4</v>
      </c>
      <c r="G376">
        <f t="shared" si="267"/>
        <v>3.3212637334885135E-3</v>
      </c>
      <c r="H376">
        <f t="shared" si="268"/>
        <v>-3.1382713862665117</v>
      </c>
      <c r="J376">
        <f t="shared" si="269"/>
        <v>15</v>
      </c>
      <c r="M376">
        <f t="shared" si="270"/>
        <v>1.3560219757666537E-3</v>
      </c>
      <c r="N376">
        <f t="shared" si="271"/>
        <v>-1.5707963250000001</v>
      </c>
      <c r="O376">
        <f t="shared" si="272"/>
        <v>278.94053663963416</v>
      </c>
      <c r="P376">
        <f t="shared" si="273"/>
        <v>1.5672113256541911</v>
      </c>
      <c r="Q376">
        <f t="shared" si="274"/>
        <v>107.14171609375585</v>
      </c>
      <c r="R376">
        <f t="shared" si="275"/>
        <v>1.561462758546635</v>
      </c>
      <c r="S376">
        <f t="shared" si="276"/>
        <v>0.96780663711797932</v>
      </c>
      <c r="T376">
        <f t="shared" si="277"/>
        <v>-0.25443111742216223</v>
      </c>
      <c r="U376">
        <f t="shared" si="278"/>
        <v>0.24012848107629073</v>
      </c>
      <c r="V376">
        <f t="shared" si="279"/>
        <v>-1.3282981243272034</v>
      </c>
      <c r="X376">
        <f t="shared" si="296"/>
        <v>-35.628035119462332</v>
      </c>
      <c r="Y376">
        <f t="shared" si="280"/>
        <v>-166.95660870922717</v>
      </c>
      <c r="Z376">
        <f t="shared" si="297"/>
        <v>13.043391290772831</v>
      </c>
      <c r="AC376">
        <v>1</v>
      </c>
      <c r="AD376">
        <f t="shared" si="281"/>
        <v>278.93874413714406</v>
      </c>
      <c r="AE376">
        <f t="shared" si="282"/>
        <v>-0.14196252915780014</v>
      </c>
      <c r="AF376">
        <f t="shared" si="283"/>
        <v>3.5116722641700002E-2</v>
      </c>
      <c r="AG376">
        <f t="shared" si="315"/>
        <v>451.3797100919482</v>
      </c>
      <c r="AH376">
        <f t="shared" si="316"/>
        <v>-1853.219787027856</v>
      </c>
      <c r="AJ376">
        <f t="shared" si="284"/>
        <v>21000</v>
      </c>
      <c r="AK376">
        <f t="shared" si="285"/>
        <v>5461.4137777983005</v>
      </c>
      <c r="AL376">
        <v>1</v>
      </c>
      <c r="AM376">
        <f t="shared" si="286"/>
        <v>107.1370492757523</v>
      </c>
      <c r="AN376">
        <f t="shared" si="317"/>
        <v>52.800890132005485</v>
      </c>
      <c r="AO376">
        <f t="shared" si="318"/>
        <v>-195.5177900779544</v>
      </c>
      <c r="AQ376">
        <f t="shared" si="287"/>
        <v>3.8103933049865473E-3</v>
      </c>
      <c r="AR376">
        <f t="shared" si="288"/>
        <v>-6.1728371540782065</v>
      </c>
      <c r="AT376">
        <f t="shared" si="313"/>
        <v>-11437.90402181311</v>
      </c>
      <c r="AU376">
        <f t="shared" si="314"/>
        <v>-2793.354941321787</v>
      </c>
      <c r="AV376">
        <f t="shared" si="302"/>
        <v>-2.9020621683905912</v>
      </c>
      <c r="AW376">
        <f t="shared" si="303"/>
        <v>-928.18714436627852</v>
      </c>
      <c r="AX376">
        <f t="shared" si="304"/>
        <v>-2499.4834850050556</v>
      </c>
      <c r="AY376">
        <f t="shared" si="312"/>
        <v>-1.9263645529987876</v>
      </c>
      <c r="BA376">
        <f t="shared" si="289"/>
        <v>4.4159437196011853</v>
      </c>
      <c r="BB376">
        <f t="shared" si="305"/>
        <v>12.900470595046038</v>
      </c>
      <c r="BC376">
        <f t="shared" si="306"/>
        <v>-0.97569761539180355</v>
      </c>
      <c r="BD376">
        <f t="shared" si="290"/>
        <v>-235.90335550680788</v>
      </c>
      <c r="BF376">
        <f t="shared" si="291"/>
        <v>-42.206949083862256</v>
      </c>
      <c r="BG376">
        <f t="shared" si="292"/>
        <v>-221.43607914973367</v>
      </c>
      <c r="BH376">
        <f t="shared" si="307"/>
        <v>-41.436079149733672</v>
      </c>
      <c r="BI376">
        <f t="shared" si="308"/>
        <v>-41.436079149733672</v>
      </c>
      <c r="BJ376">
        <f t="shared" si="293"/>
        <v>0</v>
      </c>
      <c r="BK376">
        <f t="shared" si="309"/>
        <v>0</v>
      </c>
      <c r="BM376">
        <f t="shared" si="310"/>
        <v>-55.1074196789083</v>
      </c>
      <c r="BN376">
        <f t="shared" si="294"/>
        <v>-165.53272364292582</v>
      </c>
      <c r="BQ376" s="66">
        <f t="shared" si="311"/>
        <v>29.802431395331176</v>
      </c>
      <c r="BR376" s="71"/>
      <c r="BS376" s="71"/>
      <c r="BT376" s="71">
        <v>457088.19</v>
      </c>
      <c r="BU376" s="71">
        <v>13.3674</v>
      </c>
      <c r="BV376" s="71">
        <v>-226.50200000000001</v>
      </c>
      <c r="BW376" s="75"/>
      <c r="BY376" s="71"/>
      <c r="BZ376" s="71"/>
      <c r="CA376" s="71"/>
      <c r="CC376" s="71"/>
    </row>
    <row r="377" spans="1:81" ht="13" x14ac:dyDescent="0.3">
      <c r="A377">
        <f t="shared" si="319"/>
        <v>815000</v>
      </c>
      <c r="B377">
        <f t="shared" si="295"/>
        <v>815</v>
      </c>
      <c r="C377">
        <f t="shared" si="264"/>
        <v>1.0322579036671589</v>
      </c>
      <c r="D377">
        <f t="shared" si="265"/>
        <v>0.2506550537500673</v>
      </c>
      <c r="F377">
        <f t="shared" si="266"/>
        <v>1.1209010124375339E-4</v>
      </c>
      <c r="G377">
        <f t="shared" si="267"/>
        <v>3.3008834076349342E-3</v>
      </c>
      <c r="H377">
        <f t="shared" si="268"/>
        <v>-3.1382917665923653</v>
      </c>
      <c r="J377">
        <f t="shared" si="269"/>
        <v>15</v>
      </c>
      <c r="M377">
        <f t="shared" si="270"/>
        <v>1.3477028225410913E-3</v>
      </c>
      <c r="N377">
        <f t="shared" si="271"/>
        <v>-1.5707963250000001</v>
      </c>
      <c r="O377">
        <f t="shared" si="272"/>
        <v>280.66236974236841</v>
      </c>
      <c r="P377">
        <f t="shared" si="273"/>
        <v>1.5672333193395043</v>
      </c>
      <c r="Q377">
        <f t="shared" si="274"/>
        <v>107.80302727455032</v>
      </c>
      <c r="R377">
        <f t="shared" si="275"/>
        <v>1.5615200164065723</v>
      </c>
      <c r="S377">
        <f t="shared" si="276"/>
        <v>0.96742723019004095</v>
      </c>
      <c r="T377">
        <f t="shared" si="277"/>
        <v>-0.25593418268956308</v>
      </c>
      <c r="U377">
        <f t="shared" si="278"/>
        <v>0.23873951074154667</v>
      </c>
      <c r="V377">
        <f t="shared" si="279"/>
        <v>-1.3297287066601016</v>
      </c>
      <c r="X377">
        <f t="shared" si="296"/>
        <v>-35.732027469027706</v>
      </c>
      <c r="Y377">
        <f t="shared" si="280"/>
        <v>-167.03682651544895</v>
      </c>
      <c r="Z377">
        <f t="shared" si="297"/>
        <v>12.963173484551049</v>
      </c>
      <c r="AC377">
        <v>1</v>
      </c>
      <c r="AD377">
        <f t="shared" si="281"/>
        <v>280.66058823675604</v>
      </c>
      <c r="AE377">
        <f t="shared" si="282"/>
        <v>-0.14372056230733088</v>
      </c>
      <c r="AF377">
        <f t="shared" si="283"/>
        <v>3.5333492534550003E-2</v>
      </c>
      <c r="AG377">
        <f t="shared" si="315"/>
        <v>446.17299918168692</v>
      </c>
      <c r="AH377">
        <f t="shared" si="316"/>
        <v>-1843.130402834086</v>
      </c>
      <c r="AJ377">
        <f t="shared" si="284"/>
        <v>21000</v>
      </c>
      <c r="AK377">
        <f t="shared" si="285"/>
        <v>5495.1262085254502</v>
      </c>
      <c r="AL377">
        <v>1</v>
      </c>
      <c r="AM377">
        <f t="shared" si="286"/>
        <v>107.79838908609646</v>
      </c>
      <c r="AN377">
        <f t="shared" si="317"/>
        <v>52.778568940199548</v>
      </c>
      <c r="AO377">
        <f t="shared" si="318"/>
        <v>-194.31850149754709</v>
      </c>
      <c r="AQ377">
        <f t="shared" si="287"/>
        <v>3.7637834454501691E-3</v>
      </c>
      <c r="AR377">
        <f t="shared" si="288"/>
        <v>-6.1349670160837757</v>
      </c>
      <c r="AT377">
        <f t="shared" si="313"/>
        <v>-11305.864929180194</v>
      </c>
      <c r="AU377">
        <f t="shared" si="314"/>
        <v>-2744.1937771448156</v>
      </c>
      <c r="AV377">
        <f t="shared" si="302"/>
        <v>-2.903474544054844</v>
      </c>
      <c r="AW377">
        <f t="shared" si="303"/>
        <v>-916.05802577415466</v>
      </c>
      <c r="AX377">
        <f t="shared" si="304"/>
        <v>-2484.6266924558813</v>
      </c>
      <c r="AY377">
        <f t="shared" si="312"/>
        <v>-1.9240238568816717</v>
      </c>
      <c r="BA377">
        <f t="shared" si="289"/>
        <v>4.3933601100266877</v>
      </c>
      <c r="BB377">
        <f t="shared" si="305"/>
        <v>12.855936049771408</v>
      </c>
      <c r="BC377">
        <f t="shared" si="306"/>
        <v>-0.9794506871731723</v>
      </c>
      <c r="BD377">
        <f t="shared" si="290"/>
        <v>-236.11839068033566</v>
      </c>
      <c r="BF377">
        <f t="shared" si="291"/>
        <v>-42.355129204158885</v>
      </c>
      <c r="BG377">
        <f t="shared" si="292"/>
        <v>-221.56778728228326</v>
      </c>
      <c r="BH377">
        <f t="shared" si="307"/>
        <v>-41.567787282283263</v>
      </c>
      <c r="BI377">
        <f t="shared" si="308"/>
        <v>-41.567787282283263</v>
      </c>
      <c r="BJ377">
        <f t="shared" si="293"/>
        <v>0</v>
      </c>
      <c r="BK377">
        <f t="shared" si="309"/>
        <v>0</v>
      </c>
      <c r="BM377">
        <f t="shared" si="310"/>
        <v>-55.211065253930293</v>
      </c>
      <c r="BN377">
        <f t="shared" si="294"/>
        <v>-165.44939660194763</v>
      </c>
      <c r="BQ377" s="66">
        <f t="shared" si="311"/>
        <v>29.757896850056547</v>
      </c>
      <c r="BR377" s="71"/>
      <c r="BS377" s="71"/>
      <c r="BT377" s="71">
        <v>467735.141</v>
      </c>
      <c r="BU377" s="71">
        <v>13.1959</v>
      </c>
      <c r="BV377" s="71">
        <v>131.81700000000001</v>
      </c>
      <c r="BY377" s="71"/>
      <c r="BZ377" s="71"/>
      <c r="CA377" s="71"/>
      <c r="CC377" s="71"/>
    </row>
    <row r="378" spans="1:81" ht="13" x14ac:dyDescent="0.3">
      <c r="A378">
        <f t="shared" si="319"/>
        <v>820000</v>
      </c>
      <c r="B378">
        <f t="shared" si="295"/>
        <v>820</v>
      </c>
      <c r="C378">
        <f t="shared" si="264"/>
        <v>1.0326486429765269</v>
      </c>
      <c r="D378">
        <f t="shared" si="265"/>
        <v>0.25212865247896732</v>
      </c>
      <c r="F378">
        <f t="shared" si="266"/>
        <v>1.1072717140691196E-4</v>
      </c>
      <c r="G378">
        <f t="shared" si="267"/>
        <v>3.2807517034592571E-3</v>
      </c>
      <c r="H378">
        <f t="shared" si="268"/>
        <v>-3.138311898296541</v>
      </c>
      <c r="J378">
        <f t="shared" si="269"/>
        <v>15</v>
      </c>
      <c r="M378">
        <f t="shared" si="270"/>
        <v>1.3394851224036457E-3</v>
      </c>
      <c r="N378">
        <f t="shared" si="271"/>
        <v>-1.5707963250000001</v>
      </c>
      <c r="O378">
        <f t="shared" si="272"/>
        <v>282.38420297920965</v>
      </c>
      <c r="P378">
        <f t="shared" si="273"/>
        <v>1.5672550448125271</v>
      </c>
      <c r="Q378">
        <f t="shared" si="274"/>
        <v>108.46433880446325</v>
      </c>
      <c r="R378">
        <f t="shared" si="275"/>
        <v>1.5615765760596443</v>
      </c>
      <c r="S378">
        <f t="shared" si="276"/>
        <v>0.96704593843695297</v>
      </c>
      <c r="T378">
        <f t="shared" si="277"/>
        <v>-0.25743606654263734</v>
      </c>
      <c r="U378">
        <f t="shared" si="278"/>
        <v>0.23736603894800523</v>
      </c>
      <c r="V378">
        <f t="shared" si="279"/>
        <v>-1.3311428315384892</v>
      </c>
      <c r="X378">
        <f t="shared" si="296"/>
        <v>-35.83542006748096</v>
      </c>
      <c r="Y378">
        <f t="shared" si="280"/>
        <v>-167.11613857537361</v>
      </c>
      <c r="Z378">
        <f t="shared" si="297"/>
        <v>12.883861424626389</v>
      </c>
      <c r="AC378">
        <v>1</v>
      </c>
      <c r="AD378">
        <f t="shared" si="281"/>
        <v>282.38243233636803</v>
      </c>
      <c r="AE378">
        <f t="shared" si="282"/>
        <v>-0.14548941412239724</v>
      </c>
      <c r="AF378">
        <f t="shared" si="283"/>
        <v>3.5550262427400003E-2</v>
      </c>
      <c r="AG378">
        <f t="shared" si="315"/>
        <v>441.05408705335287</v>
      </c>
      <c r="AH378">
        <f t="shared" si="316"/>
        <v>-1833.1426063244189</v>
      </c>
      <c r="AJ378">
        <f t="shared" si="284"/>
        <v>21000</v>
      </c>
      <c r="AK378">
        <f t="shared" si="285"/>
        <v>5528.8386392526008</v>
      </c>
      <c r="AL378">
        <v>1</v>
      </c>
      <c r="AM378">
        <f t="shared" si="286"/>
        <v>108.45972889644061</v>
      </c>
      <c r="AN378">
        <f t="shared" si="317"/>
        <v>52.75665477046261</v>
      </c>
      <c r="AO378">
        <f t="shared" si="318"/>
        <v>-193.13383463488427</v>
      </c>
      <c r="AQ378">
        <f t="shared" si="287"/>
        <v>3.7180236027574351E-3</v>
      </c>
      <c r="AR378">
        <f t="shared" si="288"/>
        <v>-6.0975587085221932</v>
      </c>
      <c r="AT378">
        <f t="shared" si="313"/>
        <v>-11176.054813650775</v>
      </c>
      <c r="AU378">
        <f t="shared" si="314"/>
        <v>-2696.1688569190119</v>
      </c>
      <c r="AV378">
        <f t="shared" si="302"/>
        <v>-2.9048706842937642</v>
      </c>
      <c r="AW378">
        <f t="shared" si="303"/>
        <v>-904.15355150093296</v>
      </c>
      <c r="AX378">
        <f t="shared" si="304"/>
        <v>-2469.9432760036907</v>
      </c>
      <c r="AY378">
        <f t="shared" si="312"/>
        <v>-1.9217084296662037</v>
      </c>
      <c r="BA378">
        <f t="shared" si="289"/>
        <v>4.3709757942603753</v>
      </c>
      <c r="BB378">
        <f t="shared" si="305"/>
        <v>12.811568028908782</v>
      </c>
      <c r="BC378">
        <f t="shared" si="306"/>
        <v>-0.98316225462756046</v>
      </c>
      <c r="BD378">
        <f t="shared" si="290"/>
        <v>-236.3310478310932</v>
      </c>
      <c r="BF378">
        <f t="shared" si="291"/>
        <v>-42.502471101967025</v>
      </c>
      <c r="BG378">
        <f t="shared" si="292"/>
        <v>-221.69716690676754</v>
      </c>
      <c r="BH378">
        <f t="shared" si="307"/>
        <v>-41.697166906767535</v>
      </c>
      <c r="BI378">
        <f t="shared" si="308"/>
        <v>-41.697166906767535</v>
      </c>
      <c r="BJ378">
        <f t="shared" si="293"/>
        <v>0</v>
      </c>
      <c r="BK378">
        <f t="shared" si="309"/>
        <v>0</v>
      </c>
      <c r="BM378">
        <f t="shared" si="310"/>
        <v>-55.314039130875798</v>
      </c>
      <c r="BN378">
        <f t="shared" si="294"/>
        <v>-165.36611907567433</v>
      </c>
      <c r="BQ378" s="66">
        <f t="shared" si="311"/>
        <v>29.713528829193919</v>
      </c>
      <c r="BR378" s="71"/>
      <c r="BS378" s="71"/>
      <c r="BT378" s="71">
        <v>478630.092</v>
      </c>
      <c r="BU378" s="71">
        <v>13.0069</v>
      </c>
      <c r="BV378" s="71">
        <v>129.95699999999999</v>
      </c>
      <c r="BY378" s="71"/>
      <c r="BZ378" s="71"/>
      <c r="CA378" s="71"/>
      <c r="CC378" s="71"/>
    </row>
    <row r="379" spans="1:81" ht="13" x14ac:dyDescent="0.3">
      <c r="A379">
        <f t="shared" si="319"/>
        <v>825000</v>
      </c>
      <c r="B379">
        <f t="shared" si="295"/>
        <v>825</v>
      </c>
      <c r="C379">
        <f t="shared" si="264"/>
        <v>1.0330416229762465</v>
      </c>
      <c r="D379">
        <f t="shared" si="265"/>
        <v>0.25360113325812839</v>
      </c>
      <c r="F379">
        <f t="shared" si="266"/>
        <v>1.0938895041464033E-4</v>
      </c>
      <c r="G379">
        <f t="shared" si="267"/>
        <v>3.2608640986183405E-3</v>
      </c>
      <c r="H379">
        <f t="shared" si="268"/>
        <v>-3.1383317859013817</v>
      </c>
      <c r="J379">
        <f t="shared" si="269"/>
        <v>15</v>
      </c>
      <c r="M379">
        <f t="shared" si="270"/>
        <v>1.3313670307527146E-3</v>
      </c>
      <c r="N379">
        <f t="shared" si="271"/>
        <v>-1.5707963250000001</v>
      </c>
      <c r="O379">
        <f t="shared" si="272"/>
        <v>284.10603634771957</v>
      </c>
      <c r="P379">
        <f t="shared" si="273"/>
        <v>1.5672765069497654</v>
      </c>
      <c r="Q379">
        <f t="shared" si="274"/>
        <v>109.12565067714759</v>
      </c>
      <c r="R379">
        <f t="shared" si="275"/>
        <v>1.5616324501990868</v>
      </c>
      <c r="S379">
        <f t="shared" si="276"/>
        <v>0.96666276924372796</v>
      </c>
      <c r="T379">
        <f t="shared" si="277"/>
        <v>-0.25893676360627882</v>
      </c>
      <c r="U379">
        <f t="shared" si="278"/>
        <v>0.23600781607602689</v>
      </c>
      <c r="V379">
        <f t="shared" si="279"/>
        <v>-1.3325407757691674</v>
      </c>
      <c r="X379">
        <f t="shared" si="296"/>
        <v>-35.938219628911895</v>
      </c>
      <c r="Y379">
        <f t="shared" si="280"/>
        <v>-167.19455998745494</v>
      </c>
      <c r="Z379">
        <f t="shared" si="297"/>
        <v>12.805440012545063</v>
      </c>
      <c r="AC379">
        <v>1</v>
      </c>
      <c r="AD379">
        <f t="shared" si="281"/>
        <v>284.10427643598001</v>
      </c>
      <c r="AE379">
        <f t="shared" si="282"/>
        <v>-0.14726908460299912</v>
      </c>
      <c r="AF379">
        <f t="shared" si="283"/>
        <v>3.5767032320249997E-2</v>
      </c>
      <c r="AG379">
        <f t="shared" si="315"/>
        <v>436.02105156129943</v>
      </c>
      <c r="AH379">
        <f t="shared" si="316"/>
        <v>-1823.2550172788235</v>
      </c>
      <c r="AJ379">
        <f t="shared" si="284"/>
        <v>21000</v>
      </c>
      <c r="AK379">
        <f t="shared" si="285"/>
        <v>5562.5510699797505</v>
      </c>
      <c r="AL379">
        <v>1</v>
      </c>
      <c r="AM379">
        <f t="shared" si="286"/>
        <v>109.12106870678474</v>
      </c>
      <c r="AN379">
        <f t="shared" si="317"/>
        <v>52.735137786940008</v>
      </c>
      <c r="AO379">
        <f t="shared" si="318"/>
        <v>-191.96352373068939</v>
      </c>
      <c r="AQ379">
        <f t="shared" si="287"/>
        <v>3.6730932330236057E-3</v>
      </c>
      <c r="AR379">
        <f t="shared" si="288"/>
        <v>-6.0606038344889495</v>
      </c>
      <c r="AT379">
        <f t="shared" si="313"/>
        <v>-11048.424802997308</v>
      </c>
      <c r="AU379">
        <f t="shared" si="314"/>
        <v>-2649.2478426763582</v>
      </c>
      <c r="AV379">
        <f t="shared" si="302"/>
        <v>-2.9062508618773384</v>
      </c>
      <c r="AW379">
        <f t="shared" si="303"/>
        <v>-892.46819594117949</v>
      </c>
      <c r="AX379">
        <f t="shared" si="304"/>
        <v>-2455.4302472369445</v>
      </c>
      <c r="AY379">
        <f t="shared" si="312"/>
        <v>-1.9194178571110643</v>
      </c>
      <c r="BA379">
        <f t="shared" si="289"/>
        <v>4.3487887992151286</v>
      </c>
      <c r="BB379">
        <f t="shared" si="305"/>
        <v>12.767366329610702</v>
      </c>
      <c r="BC379">
        <f t="shared" si="306"/>
        <v>-0.98683300476627411</v>
      </c>
      <c r="BD379">
        <f t="shared" si="290"/>
        <v>-236.54136632192888</v>
      </c>
      <c r="BF379">
        <f t="shared" si="291"/>
        <v>-42.648982976728227</v>
      </c>
      <c r="BG379">
        <f t="shared" si="292"/>
        <v>-221.82425793927004</v>
      </c>
      <c r="BH379">
        <f t="shared" si="307"/>
        <v>-41.824257939270041</v>
      </c>
      <c r="BI379">
        <f t="shared" si="308"/>
        <v>-41.824257939270041</v>
      </c>
      <c r="BJ379">
        <f t="shared" si="293"/>
        <v>0</v>
      </c>
      <c r="BK379">
        <f t="shared" si="309"/>
        <v>0</v>
      </c>
      <c r="BM379">
        <f t="shared" si="310"/>
        <v>-55.416349306338937</v>
      </c>
      <c r="BN379">
        <f t="shared" si="294"/>
        <v>-165.28289161734114</v>
      </c>
      <c r="BQ379" s="66">
        <f t="shared" si="311"/>
        <v>29.669327129895841</v>
      </c>
      <c r="BR379" s="71"/>
      <c r="BS379" s="71"/>
      <c r="BT379" s="71">
        <v>489778.81900000002</v>
      </c>
      <c r="BU379" s="71">
        <v>12.7394</v>
      </c>
      <c r="BV379" s="71">
        <v>126.41800000000001</v>
      </c>
      <c r="BY379" s="71"/>
      <c r="BZ379" s="71"/>
      <c r="CA379" s="71"/>
      <c r="CC379" s="71"/>
    </row>
    <row r="380" spans="1:81" ht="13" x14ac:dyDescent="0.3">
      <c r="A380">
        <f t="shared" si="319"/>
        <v>830000</v>
      </c>
      <c r="B380">
        <f t="shared" si="295"/>
        <v>830</v>
      </c>
      <c r="C380">
        <f t="shared" si="264"/>
        <v>1.0334368411101478</v>
      </c>
      <c r="D380">
        <f t="shared" si="265"/>
        <v>0.25507249098129459</v>
      </c>
      <c r="F380">
        <f t="shared" si="266"/>
        <v>1.0807484456678213E-4</v>
      </c>
      <c r="G380">
        <f t="shared" si="267"/>
        <v>3.2412161797993532E-3</v>
      </c>
      <c r="H380">
        <f t="shared" si="268"/>
        <v>-3.1383514338202008</v>
      </c>
      <c r="J380">
        <f t="shared" si="269"/>
        <v>15</v>
      </c>
      <c r="M380">
        <f t="shared" si="270"/>
        <v>1.3233467474349271E-3</v>
      </c>
      <c r="N380">
        <f t="shared" si="271"/>
        <v>-1.5707963250000001</v>
      </c>
      <c r="O380">
        <f t="shared" si="272"/>
        <v>285.82786984551865</v>
      </c>
      <c r="P380">
        <f t="shared" si="273"/>
        <v>1.5672977105102215</v>
      </c>
      <c r="Q380">
        <f t="shared" si="274"/>
        <v>109.78696288640914</v>
      </c>
      <c r="R380">
        <f t="shared" si="275"/>
        <v>1.5616876512123172</v>
      </c>
      <c r="S380">
        <f t="shared" si="276"/>
        <v>0.96627773001564032</v>
      </c>
      <c r="T380">
        <f t="shared" si="277"/>
        <v>-0.26043626853525453</v>
      </c>
      <c r="U380">
        <f t="shared" si="278"/>
        <v>0.23466459764106343</v>
      </c>
      <c r="V380">
        <f t="shared" si="279"/>
        <v>-1.3339228101134757</v>
      </c>
      <c r="X380">
        <f t="shared" si="296"/>
        <v>-36.04043275826092</v>
      </c>
      <c r="Y380">
        <f t="shared" si="280"/>
        <v>-167.27210552192932</v>
      </c>
      <c r="Z380">
        <f t="shared" si="297"/>
        <v>12.727894478070681</v>
      </c>
      <c r="AC380">
        <v>1</v>
      </c>
      <c r="AD380">
        <f t="shared" si="281"/>
        <v>285.826120535592</v>
      </c>
      <c r="AE380">
        <f t="shared" si="282"/>
        <v>-0.14905957374913661</v>
      </c>
      <c r="AF380">
        <f t="shared" si="283"/>
        <v>3.5983802213099998E-2</v>
      </c>
      <c r="AG380">
        <f t="shared" si="315"/>
        <v>431.07202169978899</v>
      </c>
      <c r="AH380">
        <f t="shared" si="316"/>
        <v>-1813.4662763901229</v>
      </c>
      <c r="AJ380">
        <f t="shared" si="284"/>
        <v>21000</v>
      </c>
      <c r="AK380">
        <f t="shared" si="285"/>
        <v>5596.2635007069002</v>
      </c>
      <c r="AL380">
        <v>1</v>
      </c>
      <c r="AM380">
        <f t="shared" si="286"/>
        <v>109.7824085171289</v>
      </c>
      <c r="AN380">
        <f t="shared" si="317"/>
        <v>52.714008449093193</v>
      </c>
      <c r="AO380">
        <f t="shared" si="318"/>
        <v>-190.80730942683394</v>
      </c>
      <c r="AQ380">
        <f t="shared" si="287"/>
        <v>3.6289724092856694E-3</v>
      </c>
      <c r="AR380">
        <f t="shared" si="288"/>
        <v>-6.0240941994142112</v>
      </c>
      <c r="AT380">
        <f t="shared" si="313"/>
        <v>-10922.927327961865</v>
      </c>
      <c r="AU380">
        <f t="shared" si="314"/>
        <v>-2603.3994845336456</v>
      </c>
      <c r="AV380">
        <f t="shared" si="302"/>
        <v>-2.9076153436273642</v>
      </c>
      <c r="AW380">
        <f t="shared" si="303"/>
        <v>-880.99660258639483</v>
      </c>
      <c r="AX380">
        <f t="shared" si="304"/>
        <v>-2441.0846856347421</v>
      </c>
      <c r="AY380">
        <f t="shared" si="312"/>
        <v>-1.9171517335403954</v>
      </c>
      <c r="BA380">
        <f t="shared" si="289"/>
        <v>4.3267971562962844</v>
      </c>
      <c r="BB380">
        <f t="shared" si="305"/>
        <v>12.72333071208109</v>
      </c>
      <c r="BC380">
        <f t="shared" si="306"/>
        <v>-0.99046361008696882</v>
      </c>
      <c r="BD380">
        <f t="shared" si="290"/>
        <v>-236.74938468412012</v>
      </c>
      <c r="BF380">
        <f t="shared" si="291"/>
        <v>-42.794672920724878</v>
      </c>
      <c r="BG380">
        <f t="shared" si="292"/>
        <v>-221.94909945649937</v>
      </c>
      <c r="BH380">
        <f t="shared" si="307"/>
        <v>-41.949099456499368</v>
      </c>
      <c r="BI380">
        <f t="shared" si="308"/>
        <v>-41.949099456499368</v>
      </c>
      <c r="BJ380">
        <f t="shared" si="293"/>
        <v>0</v>
      </c>
      <c r="BK380">
        <f t="shared" si="309"/>
        <v>0</v>
      </c>
      <c r="BM380">
        <f t="shared" si="310"/>
        <v>-55.518003632805957</v>
      </c>
      <c r="BN380">
        <f t="shared" si="294"/>
        <v>-165.19971477237925</v>
      </c>
      <c r="BQ380" s="66">
        <f t="shared" si="311"/>
        <v>29.625291512366228</v>
      </c>
      <c r="BR380" s="71"/>
      <c r="BS380" s="71"/>
      <c r="BT380" s="71">
        <v>501187.234</v>
      </c>
      <c r="BU380" s="71">
        <v>12.4757</v>
      </c>
      <c r="BV380" s="71">
        <v>125.40900000000001</v>
      </c>
      <c r="BY380" s="71"/>
      <c r="BZ380" s="71"/>
      <c r="CA380" s="71"/>
      <c r="CC380" s="71"/>
    </row>
    <row r="381" spans="1:81" ht="13" x14ac:dyDescent="0.3">
      <c r="A381">
        <f t="shared" si="319"/>
        <v>835000</v>
      </c>
      <c r="B381">
        <f t="shared" si="295"/>
        <v>835</v>
      </c>
      <c r="C381">
        <f t="shared" si="264"/>
        <v>1.0338342948114239</v>
      </c>
      <c r="D381">
        <f t="shared" si="265"/>
        <v>0.2565427205694461</v>
      </c>
      <c r="F381">
        <f t="shared" si="266"/>
        <v>1.0678427788892113E-4</v>
      </c>
      <c r="G381">
        <f t="shared" si="267"/>
        <v>3.2218036394533211E-3</v>
      </c>
      <c r="H381">
        <f t="shared" si="268"/>
        <v>-3.1383708463605471</v>
      </c>
      <c r="J381">
        <f t="shared" si="269"/>
        <v>15</v>
      </c>
      <c r="M381">
        <f t="shared" si="270"/>
        <v>1.3154225154143587E-3</v>
      </c>
      <c r="N381">
        <f t="shared" si="271"/>
        <v>-1.5707963250000001</v>
      </c>
      <c r="O381">
        <f t="shared" si="272"/>
        <v>287.5497034702845</v>
      </c>
      <c r="P381">
        <f t="shared" si="273"/>
        <v>1.5673186601389113</v>
      </c>
      <c r="Q381">
        <f t="shared" si="274"/>
        <v>110.44827542620214</v>
      </c>
      <c r="R381">
        <f t="shared" si="275"/>
        <v>1.5617421911900895</v>
      </c>
      <c r="S381">
        <f t="shared" si="276"/>
        <v>0.96589082817787009</v>
      </c>
      <c r="T381">
        <f t="shared" si="277"/>
        <v>-0.26193457601426484</v>
      </c>
      <c r="U381">
        <f t="shared" si="278"/>
        <v>0.23333614416817094</v>
      </c>
      <c r="V381">
        <f t="shared" si="279"/>
        <v>-1.335289199447776</v>
      </c>
      <c r="X381">
        <f t="shared" si="296"/>
        <v>-36.142065953608451</v>
      </c>
      <c r="Y381">
        <f t="shared" si="280"/>
        <v>-167.34878962947198</v>
      </c>
      <c r="Z381">
        <f t="shared" si="297"/>
        <v>12.65121037052802</v>
      </c>
      <c r="AC381">
        <v>1</v>
      </c>
      <c r="AD381">
        <f t="shared" si="281"/>
        <v>287.54796463520398</v>
      </c>
      <c r="AE381">
        <f t="shared" si="282"/>
        <v>-0.15086088156080965</v>
      </c>
      <c r="AF381">
        <f t="shared" si="283"/>
        <v>3.6200572105950006E-2</v>
      </c>
      <c r="AG381">
        <f t="shared" si="315"/>
        <v>426.20517601949899</v>
      </c>
      <c r="AH381">
        <f t="shared" si="316"/>
        <v>-1803.7750450178435</v>
      </c>
      <c r="AJ381">
        <f t="shared" si="284"/>
        <v>21000</v>
      </c>
      <c r="AK381">
        <f t="shared" si="285"/>
        <v>5629.9759314340499</v>
      </c>
      <c r="AL381">
        <v>1</v>
      </c>
      <c r="AM381">
        <f t="shared" si="286"/>
        <v>110.44374832747305</v>
      </c>
      <c r="AN381">
        <f t="shared" si="317"/>
        <v>52.693257501123654</v>
      </c>
      <c r="AO381">
        <f t="shared" si="318"/>
        <v>-189.66493857478216</v>
      </c>
      <c r="AQ381">
        <f t="shared" si="287"/>
        <v>3.585641799404138E-3</v>
      </c>
      <c r="AR381">
        <f t="shared" si="288"/>
        <v>-5.9880218050049105</v>
      </c>
      <c r="AT381">
        <f t="shared" si="313"/>
        <v>-10799.516081796302</v>
      </c>
      <c r="AU381">
        <f t="shared" si="314"/>
        <v>-2558.5935786088544</v>
      </c>
      <c r="AV381">
        <f t="shared" si="302"/>
        <v>-2.9089643905750178</v>
      </c>
      <c r="AW381">
        <f t="shared" si="303"/>
        <v>-869.73357784859832</v>
      </c>
      <c r="AX381">
        <f t="shared" si="304"/>
        <v>-2426.9037366518737</v>
      </c>
      <c r="AY381">
        <f t="shared" si="312"/>
        <v>-1.9149096616390244</v>
      </c>
      <c r="BA381">
        <f t="shared" si="289"/>
        <v>4.3049989025503814</v>
      </c>
      <c r="BB381">
        <f t="shared" si="305"/>
        <v>12.679460901547831</v>
      </c>
      <c r="BC381">
        <f t="shared" si="306"/>
        <v>-0.99405472893599334</v>
      </c>
      <c r="BD381">
        <f t="shared" si="290"/>
        <v>-236.95514063813422</v>
      </c>
      <c r="BF381">
        <f t="shared" si="291"/>
        <v>-42.939548920573301</v>
      </c>
      <c r="BG381">
        <f t="shared" si="292"/>
        <v>-222.07172971673361</v>
      </c>
      <c r="BH381">
        <f t="shared" si="307"/>
        <v>-42.071729716733614</v>
      </c>
      <c r="BI381">
        <f t="shared" si="308"/>
        <v>-42.071729716733614</v>
      </c>
      <c r="BJ381">
        <f t="shared" si="293"/>
        <v>0</v>
      </c>
      <c r="BK381">
        <f t="shared" si="309"/>
        <v>0</v>
      </c>
      <c r="BM381">
        <f t="shared" si="310"/>
        <v>-55.619009822121129</v>
      </c>
      <c r="BN381">
        <f t="shared" si="294"/>
        <v>-165.11658907859939</v>
      </c>
      <c r="BQ381" s="66">
        <f t="shared" si="311"/>
        <v>29.581421701832969</v>
      </c>
      <c r="BR381" s="71"/>
      <c r="BS381" s="71"/>
      <c r="BT381" s="71">
        <v>512861.38400000002</v>
      </c>
      <c r="BU381" s="71">
        <v>12.1639</v>
      </c>
      <c r="BV381" s="71">
        <v>124.027</v>
      </c>
      <c r="BY381" s="71"/>
      <c r="BZ381" s="71"/>
      <c r="CA381" s="71"/>
      <c r="CC381" s="71"/>
    </row>
    <row r="382" spans="1:81" ht="13" x14ac:dyDescent="0.3">
      <c r="A382">
        <f t="shared" si="319"/>
        <v>840000</v>
      </c>
      <c r="B382">
        <f t="shared" si="295"/>
        <v>840</v>
      </c>
      <c r="C382">
        <f t="shared" si="264"/>
        <v>1.0342339815027042</v>
      </c>
      <c r="D382">
        <f t="shared" si="265"/>
        <v>0.25801181697085707</v>
      </c>
      <c r="F382">
        <f t="shared" si="266"/>
        <v>1.0551669150105979E-4</v>
      </c>
      <c r="G382">
        <f t="shared" si="267"/>
        <v>3.2026222726454206E-3</v>
      </c>
      <c r="H382">
        <f t="shared" si="268"/>
        <v>-3.1383900277273549</v>
      </c>
      <c r="J382">
        <f t="shared" si="269"/>
        <v>15</v>
      </c>
      <c r="M382">
        <f t="shared" si="270"/>
        <v>1.3075926194892732E-3</v>
      </c>
      <c r="N382">
        <f t="shared" si="271"/>
        <v>-1.5707963250000001</v>
      </c>
      <c r="O382">
        <f t="shared" si="272"/>
        <v>289.27153721974969</v>
      </c>
      <c r="P382">
        <f t="shared" si="273"/>
        <v>1.5673393603702581</v>
      </c>
      <c r="Q382">
        <f t="shared" si="274"/>
        <v>111.10958829062473</v>
      </c>
      <c r="R382">
        <f t="shared" si="275"/>
        <v>1.5617960819353218</v>
      </c>
      <c r="S382">
        <f t="shared" si="276"/>
        <v>0.96550207117514597</v>
      </c>
      <c r="T382">
        <f t="shared" si="277"/>
        <v>-0.26343168075800094</v>
      </c>
      <c r="U382">
        <f t="shared" si="278"/>
        <v>0.23202222106997006</v>
      </c>
      <c r="V382">
        <f t="shared" si="279"/>
        <v>-1.336640202918979</v>
      </c>
      <c r="X382">
        <f t="shared" si="296"/>
        <v>-36.243125608406196</v>
      </c>
      <c r="Y382">
        <f t="shared" si="280"/>
        <v>-167.42462644958809</v>
      </c>
      <c r="Z382">
        <f t="shared" si="297"/>
        <v>12.575373550411911</v>
      </c>
      <c r="AC382">
        <v>1</v>
      </c>
      <c r="AD382">
        <f t="shared" si="281"/>
        <v>289.26980873481602</v>
      </c>
      <c r="AE382">
        <f t="shared" si="282"/>
        <v>-0.15267300803801828</v>
      </c>
      <c r="AF382">
        <f t="shared" si="283"/>
        <v>3.64173419988E-2</v>
      </c>
      <c r="AG382">
        <f t="shared" si="315"/>
        <v>421.41874109929046</v>
      </c>
      <c r="AH382">
        <f t="shared" si="316"/>
        <v>-1794.1800049376625</v>
      </c>
      <c r="AJ382">
        <f t="shared" si="284"/>
        <v>21000</v>
      </c>
      <c r="AK382">
        <f t="shared" si="285"/>
        <v>5663.6883621612005</v>
      </c>
      <c r="AL382">
        <v>1</v>
      </c>
      <c r="AM382">
        <f t="shared" si="286"/>
        <v>111.10508813781721</v>
      </c>
      <c r="AN382">
        <f t="shared" si="317"/>
        <v>52.672875961835743</v>
      </c>
      <c r="AO382">
        <f t="shared" si="318"/>
        <v>-188.53616405087263</v>
      </c>
      <c r="AQ382">
        <f t="shared" si="287"/>
        <v>3.5430826448828497E-3</v>
      </c>
      <c r="AR382">
        <f t="shared" si="288"/>
        <v>-5.9523788434031877</v>
      </c>
      <c r="AT382">
        <f t="shared" si="313"/>
        <v>-10678.145981220152</v>
      </c>
      <c r="AU382">
        <f t="shared" si="314"/>
        <v>-2514.8009267703123</v>
      </c>
      <c r="AV382">
        <f t="shared" si="302"/>
        <v>-2.9102982581135755</v>
      </c>
      <c r="AW382">
        <f t="shared" si="303"/>
        <v>-858.67408514554199</v>
      </c>
      <c r="AX382">
        <f t="shared" si="304"/>
        <v>-2412.8846098686117</v>
      </c>
      <c r="AY382">
        <f t="shared" si="312"/>
        <v>-1.9126912522528805</v>
      </c>
      <c r="BA382">
        <f t="shared" si="289"/>
        <v>4.2833920817310718</v>
      </c>
      <c r="BB382">
        <f t="shared" si="305"/>
        <v>12.635756590143632</v>
      </c>
      <c r="BC382">
        <f t="shared" si="306"/>
        <v>-0.99760700586069495</v>
      </c>
      <c r="BD382">
        <f t="shared" si="290"/>
        <v>-237.15867111381391</v>
      </c>
      <c r="BF382">
        <f t="shared" si="291"/>
        <v>-43.083618858705378</v>
      </c>
      <c r="BG382">
        <f t="shared" si="292"/>
        <v>-222.19218618018306</v>
      </c>
      <c r="BH382">
        <f t="shared" si="307"/>
        <v>-42.192186180183057</v>
      </c>
      <c r="BI382">
        <f t="shared" si="308"/>
        <v>-42.192186180183057</v>
      </c>
      <c r="BJ382">
        <f t="shared" si="293"/>
        <v>0</v>
      </c>
      <c r="BK382">
        <f t="shared" si="309"/>
        <v>0</v>
      </c>
      <c r="BM382">
        <f t="shared" si="310"/>
        <v>-55.719375448849</v>
      </c>
      <c r="BN382">
        <f t="shared" si="294"/>
        <v>-165.03351506636915</v>
      </c>
      <c r="BQ382" s="66">
        <f t="shared" si="311"/>
        <v>29.537717390428767</v>
      </c>
      <c r="BR382" s="71"/>
      <c r="BS382" s="71"/>
      <c r="BT382" s="71">
        <v>524807.46</v>
      </c>
      <c r="BU382" s="71">
        <v>11.9579</v>
      </c>
      <c r="BV382" s="71">
        <v>122.795</v>
      </c>
      <c r="BY382" s="71"/>
      <c r="BZ382" s="71"/>
      <c r="CA382" s="71"/>
      <c r="CC382" s="71"/>
    </row>
    <row r="383" spans="1:81" ht="13" x14ac:dyDescent="0.3">
      <c r="A383">
        <f t="shared" si="319"/>
        <v>845000</v>
      </c>
      <c r="B383">
        <f t="shared" si="295"/>
        <v>845</v>
      </c>
      <c r="C383">
        <f t="shared" si="264"/>
        <v>1.034635898596133</v>
      </c>
      <c r="D383">
        <f t="shared" si="265"/>
        <v>0.25947977516115117</v>
      </c>
      <c r="F383">
        <f t="shared" si="266"/>
        <v>1.0427154301237637E-4</v>
      </c>
      <c r="G383">
        <f t="shared" si="267"/>
        <v>3.1836679740171753E-3</v>
      </c>
      <c r="H383">
        <f t="shared" si="268"/>
        <v>-3.1384089820259828</v>
      </c>
      <c r="J383">
        <f t="shared" si="269"/>
        <v>15</v>
      </c>
      <c r="M383">
        <f t="shared" si="270"/>
        <v>1.2998553850544253E-3</v>
      </c>
      <c r="N383">
        <f t="shared" si="271"/>
        <v>-1.5707963250000001</v>
      </c>
      <c r="O383">
        <f t="shared" si="272"/>
        <v>290.99337109170079</v>
      </c>
      <c r="P383">
        <f t="shared" si="273"/>
        <v>1.5673598156313631</v>
      </c>
      <c r="Q383">
        <f t="shared" si="274"/>
        <v>111.77090147391469</v>
      </c>
      <c r="R383">
        <f t="shared" si="275"/>
        <v>1.5618493349716109</v>
      </c>
      <c r="S383">
        <f t="shared" si="276"/>
        <v>0.96511146647138923</v>
      </c>
      <c r="T383">
        <f t="shared" si="277"/>
        <v>-0.26492757751120183</v>
      </c>
      <c r="U383">
        <f t="shared" si="278"/>
        <v>0.23072259852795138</v>
      </c>
      <c r="V383">
        <f t="shared" si="279"/>
        <v>-1.3379760740952822</v>
      </c>
      <c r="X383">
        <f t="shared" si="296"/>
        <v>-36.343618013651991</v>
      </c>
      <c r="Y383">
        <f t="shared" si="280"/>
        <v>-167.49962981874862</v>
      </c>
      <c r="Z383">
        <f t="shared" si="297"/>
        <v>12.500370181251384</v>
      </c>
      <c r="AC383">
        <v>1</v>
      </c>
      <c r="AD383">
        <f t="shared" si="281"/>
        <v>290.99165283442807</v>
      </c>
      <c r="AE383">
        <f t="shared" si="282"/>
        <v>-0.15449595318076248</v>
      </c>
      <c r="AF383">
        <f t="shared" si="283"/>
        <v>3.6634111891650001E-2</v>
      </c>
      <c r="AG383">
        <f t="shared" si="315"/>
        <v>416.71099007113122</v>
      </c>
      <c r="AH383">
        <f t="shared" si="316"/>
        <v>-1784.6798580871489</v>
      </c>
      <c r="AJ383">
        <f t="shared" si="284"/>
        <v>21000</v>
      </c>
      <c r="AK383">
        <f t="shared" si="285"/>
        <v>5697.4007928883502</v>
      </c>
      <c r="AL383">
        <v>1</v>
      </c>
      <c r="AM383">
        <f t="shared" si="286"/>
        <v>111.76642794816135</v>
      </c>
      <c r="AN383">
        <f t="shared" si="317"/>
        <v>52.652855114918388</v>
      </c>
      <c r="AO383">
        <f t="shared" si="318"/>
        <v>-187.42074457815474</v>
      </c>
      <c r="AQ383">
        <f t="shared" si="287"/>
        <v>3.5012767405634463E-3</v>
      </c>
      <c r="AR383">
        <f t="shared" si="288"/>
        <v>-5.9171576915522248</v>
      </c>
      <c r="AT383">
        <f t="shared" si="313"/>
        <v>-10558.773128741632</v>
      </c>
      <c r="AU383">
        <f t="shared" si="314"/>
        <v>-2471.9932981302095</v>
      </c>
      <c r="AV383">
        <f t="shared" si="302"/>
        <v>-2.9116171961464397</v>
      </c>
      <c r="AW383">
        <f t="shared" si="303"/>
        <v>-847.81323923496529</v>
      </c>
      <c r="AX383">
        <f t="shared" si="304"/>
        <v>-2399.0245772026901</v>
      </c>
      <c r="AY383">
        <f t="shared" si="312"/>
        <v>-1.910496124194478</v>
      </c>
      <c r="BA383">
        <f t="shared" si="289"/>
        <v>4.2619747452870209</v>
      </c>
      <c r="BB383">
        <f t="shared" si="305"/>
        <v>12.59221743869935</v>
      </c>
      <c r="BC383">
        <f t="shared" si="306"/>
        <v>-1.0011210719519616</v>
      </c>
      <c r="BD383">
        <f t="shared" si="290"/>
        <v>-237.36001227000358</v>
      </c>
      <c r="BF383">
        <f t="shared" si="291"/>
        <v>-43.226890514837478</v>
      </c>
      <c r="BG383">
        <f t="shared" si="292"/>
        <v>-222.31050552878736</v>
      </c>
      <c r="BH383">
        <f t="shared" si="307"/>
        <v>-42.31050552878736</v>
      </c>
      <c r="BI383">
        <f t="shared" si="308"/>
        <v>-42.31050552878736</v>
      </c>
      <c r="BJ383">
        <f t="shared" si="293"/>
        <v>0</v>
      </c>
      <c r="BK383">
        <f t="shared" si="309"/>
        <v>0</v>
      </c>
      <c r="BM383">
        <f t="shared" si="310"/>
        <v>-55.819107953536829</v>
      </c>
      <c r="BN383">
        <f t="shared" si="294"/>
        <v>-164.95049325878381</v>
      </c>
      <c r="BQ383" s="66">
        <f t="shared" si="311"/>
        <v>29.494178238984489</v>
      </c>
      <c r="BR383" s="71"/>
      <c r="BS383" s="71"/>
      <c r="BT383" s="71">
        <v>537031.79599999997</v>
      </c>
      <c r="BU383" s="71">
        <v>11.690200000000001</v>
      </c>
      <c r="BV383" s="71">
        <v>121.76300000000001</v>
      </c>
      <c r="BY383" s="71"/>
      <c r="BZ383" s="71"/>
      <c r="CA383" s="71"/>
      <c r="CC383" s="71"/>
    </row>
    <row r="384" spans="1:81" ht="13" x14ac:dyDescent="0.3">
      <c r="A384">
        <f t="shared" si="319"/>
        <v>850000</v>
      </c>
      <c r="B384">
        <f t="shared" si="295"/>
        <v>850</v>
      </c>
      <c r="C384">
        <f t="shared" si="264"/>
        <v>1.035040043493443</v>
      </c>
      <c r="D384">
        <f t="shared" si="265"/>
        <v>0.26094659014335631</v>
      </c>
      <c r="F384">
        <f t="shared" si="266"/>
        <v>1.0304830594083702E-4</v>
      </c>
      <c r="G384">
        <f t="shared" si="267"/>
        <v>3.1649367348559449E-3</v>
      </c>
      <c r="H384">
        <f t="shared" si="268"/>
        <v>-3.1384277132651444</v>
      </c>
      <c r="J384">
        <f t="shared" si="269"/>
        <v>15</v>
      </c>
      <c r="M384">
        <f t="shared" si="270"/>
        <v>1.2922091769070464E-3</v>
      </c>
      <c r="N384">
        <f t="shared" si="271"/>
        <v>-1.5707963250000001</v>
      </c>
      <c r="O384">
        <f t="shared" si="272"/>
        <v>292.71520508397617</v>
      </c>
      <c r="P384">
        <f t="shared" si="273"/>
        <v>1.5673800302451628</v>
      </c>
      <c r="Q384">
        <f t="shared" si="274"/>
        <v>112.43221497044541</v>
      </c>
      <c r="R384">
        <f t="shared" si="275"/>
        <v>1.5619019615514469</v>
      </c>
      <c r="S384">
        <f t="shared" si="276"/>
        <v>0.9647190215493564</v>
      </c>
      <c r="T384">
        <f t="shared" si="277"/>
        <v>-0.26642226104870859</v>
      </c>
      <c r="U384">
        <f t="shared" si="278"/>
        <v>0.22943705137702949</v>
      </c>
      <c r="V384">
        <f t="shared" si="279"/>
        <v>-1.3392970611122887</v>
      </c>
      <c r="X384">
        <f t="shared" si="296"/>
        <v>-36.44354936000996</v>
      </c>
      <c r="Y384">
        <f t="shared" si="280"/>
        <v>-167.57381327827829</v>
      </c>
      <c r="Z384">
        <f t="shared" si="297"/>
        <v>12.426186721721706</v>
      </c>
      <c r="AC384">
        <v>1</v>
      </c>
      <c r="AD384">
        <f t="shared" si="281"/>
        <v>292.71349693404005</v>
      </c>
      <c r="AE384">
        <f t="shared" si="282"/>
        <v>-0.15632971698904224</v>
      </c>
      <c r="AF384">
        <f t="shared" si="283"/>
        <v>3.6850881784500002E-2</v>
      </c>
      <c r="AG384">
        <f t="shared" si="315"/>
        <v>412.08024119613577</v>
      </c>
      <c r="AH384">
        <f t="shared" si="316"/>
        <v>-1775.2733263084333</v>
      </c>
      <c r="AJ384">
        <f t="shared" si="284"/>
        <v>21000</v>
      </c>
      <c r="AK384">
        <f t="shared" si="285"/>
        <v>5731.1132236154999</v>
      </c>
      <c r="AL384">
        <v>1</v>
      </c>
      <c r="AM384">
        <f t="shared" si="286"/>
        <v>112.42776775850551</v>
      </c>
      <c r="AN384">
        <f t="shared" si="317"/>
        <v>52.633186499625552</v>
      </c>
      <c r="AO384">
        <f t="shared" si="318"/>
        <v>-186.31844455450945</v>
      </c>
      <c r="AQ384">
        <f t="shared" si="287"/>
        <v>3.4602064151534897E-3</v>
      </c>
      <c r="AR384">
        <f t="shared" si="288"/>
        <v>-5.8823509057609327</v>
      </c>
      <c r="AT384">
        <f t="shared" si="313"/>
        <v>-10441.354776289492</v>
      </c>
      <c r="AU384">
        <f t="shared" si="314"/>
        <v>-2430.1433921986159</v>
      </c>
      <c r="AV384">
        <f t="shared" si="302"/>
        <v>-2.9129214492306486</v>
      </c>
      <c r="AW384">
        <f t="shared" si="303"/>
        <v>-837.14630078598975</v>
      </c>
      <c r="AX384">
        <f t="shared" si="304"/>
        <v>-2385.3209711810168</v>
      </c>
      <c r="AY384">
        <f t="shared" si="312"/>
        <v>-1.9083239040533548</v>
      </c>
      <c r="BA384">
        <f t="shared" si="289"/>
        <v>4.2407449532763906</v>
      </c>
      <c r="BB384">
        <f t="shared" si="305"/>
        <v>12.548843078454047</v>
      </c>
      <c r="BC384">
        <f t="shared" si="306"/>
        <v>-1.0045975451772937</v>
      </c>
      <c r="BD384">
        <f t="shared" si="290"/>
        <v>-237.55919951363296</v>
      </c>
      <c r="BF384">
        <f t="shared" si="291"/>
        <v>-43.369371567426604</v>
      </c>
      <c r="BG384">
        <f t="shared" si="292"/>
        <v>-222.426723685464</v>
      </c>
      <c r="BH384">
        <f t="shared" si="307"/>
        <v>-42.426723685463998</v>
      </c>
      <c r="BI384">
        <f t="shared" si="308"/>
        <v>-42.426723685463998</v>
      </c>
      <c r="BJ384">
        <f t="shared" si="293"/>
        <v>0</v>
      </c>
      <c r="BK384">
        <f t="shared" si="309"/>
        <v>0</v>
      </c>
      <c r="BM384">
        <f t="shared" si="310"/>
        <v>-55.918214645880646</v>
      </c>
      <c r="BN384">
        <f t="shared" si="294"/>
        <v>-164.86752417183104</v>
      </c>
      <c r="BQ384" s="66">
        <f t="shared" si="311"/>
        <v>29.450803878739183</v>
      </c>
      <c r="BR384" s="71"/>
      <c r="BS384" s="71"/>
      <c r="BT384" s="71">
        <v>549540.87399999995</v>
      </c>
      <c r="BU384" s="71">
        <v>11.575799999999999</v>
      </c>
      <c r="BV384" s="71">
        <v>121.762</v>
      </c>
      <c r="BY384" s="71"/>
      <c r="BZ384" s="71"/>
      <c r="CA384" s="71"/>
      <c r="CC384" s="71"/>
    </row>
    <row r="385" spans="1:81" ht="13" x14ac:dyDescent="0.3">
      <c r="A385">
        <f t="shared" si="319"/>
        <v>855000</v>
      </c>
      <c r="B385">
        <f t="shared" si="295"/>
        <v>855</v>
      </c>
      <c r="C385">
        <f t="shared" si="264"/>
        <v>1.0354464135860331</v>
      </c>
      <c r="D385">
        <f t="shared" si="265"/>
        <v>0.26241225694795745</v>
      </c>
      <c r="F385">
        <f t="shared" si="266"/>
        <v>1.0184646915650285E-4</v>
      </c>
      <c r="G385">
        <f t="shared" si="267"/>
        <v>3.1464246402673132E-3</v>
      </c>
      <c r="H385">
        <f t="shared" si="268"/>
        <v>-3.1384462253597327</v>
      </c>
      <c r="J385">
        <f t="shared" si="269"/>
        <v>15</v>
      </c>
      <c r="M385">
        <f t="shared" si="270"/>
        <v>1.2846523980947243E-3</v>
      </c>
      <c r="N385">
        <f t="shared" si="271"/>
        <v>-1.5707963250000001</v>
      </c>
      <c r="O385">
        <f t="shared" si="272"/>
        <v>294.43703919446511</v>
      </c>
      <c r="P385">
        <f t="shared" si="273"/>
        <v>1.5674000084334743</v>
      </c>
      <c r="Q385">
        <f t="shared" si="274"/>
        <v>113.0935287747219</v>
      </c>
      <c r="R385">
        <f t="shared" si="275"/>
        <v>1.5619539726641374</v>
      </c>
      <c r="S385">
        <f t="shared" si="276"/>
        <v>0.96432474391028644</v>
      </c>
      <c r="T385">
        <f t="shared" si="277"/>
        <v>-0.26791572617551762</v>
      </c>
      <c r="U385">
        <f t="shared" si="278"/>
        <v>0.22816535899325133</v>
      </c>
      <c r="V385">
        <f t="shared" si="279"/>
        <v>-1.3406034068146664</v>
      </c>
      <c r="X385">
        <f t="shared" si="296"/>
        <v>-36.542925739877418</v>
      </c>
      <c r="Y385">
        <f t="shared" si="280"/>
        <v>-167.64719008200586</v>
      </c>
      <c r="Z385">
        <f t="shared" si="297"/>
        <v>12.352809917994136</v>
      </c>
      <c r="AC385">
        <v>1</v>
      </c>
      <c r="AD385">
        <f t="shared" si="281"/>
        <v>294.43534103365204</v>
      </c>
      <c r="AE385">
        <f t="shared" si="282"/>
        <v>-0.15817429946285755</v>
      </c>
      <c r="AF385">
        <f t="shared" si="283"/>
        <v>3.7067651677349996E-2</v>
      </c>
      <c r="AG385">
        <f t="shared" si="315"/>
        <v>407.52485648978114</v>
      </c>
      <c r="AH385">
        <f t="shared" si="316"/>
        <v>-1765.9591510883779</v>
      </c>
      <c r="AJ385">
        <f t="shared" si="284"/>
        <v>21000</v>
      </c>
      <c r="AK385">
        <f t="shared" si="285"/>
        <v>5764.8256543426505</v>
      </c>
      <c r="AL385">
        <v>1</v>
      </c>
      <c r="AM385">
        <f t="shared" si="286"/>
        <v>113.08910756884966</v>
      </c>
      <c r="AN385">
        <f t="shared" si="317"/>
        <v>52.613861901837026</v>
      </c>
      <c r="AO385">
        <f t="shared" si="318"/>
        <v>-185.22903388679771</v>
      </c>
      <c r="AQ385">
        <f t="shared" si="287"/>
        <v>3.4198545125493271E-3</v>
      </c>
      <c r="AR385">
        <f t="shared" si="288"/>
        <v>-5.8479512164593492</v>
      </c>
      <c r="AT385">
        <f t="shared" si="313"/>
        <v>-10325.849290105356</v>
      </c>
      <c r="AU385">
        <f t="shared" si="314"/>
        <v>-2389.2248036186647</v>
      </c>
      <c r="AV385">
        <f t="shared" si="302"/>
        <v>-2.9142112567160114</v>
      </c>
      <c r="AW385">
        <f t="shared" si="303"/>
        <v>-826.66867117637639</v>
      </c>
      <c r="AX385">
        <f t="shared" si="304"/>
        <v>-2371.7711832687792</v>
      </c>
      <c r="AY385">
        <f t="shared" si="312"/>
        <v>-1.9061742260113432</v>
      </c>
      <c r="BA385">
        <f t="shared" si="289"/>
        <v>4.2197007752122069</v>
      </c>
      <c r="BB385">
        <f t="shared" si="305"/>
        <v>12.50563311268559</v>
      </c>
      <c r="BC385">
        <f t="shared" si="306"/>
        <v>-1.0080370307046682</v>
      </c>
      <c r="BD385">
        <f t="shared" si="290"/>
        <v>-237.75626751827303</v>
      </c>
      <c r="BF385">
        <f t="shared" si="291"/>
        <v>-43.511069595112787</v>
      </c>
      <c r="BG385">
        <f t="shared" si="292"/>
        <v>-222.5408758328231</v>
      </c>
      <c r="BH385">
        <f t="shared" si="307"/>
        <v>-42.540875832823104</v>
      </c>
      <c r="BI385">
        <f t="shared" si="308"/>
        <v>-42.540875832823104</v>
      </c>
      <c r="BJ385">
        <f t="shared" si="293"/>
        <v>0</v>
      </c>
      <c r="BK385">
        <f t="shared" si="309"/>
        <v>0</v>
      </c>
      <c r="BM385">
        <f t="shared" si="310"/>
        <v>-56.01670270779838</v>
      </c>
      <c r="BN385">
        <f t="shared" si="294"/>
        <v>-164.7846083145501</v>
      </c>
      <c r="BQ385" s="66">
        <f t="shared" si="311"/>
        <v>29.407593912970725</v>
      </c>
      <c r="BR385" s="71"/>
      <c r="BS385" s="71"/>
      <c r="BT385" s="71">
        <v>562341.32499999995</v>
      </c>
      <c r="BU385" s="71">
        <v>11.314</v>
      </c>
      <c r="BV385" s="71">
        <v>119.89400000000001</v>
      </c>
      <c r="BY385" s="71"/>
      <c r="BZ385" s="71"/>
      <c r="CA385" s="71"/>
      <c r="CC385" s="71"/>
    </row>
    <row r="386" spans="1:81" ht="13" x14ac:dyDescent="0.3">
      <c r="A386">
        <f t="shared" si="319"/>
        <v>860000</v>
      </c>
      <c r="B386">
        <f t="shared" si="295"/>
        <v>860</v>
      </c>
      <c r="C386">
        <f t="shared" si="264"/>
        <v>1.0358550062550442</v>
      </c>
      <c r="D386">
        <f t="shared" si="265"/>
        <v>0.26387677063294857</v>
      </c>
      <c r="F386">
        <f t="shared" si="266"/>
        <v>1.0066553634743277E-4</v>
      </c>
      <c r="G386">
        <f t="shared" si="267"/>
        <v>3.1281278664461827E-3</v>
      </c>
      <c r="H386">
        <f t="shared" si="268"/>
        <v>-3.1384645221335541</v>
      </c>
      <c r="J386">
        <f t="shared" si="269"/>
        <v>15</v>
      </c>
      <c r="M386">
        <f t="shared" si="270"/>
        <v>1.2771834888034761E-3</v>
      </c>
      <c r="N386">
        <f t="shared" si="271"/>
        <v>-1.5707963250000001</v>
      </c>
      <c r="O386">
        <f t="shared" si="272"/>
        <v>296.15887342110557</v>
      </c>
      <c r="P386">
        <f t="shared" si="273"/>
        <v>1.5674197543199346</v>
      </c>
      <c r="Q386">
        <f t="shared" si="274"/>
        <v>113.75484288137687</v>
      </c>
      <c r="R386">
        <f t="shared" si="275"/>
        <v>1.5620053790434589</v>
      </c>
      <c r="S386">
        <f t="shared" si="276"/>
        <v>0.96392864107354326</v>
      </c>
      <c r="T386">
        <f t="shared" si="277"/>
        <v>-0.26940796772683179</v>
      </c>
      <c r="U386">
        <f t="shared" si="278"/>
        <v>0.22690730518456481</v>
      </c>
      <c r="V386">
        <f t="shared" si="279"/>
        <v>-1.3418953488934979</v>
      </c>
      <c r="X386">
        <f t="shared" si="296"/>
        <v>-36.641753149400309</v>
      </c>
      <c r="Y386">
        <f t="shared" si="280"/>
        <v>-167.71977320368299</v>
      </c>
      <c r="Z386">
        <f t="shared" si="297"/>
        <v>12.28022679631701</v>
      </c>
      <c r="AC386">
        <v>1</v>
      </c>
      <c r="AD386">
        <f t="shared" si="281"/>
        <v>296.15718513326402</v>
      </c>
      <c r="AE386">
        <f t="shared" si="282"/>
        <v>-0.16002970060220845</v>
      </c>
      <c r="AF386">
        <f t="shared" si="283"/>
        <v>3.7284421570200003E-2</v>
      </c>
      <c r="AG386">
        <f t="shared" si="315"/>
        <v>403.04324039442503</v>
      </c>
      <c r="AH386">
        <f t="shared" si="316"/>
        <v>-1756.7360932967911</v>
      </c>
      <c r="AJ386">
        <f t="shared" si="284"/>
        <v>21000</v>
      </c>
      <c r="AK386">
        <f t="shared" si="285"/>
        <v>5798.5380850698002</v>
      </c>
      <c r="AL386">
        <v>1</v>
      </c>
      <c r="AM386">
        <f t="shared" si="286"/>
        <v>113.75044737919382</v>
      </c>
      <c r="AN386">
        <f t="shared" si="317"/>
        <v>52.594873345481801</v>
      </c>
      <c r="AO386">
        <f t="shared" si="318"/>
        <v>-184.15228783079078</v>
      </c>
      <c r="AQ386">
        <f t="shared" si="287"/>
        <v>3.3802043739168557E-3</v>
      </c>
      <c r="AR386">
        <f t="shared" si="288"/>
        <v>-5.8139515231369918</v>
      </c>
      <c r="AT386">
        <f t="shared" si="313"/>
        <v>-10212.216116848549</v>
      </c>
      <c r="AU386">
        <f t="shared" si="314"/>
        <v>-2349.2119884076155</v>
      </c>
      <c r="AV386">
        <f t="shared" si="302"/>
        <v>-2.9154868528800271</v>
      </c>
      <c r="AW386">
        <f t="shared" si="303"/>
        <v>-816.37588750497434</v>
      </c>
      <c r="AX386">
        <f t="shared" si="304"/>
        <v>-2358.3726622537019</v>
      </c>
      <c r="AY386">
        <f t="shared" si="312"/>
        <v>-1.9040467316625624</v>
      </c>
      <c r="BA386">
        <f t="shared" si="289"/>
        <v>4.198840290842714</v>
      </c>
      <c r="BB386">
        <f t="shared" si="305"/>
        <v>12.462587118265709</v>
      </c>
      <c r="BC386">
        <f t="shared" si="306"/>
        <v>-1.0114401212174646</v>
      </c>
      <c r="BD386">
        <f t="shared" si="290"/>
        <v>-237.95125024218007</v>
      </c>
      <c r="BF386">
        <f t="shared" si="291"/>
        <v>-43.651992078147558</v>
      </c>
      <c r="BG386">
        <f t="shared" si="292"/>
        <v>-222.65299643136504</v>
      </c>
      <c r="BH386">
        <f t="shared" si="307"/>
        <v>-42.65299643136504</v>
      </c>
      <c r="BI386">
        <f t="shared" si="308"/>
        <v>-42.65299643136504</v>
      </c>
      <c r="BJ386">
        <f t="shared" si="293"/>
        <v>0</v>
      </c>
      <c r="BK386">
        <f t="shared" si="309"/>
        <v>0</v>
      </c>
      <c r="BM386">
        <f t="shared" si="310"/>
        <v>-56.114579196413274</v>
      </c>
      <c r="BN386">
        <f t="shared" si="294"/>
        <v>-164.70174618918495</v>
      </c>
      <c r="BQ386" s="66">
        <f t="shared" si="311"/>
        <v>29.364547918550844</v>
      </c>
      <c r="BR386" s="71"/>
      <c r="BS386" s="71"/>
      <c r="BT386" s="71">
        <v>575439.93700000003</v>
      </c>
      <c r="BU386" s="71">
        <v>11.0791</v>
      </c>
      <c r="BV386" s="71">
        <v>119.196</v>
      </c>
      <c r="BY386" s="71"/>
      <c r="BZ386" s="71"/>
      <c r="CA386" s="71"/>
      <c r="CC386" s="71"/>
    </row>
    <row r="387" spans="1:81" ht="13" x14ac:dyDescent="0.3">
      <c r="A387">
        <f t="shared" si="319"/>
        <v>865000</v>
      </c>
      <c r="B387">
        <f t="shared" si="295"/>
        <v>865</v>
      </c>
      <c r="C387">
        <f t="shared" si="264"/>
        <v>1.0362658188714351</v>
      </c>
      <c r="D387">
        <f t="shared" si="265"/>
        <v>0.26534012628388204</v>
      </c>
      <c r="F387">
        <f t="shared" si="266"/>
        <v>9.9505025507139969E-5</v>
      </c>
      <c r="G387">
        <f t="shared" si="267"/>
        <v>3.1100426780425816E-3</v>
      </c>
      <c r="H387">
        <f t="shared" si="268"/>
        <v>-3.1384826073219578</v>
      </c>
      <c r="J387">
        <f t="shared" si="269"/>
        <v>15</v>
      </c>
      <c r="M387">
        <f t="shared" si="270"/>
        <v>1.269800925284381E-3</v>
      </c>
      <c r="N387">
        <f t="shared" si="271"/>
        <v>-1.5707963250000001</v>
      </c>
      <c r="O387">
        <f t="shared" si="272"/>
        <v>297.8807077618834</v>
      </c>
      <c r="P387">
        <f t="shared" si="273"/>
        <v>1.5674392719328385</v>
      </c>
      <c r="Q387">
        <f t="shared" si="274"/>
        <v>114.41615728516722</v>
      </c>
      <c r="R387">
        <f t="shared" si="275"/>
        <v>1.5620561911750397</v>
      </c>
      <c r="S387">
        <f t="shared" si="276"/>
        <v>0.96353072057626221</v>
      </c>
      <c r="T387">
        <f t="shared" si="277"/>
        <v>-0.27089898056811074</v>
      </c>
      <c r="U387">
        <f t="shared" si="278"/>
        <v>0.2256626780845602</v>
      </c>
      <c r="V387">
        <f t="shared" si="279"/>
        <v>-1.3431731200194752</v>
      </c>
      <c r="X387">
        <f t="shared" si="296"/>
        <v>-36.740037490438446</v>
      </c>
      <c r="Y387">
        <f t="shared" si="280"/>
        <v>-167.79157534418121</v>
      </c>
      <c r="Z387">
        <f t="shared" si="297"/>
        <v>12.208424655818789</v>
      </c>
      <c r="AC387">
        <v>1</v>
      </c>
      <c r="AD387">
        <f t="shared" si="281"/>
        <v>297.87902923287601</v>
      </c>
      <c r="AE387">
        <f t="shared" si="282"/>
        <v>-0.16189592040709494</v>
      </c>
      <c r="AF387">
        <f t="shared" si="283"/>
        <v>3.7501191463050004E-2</v>
      </c>
      <c r="AG387">
        <f t="shared" si="315"/>
        <v>398.63383849733879</v>
      </c>
      <c r="AH387">
        <f t="shared" si="316"/>
        <v>-1747.6029329231799</v>
      </c>
      <c r="AJ387">
        <f t="shared" si="284"/>
        <v>21000</v>
      </c>
      <c r="AK387">
        <f t="shared" si="285"/>
        <v>5832.2505157969499</v>
      </c>
      <c r="AL387">
        <v>1</v>
      </c>
      <c r="AM387">
        <f t="shared" si="286"/>
        <v>114.41178718953795</v>
      </c>
      <c r="AN387">
        <f t="shared" si="317"/>
        <v>52.576213084307575</v>
      </c>
      <c r="AO387">
        <f t="shared" si="318"/>
        <v>-183.08798683664972</v>
      </c>
      <c r="AQ387">
        <f t="shared" si="287"/>
        <v>3.3412398204952318E-3</v>
      </c>
      <c r="AR387">
        <f t="shared" si="288"/>
        <v>-5.7803448894567513</v>
      </c>
      <c r="AT387">
        <f t="shared" si="313"/>
        <v>-10100.415750867147</v>
      </c>
      <c r="AU387">
        <f t="shared" si="314"/>
        <v>-2310.0802316325176</v>
      </c>
      <c r="AV387">
        <f t="shared" si="302"/>
        <v>-2.9167484670587274</v>
      </c>
      <c r="AW387">
        <f t="shared" si="303"/>
        <v>-806.26361780925743</v>
      </c>
      <c r="AX387">
        <f t="shared" si="304"/>
        <v>-2345.1229126833514</v>
      </c>
      <c r="AY387">
        <f t="shared" si="312"/>
        <v>-1.9019410698380146</v>
      </c>
      <c r="BA387">
        <f t="shared" si="289"/>
        <v>4.178161590870495</v>
      </c>
      <c r="BB387">
        <f t="shared" si="305"/>
        <v>12.419704647142822</v>
      </c>
      <c r="BC387">
        <f t="shared" si="306"/>
        <v>-1.0148073972207128</v>
      </c>
      <c r="BD387">
        <f t="shared" si="290"/>
        <v>-238.14418094584232</v>
      </c>
      <c r="BF387">
        <f t="shared" si="291"/>
        <v>-43.792146399807883</v>
      </c>
      <c r="BG387">
        <f t="shared" si="292"/>
        <v>-222.76311923717475</v>
      </c>
      <c r="BH387">
        <f t="shared" si="307"/>
        <v>-42.763119237174749</v>
      </c>
      <c r="BI387">
        <f t="shared" si="308"/>
        <v>-42.763119237174749</v>
      </c>
      <c r="BJ387">
        <f t="shared" si="293"/>
        <v>0</v>
      </c>
      <c r="BK387">
        <f t="shared" si="309"/>
        <v>0</v>
      </c>
      <c r="BM387">
        <f t="shared" si="310"/>
        <v>-56.211851046950713</v>
      </c>
      <c r="BN387">
        <f t="shared" si="294"/>
        <v>-164.61893829133246</v>
      </c>
      <c r="BQ387" s="66">
        <f t="shared" si="311"/>
        <v>29.321665447427957</v>
      </c>
      <c r="BR387" s="71"/>
      <c r="BS387" s="71"/>
      <c r="BT387" s="71">
        <v>588843.65500000003</v>
      </c>
      <c r="BU387" s="71">
        <v>10.8666</v>
      </c>
      <c r="BV387" s="71">
        <v>116.889</v>
      </c>
      <c r="BY387" s="71"/>
      <c r="BZ387" s="71"/>
      <c r="CA387" s="71"/>
      <c r="CC387" s="71"/>
    </row>
    <row r="388" spans="1:81" ht="13" x14ac:dyDescent="0.3">
      <c r="A388">
        <f t="shared" si="319"/>
        <v>870000</v>
      </c>
      <c r="B388">
        <f t="shared" si="295"/>
        <v>870</v>
      </c>
      <c r="C388">
        <f t="shared" si="264"/>
        <v>1.0366788487960599</v>
      </c>
      <c r="D388">
        <f t="shared" si="265"/>
        <v>0.26680231901391793</v>
      </c>
      <c r="F388">
        <f t="shared" si="266"/>
        <v>9.8364468442613864E-5</v>
      </c>
      <c r="G388">
        <f t="shared" si="267"/>
        <v>3.0921654256183609E-3</v>
      </c>
      <c r="H388">
        <f t="shared" si="268"/>
        <v>-3.138500484574382</v>
      </c>
      <c r="J388">
        <f t="shared" si="269"/>
        <v>15</v>
      </c>
      <c r="M388">
        <f t="shared" si="270"/>
        <v>1.2625032188172294E-3</v>
      </c>
      <c r="N388">
        <f t="shared" si="271"/>
        <v>-1.5707963250000001</v>
      </c>
      <c r="O388">
        <f t="shared" si="272"/>
        <v>299.60254221483086</v>
      </c>
      <c r="P388">
        <f t="shared" si="273"/>
        <v>1.5674585652078779</v>
      </c>
      <c r="Q388">
        <f t="shared" si="274"/>
        <v>115.07747198097027</v>
      </c>
      <c r="R388">
        <f t="shared" si="275"/>
        <v>1.5621064193034899</v>
      </c>
      <c r="S388">
        <f t="shared" si="276"/>
        <v>0.96313098997299662</v>
      </c>
      <c r="T388">
        <f t="shared" si="277"/>
        <v>-0.27238875959511827</v>
      </c>
      <c r="U388">
        <f t="shared" si="278"/>
        <v>0.22443127004909616</v>
      </c>
      <c r="V388">
        <f t="shared" si="279"/>
        <v>-1.344436947972075</v>
      </c>
      <c r="X388">
        <f t="shared" si="296"/>
        <v>-36.837784572482157</v>
      </c>
      <c r="Y388">
        <f t="shared" si="280"/>
        <v>-167.8626089384733</v>
      </c>
      <c r="Z388">
        <f t="shared" si="297"/>
        <v>12.137391061526699</v>
      </c>
      <c r="AC388">
        <v>1</v>
      </c>
      <c r="AD388">
        <f t="shared" si="281"/>
        <v>299.60087333248805</v>
      </c>
      <c r="AE388">
        <f t="shared" si="282"/>
        <v>-0.16377295887751703</v>
      </c>
      <c r="AF388">
        <f t="shared" si="283"/>
        <v>3.7717961355899998E-2</v>
      </c>
      <c r="AG388">
        <f t="shared" si="315"/>
        <v>394.29513629253421</v>
      </c>
      <c r="AH388">
        <f t="shared" si="316"/>
        <v>-1738.55846881249</v>
      </c>
      <c r="AJ388">
        <f t="shared" si="284"/>
        <v>21000</v>
      </c>
      <c r="AK388">
        <f t="shared" si="285"/>
        <v>5865.9629465241005</v>
      </c>
      <c r="AL388">
        <v>1</v>
      </c>
      <c r="AM388">
        <f t="shared" si="286"/>
        <v>115.07312699988211</v>
      </c>
      <c r="AN388">
        <f t="shared" si="317"/>
        <v>52.557873593980169</v>
      </c>
      <c r="AO388">
        <f t="shared" si="318"/>
        <v>-182.03591639972976</v>
      </c>
      <c r="AQ388">
        <f t="shared" si="287"/>
        <v>3.3029451370903892E-3</v>
      </c>
      <c r="AR388">
        <f t="shared" si="288"/>
        <v>-5.7471245385372773</v>
      </c>
      <c r="AT388">
        <f t="shared" si="313"/>
        <v>-9990.4097025910614</v>
      </c>
      <c r="AU388">
        <f t="shared" si="314"/>
        <v>-2271.8056164528348</v>
      </c>
      <c r="AV388">
        <f t="shared" si="302"/>
        <v>-2.9179963237735871</v>
      </c>
      <c r="AW388">
        <f t="shared" si="303"/>
        <v>-796.3276564783622</v>
      </c>
      <c r="AX388">
        <f t="shared" si="304"/>
        <v>-2332.0194933534108</v>
      </c>
      <c r="AY388">
        <f t="shared" si="312"/>
        <v>-1.8998568964346743</v>
      </c>
      <c r="BA388">
        <f t="shared" si="289"/>
        <v>4.157662777614056</v>
      </c>
      <c r="BB388">
        <f t="shared" si="305"/>
        <v>12.37698522775622</v>
      </c>
      <c r="BC388">
        <f t="shared" si="306"/>
        <v>-1.0181394273389128</v>
      </c>
      <c r="BD388">
        <f t="shared" si="290"/>
        <v>-238.33509220904381</v>
      </c>
      <c r="BF388">
        <f t="shared" si="291"/>
        <v>-43.931539847795278</v>
      </c>
      <c r="BG388">
        <f t="shared" si="292"/>
        <v>-222.87127731912915</v>
      </c>
      <c r="BH388">
        <f t="shared" si="307"/>
        <v>-42.871277319129149</v>
      </c>
      <c r="BI388">
        <f t="shared" si="308"/>
        <v>-42.871277319129149</v>
      </c>
      <c r="BJ388">
        <f t="shared" si="293"/>
        <v>0</v>
      </c>
      <c r="BK388">
        <f t="shared" si="309"/>
        <v>0</v>
      </c>
      <c r="BM388">
        <f t="shared" si="310"/>
        <v>-56.308525075551508</v>
      </c>
      <c r="BN388">
        <f t="shared" si="294"/>
        <v>-164.53618511008537</v>
      </c>
      <c r="BQ388" s="66">
        <f t="shared" si="311"/>
        <v>29.278946028041357</v>
      </c>
      <c r="BR388" s="71"/>
      <c r="BS388" s="71"/>
      <c r="BT388" s="71">
        <v>602559.58600000001</v>
      </c>
      <c r="BU388" s="71">
        <v>10.6013</v>
      </c>
      <c r="BV388" s="71">
        <v>117.324</v>
      </c>
      <c r="BY388" s="71"/>
      <c r="BZ388" s="71"/>
      <c r="CA388" s="71"/>
      <c r="CC388" s="71"/>
    </row>
    <row r="389" spans="1:81" ht="13" x14ac:dyDescent="0.3">
      <c r="A389">
        <f t="shared" si="319"/>
        <v>875000</v>
      </c>
      <c r="B389">
        <f t="shared" si="295"/>
        <v>875</v>
      </c>
      <c r="C389">
        <f t="shared" si="264"/>
        <v>1.037094093379743</v>
      </c>
      <c r="D389">
        <f t="shared" si="265"/>
        <v>0.26826334396387069</v>
      </c>
      <c r="F389">
        <f t="shared" si="266"/>
        <v>9.7243410301969365E-5</v>
      </c>
      <c r="G389">
        <f t="shared" si="267"/>
        <v>3.0744925431911516E-3</v>
      </c>
      <c r="H389">
        <f t="shared" si="268"/>
        <v>-3.1385181574568088</v>
      </c>
      <c r="J389">
        <f t="shared" si="269"/>
        <v>15</v>
      </c>
      <c r="M389">
        <f t="shared" si="270"/>
        <v>1.2552889147097023E-3</v>
      </c>
      <c r="N389">
        <f t="shared" si="271"/>
        <v>-1.5707963250000001</v>
      </c>
      <c r="O389">
        <f t="shared" si="272"/>
        <v>301.32437677802506</v>
      </c>
      <c r="P389">
        <f t="shared" si="273"/>
        <v>1.567477637990788</v>
      </c>
      <c r="Q389">
        <f t="shared" si="274"/>
        <v>115.7387869637805</v>
      </c>
      <c r="R389">
        <f t="shared" si="275"/>
        <v>1.5621560734392865</v>
      </c>
      <c r="S389">
        <f t="shared" si="276"/>
        <v>0.96272945683536404</v>
      </c>
      <c r="T389">
        <f t="shared" si="277"/>
        <v>-0.27387729973396907</v>
      </c>
      <c r="U389">
        <f t="shared" si="278"/>
        <v>0.22321287755572702</v>
      </c>
      <c r="V389">
        <f t="shared" si="279"/>
        <v>-1.3456870557648568</v>
      </c>
      <c r="X389">
        <f t="shared" si="296"/>
        <v>-36.935000114521713</v>
      </c>
      <c r="Y389">
        <f t="shared" si="280"/>
        <v>-167.93288616240682</v>
      </c>
      <c r="Z389">
        <f t="shared" si="297"/>
        <v>12.067113837593183</v>
      </c>
      <c r="AC389">
        <v>1</v>
      </c>
      <c r="AD389">
        <f t="shared" si="281"/>
        <v>301.32271743210003</v>
      </c>
      <c r="AE389">
        <f t="shared" si="282"/>
        <v>-0.16566081601347465</v>
      </c>
      <c r="AF389">
        <f t="shared" si="283"/>
        <v>3.7934731248749999E-2</v>
      </c>
      <c r="AG389">
        <f t="shared" si="315"/>
        <v>390.02565798473677</v>
      </c>
      <c r="AH389">
        <f t="shared" si="316"/>
        <v>-1729.601518400262</v>
      </c>
      <c r="AJ389">
        <f t="shared" si="284"/>
        <v>21000</v>
      </c>
      <c r="AK389">
        <f t="shared" si="285"/>
        <v>5899.6753772512502</v>
      </c>
      <c r="AL389">
        <v>1</v>
      </c>
      <c r="AM389">
        <f t="shared" si="286"/>
        <v>115.73446681022625</v>
      </c>
      <c r="AN389">
        <f t="shared" si="317"/>
        <v>52.539847564498061</v>
      </c>
      <c r="AO389">
        <f t="shared" si="318"/>
        <v>-180.99586691649742</v>
      </c>
      <c r="AQ389">
        <f t="shared" si="287"/>
        <v>3.2653050562269203E-3</v>
      </c>
      <c r="AR389">
        <f t="shared" si="288"/>
        <v>-5.7142838483971108</v>
      </c>
      <c r="AT389">
        <f t="shared" si="313"/>
        <v>-9882.1604680046603</v>
      </c>
      <c r="AU389">
        <f t="shared" si="314"/>
        <v>-2234.3649944659269</v>
      </c>
      <c r="AV389">
        <f t="shared" si="302"/>
        <v>-2.9192306428546297</v>
      </c>
      <c r="AW389">
        <f t="shared" si="303"/>
        <v>-786.56391985255664</v>
      </c>
      <c r="AX389">
        <f t="shared" si="304"/>
        <v>-2319.0600158450147</v>
      </c>
      <c r="AY389">
        <f t="shared" si="312"/>
        <v>-1.8977938742489591</v>
      </c>
      <c r="BA389">
        <f t="shared" si="289"/>
        <v>4.1373419656152377</v>
      </c>
      <c r="BB389">
        <f t="shared" si="305"/>
        <v>12.334428366384698</v>
      </c>
      <c r="BC389">
        <f t="shared" si="306"/>
        <v>-1.0214367686056707</v>
      </c>
      <c r="BD389">
        <f t="shared" si="290"/>
        <v>-238.52401594745925</v>
      </c>
      <c r="BF389">
        <f t="shared" si="291"/>
        <v>-44.070179615619757</v>
      </c>
      <c r="BG389">
        <f t="shared" si="292"/>
        <v>-222.97750307562933</v>
      </c>
      <c r="BH389">
        <f t="shared" si="307"/>
        <v>-42.977503075629329</v>
      </c>
      <c r="BI389">
        <f t="shared" si="308"/>
        <v>-42.977503075629329</v>
      </c>
      <c r="BJ389">
        <f t="shared" si="293"/>
        <v>0</v>
      </c>
      <c r="BK389">
        <f t="shared" si="309"/>
        <v>0</v>
      </c>
      <c r="BM389">
        <f t="shared" si="310"/>
        <v>-56.40460798200445</v>
      </c>
      <c r="BN389">
        <f t="shared" si="294"/>
        <v>-164.45348712817011</v>
      </c>
      <c r="BQ389" s="66">
        <f t="shared" si="311"/>
        <v>29.236389166669831</v>
      </c>
      <c r="BR389" s="71"/>
      <c r="BS389" s="71"/>
      <c r="BT389" s="71">
        <v>616595.00199999998</v>
      </c>
      <c r="BU389" s="71">
        <v>10.4749</v>
      </c>
      <c r="BV389" s="71">
        <v>115.142</v>
      </c>
      <c r="BY389" s="71"/>
      <c r="BZ389" s="71"/>
      <c r="CA389" s="71"/>
      <c r="CC389" s="71"/>
    </row>
    <row r="390" spans="1:81" ht="13" x14ac:dyDescent="0.3">
      <c r="A390">
        <f t="shared" si="319"/>
        <v>880000</v>
      </c>
      <c r="B390">
        <f t="shared" si="295"/>
        <v>880</v>
      </c>
      <c r="C390">
        <f t="shared" si="264"/>
        <v>1.0375115499633571</v>
      </c>
      <c r="D390">
        <f t="shared" si="265"/>
        <v>0.26972319630225489</v>
      </c>
      <c r="F390">
        <f t="shared" si="266"/>
        <v>9.6141409120834134E-5</v>
      </c>
      <c r="G390">
        <f t="shared" si="267"/>
        <v>3.0570205458621148E-3</v>
      </c>
      <c r="H390">
        <f t="shared" si="268"/>
        <v>-3.1385356294541382</v>
      </c>
      <c r="J390">
        <f t="shared" si="269"/>
        <v>15</v>
      </c>
      <c r="M390">
        <f t="shared" si="270"/>
        <v>1.2481565913306698E-3</v>
      </c>
      <c r="N390">
        <f t="shared" si="271"/>
        <v>-1.5707963250000001</v>
      </c>
      <c r="O390">
        <f t="shared" si="272"/>
        <v>303.04621144958668</v>
      </c>
      <c r="P390">
        <f t="shared" si="273"/>
        <v>1.5674964940399021</v>
      </c>
      <c r="Q390">
        <f t="shared" si="274"/>
        <v>116.40010222870607</v>
      </c>
      <c r="R390">
        <f t="shared" si="275"/>
        <v>1.5622051633654241</v>
      </c>
      <c r="S390">
        <f t="shared" si="276"/>
        <v>0.96232612875169266</v>
      </c>
      <c r="T390">
        <f t="shared" si="277"/>
        <v>-0.27536459594117368</v>
      </c>
      <c r="U390">
        <f t="shared" si="278"/>
        <v>0.22200730110584857</v>
      </c>
      <c r="V390">
        <f t="shared" si="279"/>
        <v>-1.3469236617670111</v>
      </c>
      <c r="X390">
        <f t="shared" si="296"/>
        <v>-37.031689746870747</v>
      </c>
      <c r="Y390">
        <f t="shared" si="280"/>
        <v>-168.00241893927699</v>
      </c>
      <c r="Z390">
        <f t="shared" si="297"/>
        <v>11.997581060723007</v>
      </c>
      <c r="AC390">
        <v>1</v>
      </c>
      <c r="AD390">
        <f t="shared" si="281"/>
        <v>303.04456153171202</v>
      </c>
      <c r="AE390">
        <f t="shared" si="282"/>
        <v>-0.16755949181496788</v>
      </c>
      <c r="AF390">
        <f t="shared" si="283"/>
        <v>3.81515011416E-2</v>
      </c>
      <c r="AG390">
        <f t="shared" si="315"/>
        <v>385.82396533391989</v>
      </c>
      <c r="AH390">
        <f t="shared" si="316"/>
        <v>-1720.7309174475702</v>
      </c>
      <c r="AJ390">
        <f t="shared" si="284"/>
        <v>21000</v>
      </c>
      <c r="AK390">
        <f t="shared" si="285"/>
        <v>5933.3878079783999</v>
      </c>
      <c r="AL390">
        <v>1</v>
      </c>
      <c r="AM390">
        <f t="shared" si="286"/>
        <v>116.3958066205704</v>
      </c>
      <c r="AN390">
        <f t="shared" si="317"/>
        <v>52.522127892907747</v>
      </c>
      <c r="AO390">
        <f t="shared" si="318"/>
        <v>-179.96763354535733</v>
      </c>
      <c r="AQ390">
        <f t="shared" si="287"/>
        <v>3.2283047429284791E-3</v>
      </c>
      <c r="AR390">
        <f t="shared" si="288"/>
        <v>-5.6818163475541237</v>
      </c>
      <c r="AT390">
        <f t="shared" si="313"/>
        <v>-9775.6314991581876</v>
      </c>
      <c r="AU390">
        <f t="shared" si="314"/>
        <v>-2197.7359572945215</v>
      </c>
      <c r="AV390">
        <f t="shared" si="302"/>
        <v>-2.9204516395598623</v>
      </c>
      <c r="AW390">
        <f t="shared" si="303"/>
        <v>-776.96844200053067</v>
      </c>
      <c r="AX390">
        <f t="shared" si="304"/>
        <v>-2306.2421431092562</v>
      </c>
      <c r="AY390">
        <f t="shared" si="312"/>
        <v>-1.8957516728144761</v>
      </c>
      <c r="BA390">
        <f t="shared" si="289"/>
        <v>4.1171972821957077</v>
      </c>
      <c r="BB390">
        <f t="shared" si="305"/>
        <v>12.292033548432729</v>
      </c>
      <c r="BC390">
        <f t="shared" si="306"/>
        <v>-1.0246999667453862</v>
      </c>
      <c r="BD390">
        <f t="shared" si="290"/>
        <v>-238.7109834287935</v>
      </c>
      <c r="BF390">
        <f t="shared" si="291"/>
        <v>-44.208072803968221</v>
      </c>
      <c r="BG390">
        <f t="shared" si="292"/>
        <v>-223.08182825087408</v>
      </c>
      <c r="BH390">
        <f t="shared" si="307"/>
        <v>-43.081828250874082</v>
      </c>
      <c r="BI390">
        <f t="shared" si="308"/>
        <v>-43.081828250874082</v>
      </c>
      <c r="BJ390">
        <f t="shared" si="293"/>
        <v>0</v>
      </c>
      <c r="BK390">
        <f t="shared" si="309"/>
        <v>0</v>
      </c>
      <c r="BM390">
        <f t="shared" si="310"/>
        <v>-56.500106352400948</v>
      </c>
      <c r="BN390">
        <f t="shared" si="294"/>
        <v>-164.37084482208058</v>
      </c>
      <c r="BQ390" s="66">
        <f t="shared" si="311"/>
        <v>29.193994348717865</v>
      </c>
      <c r="BR390" s="71"/>
      <c r="BS390" s="71"/>
      <c r="BT390" s="71">
        <v>630957.34400000004</v>
      </c>
      <c r="BU390" s="71">
        <v>10.283799999999999</v>
      </c>
      <c r="BV390" s="71">
        <v>115.247</v>
      </c>
      <c r="BY390" s="71"/>
      <c r="BZ390" s="71"/>
      <c r="CA390" s="71"/>
      <c r="CC390" s="71"/>
    </row>
    <row r="391" spans="1:81" ht="13" x14ac:dyDescent="0.3">
      <c r="A391">
        <f t="shared" si="319"/>
        <v>885000</v>
      </c>
      <c r="B391">
        <f t="shared" si="295"/>
        <v>885</v>
      </c>
      <c r="C391">
        <f t="shared" si="264"/>
        <v>1.0379312158778986</v>
      </c>
      <c r="D391">
        <f t="shared" si="265"/>
        <v>0.27118187122532994</v>
      </c>
      <c r="F391">
        <f t="shared" si="266"/>
        <v>9.5058035386628601E-5</v>
      </c>
      <c r="G391">
        <f t="shared" si="267"/>
        <v>3.0397460275241443E-3</v>
      </c>
      <c r="H391">
        <f t="shared" si="268"/>
        <v>-3.1385529039724762</v>
      </c>
      <c r="J391">
        <f t="shared" si="269"/>
        <v>15</v>
      </c>
      <c r="M391">
        <f t="shared" si="270"/>
        <v>1.2411048591762593E-3</v>
      </c>
      <c r="N391">
        <f t="shared" si="271"/>
        <v>-1.5707963250000001</v>
      </c>
      <c r="O391">
        <f t="shared" si="272"/>
        <v>304.76804622767906</v>
      </c>
      <c r="P391">
        <f t="shared" si="273"/>
        <v>1.5675151370286213</v>
      </c>
      <c r="Q391">
        <f t="shared" si="274"/>
        <v>117.06141777096575</v>
      </c>
      <c r="R391">
        <f t="shared" si="275"/>
        <v>1.56225369864384</v>
      </c>
      <c r="S391">
        <f t="shared" si="276"/>
        <v>0.96192101332667046</v>
      </c>
      <c r="T391">
        <f t="shared" si="277"/>
        <v>-0.27685064320368141</v>
      </c>
      <c r="U391">
        <f t="shared" si="278"/>
        <v>0.22081434512948325</v>
      </c>
      <c r="V391">
        <f t="shared" si="279"/>
        <v>-1.3481469798212893</v>
      </c>
      <c r="X391">
        <f t="shared" si="296"/>
        <v>-37.127859012945308</v>
      </c>
      <c r="Y391">
        <f t="shared" si="280"/>
        <v>-168.07121894620488</v>
      </c>
      <c r="Z391">
        <f t="shared" si="297"/>
        <v>11.92878105379512</v>
      </c>
      <c r="AC391">
        <v>1</v>
      </c>
      <c r="AD391">
        <f t="shared" si="281"/>
        <v>304.76640563132401</v>
      </c>
      <c r="AE391">
        <f t="shared" si="282"/>
        <v>-0.16946898628199666</v>
      </c>
      <c r="AF391">
        <f t="shared" si="283"/>
        <v>3.8368271034450001E-2</v>
      </c>
      <c r="AG391">
        <f t="shared" si="315"/>
        <v>381.68865653888793</v>
      </c>
      <c r="AH391">
        <f t="shared" si="316"/>
        <v>-1711.9455197761195</v>
      </c>
      <c r="AJ391">
        <f t="shared" si="284"/>
        <v>21000</v>
      </c>
      <c r="AK391">
        <f t="shared" si="285"/>
        <v>5967.1002387055505</v>
      </c>
      <c r="AL391">
        <v>1</v>
      </c>
      <c r="AM391">
        <f t="shared" si="286"/>
        <v>117.05714643091456</v>
      </c>
      <c r="AN391">
        <f t="shared" si="317"/>
        <v>52.504707676306246</v>
      </c>
      <c r="AO391">
        <f t="shared" si="318"/>
        <v>-178.95101607219345</v>
      </c>
      <c r="AQ391">
        <f t="shared" si="287"/>
        <v>3.1919297800983818E-3</v>
      </c>
      <c r="AR391">
        <f t="shared" si="288"/>
        <v>-5.6497157107741351</v>
      </c>
      <c r="AT391">
        <f t="shared" si="313"/>
        <v>-9670.7871756790028</v>
      </c>
      <c r="AU391">
        <f t="shared" si="314"/>
        <v>-2161.8968093585072</v>
      </c>
      <c r="AV391">
        <f t="shared" si="302"/>
        <v>-2.9216595246911603</v>
      </c>
      <c r="AW391">
        <f t="shared" si="303"/>
        <v>-767.53737066633767</v>
      </c>
      <c r="AX391">
        <f t="shared" si="304"/>
        <v>-2293.5635880971045</v>
      </c>
      <c r="AY391">
        <f t="shared" si="312"/>
        <v>-1.8937299682439275</v>
      </c>
      <c r="BA391">
        <f t="shared" si="289"/>
        <v>4.097226867965575</v>
      </c>
      <c r="BB391">
        <f t="shared" si="305"/>
        <v>12.249800239657091</v>
      </c>
      <c r="BC391">
        <f t="shared" si="306"/>
        <v>-1.0279295564472328</v>
      </c>
      <c r="BD391">
        <f t="shared" si="290"/>
        <v>-238.89602528847968</v>
      </c>
      <c r="BF391">
        <f t="shared" si="291"/>
        <v>-44.345226422057237</v>
      </c>
      <c r="BG391">
        <f t="shared" si="292"/>
        <v>-223.18428395068602</v>
      </c>
      <c r="BH391">
        <f t="shared" si="307"/>
        <v>-43.184283950686023</v>
      </c>
      <c r="BI391">
        <f t="shared" si="308"/>
        <v>-43.184283950686023</v>
      </c>
      <c r="BJ391">
        <f t="shared" si="293"/>
        <v>0</v>
      </c>
      <c r="BK391">
        <f t="shared" si="309"/>
        <v>0</v>
      </c>
      <c r="BM391">
        <f t="shared" si="310"/>
        <v>-56.595026661714336</v>
      </c>
      <c r="BN391">
        <f t="shared" si="294"/>
        <v>-164.28825866220637</v>
      </c>
      <c r="BQ391" s="66">
        <f t="shared" si="311"/>
        <v>29.15176103994223</v>
      </c>
      <c r="BR391" s="71"/>
      <c r="BS391" s="71"/>
      <c r="BT391" s="71">
        <v>645654.22900000005</v>
      </c>
      <c r="BU391" s="71">
        <v>9.9821899999999992</v>
      </c>
      <c r="BV391" s="71">
        <v>113.164</v>
      </c>
      <c r="BY391" s="71"/>
      <c r="BZ391" s="71"/>
      <c r="CA391" s="71"/>
      <c r="CC391" s="71"/>
    </row>
    <row r="392" spans="1:81" ht="13" x14ac:dyDescent="0.3">
      <c r="A392">
        <f t="shared" si="319"/>
        <v>890000</v>
      </c>
      <c r="B392">
        <f t="shared" si="295"/>
        <v>890</v>
      </c>
      <c r="C392">
        <f t="shared" si="264"/>
        <v>1.0383530884445658</v>
      </c>
      <c r="D392">
        <f t="shared" si="265"/>
        <v>0.27263936395714211</v>
      </c>
      <c r="F392">
        <f t="shared" si="266"/>
        <v>9.3992871619936943E-5</v>
      </c>
      <c r="G392">
        <f t="shared" si="267"/>
        <v>3.0226656586473865E-3</v>
      </c>
      <c r="H392">
        <f t="shared" si="268"/>
        <v>-3.1385699843413528</v>
      </c>
      <c r="J392">
        <f t="shared" si="269"/>
        <v>15</v>
      </c>
      <c r="M392">
        <f t="shared" si="270"/>
        <v>1.234132359967404E-3</v>
      </c>
      <c r="N392">
        <f t="shared" si="271"/>
        <v>-1.5707963250000001</v>
      </c>
      <c r="O392">
        <f t="shared" si="272"/>
        <v>306.48988111050681</v>
      </c>
      <c r="P392">
        <f t="shared" si="273"/>
        <v>1.5675335705477997</v>
      </c>
      <c r="Q392">
        <f t="shared" si="274"/>
        <v>117.72273358588569</v>
      </c>
      <c r="R392">
        <f t="shared" si="275"/>
        <v>1.5623016886216223</v>
      </c>
      <c r="S392">
        <f t="shared" si="276"/>
        <v>0.96151411818099286</v>
      </c>
      <c r="T392">
        <f t="shared" si="277"/>
        <v>-0.27833543653892179</v>
      </c>
      <c r="U392">
        <f t="shared" si="278"/>
        <v>0.21963381789262815</v>
      </c>
      <c r="V392">
        <f t="shared" si="279"/>
        <v>-1.3493572193584329</v>
      </c>
      <c r="X392">
        <f t="shared" si="296"/>
        <v>-37.22351337099937</v>
      </c>
      <c r="Y392">
        <f t="shared" si="280"/>
        <v>-168.13929762032831</v>
      </c>
      <c r="Z392">
        <f t="shared" si="297"/>
        <v>11.860702379671693</v>
      </c>
      <c r="AC392">
        <v>1</v>
      </c>
      <c r="AD392">
        <f t="shared" si="281"/>
        <v>306.48824973093599</v>
      </c>
      <c r="AE392">
        <f t="shared" si="282"/>
        <v>-0.17138929941456102</v>
      </c>
      <c r="AF392">
        <f t="shared" si="283"/>
        <v>3.8585040927300002E-2</v>
      </c>
      <c r="AG392">
        <f t="shared" si="315"/>
        <v>377.61836515844476</v>
      </c>
      <c r="AH392">
        <f t="shared" si="316"/>
        <v>-1703.2441970037969</v>
      </c>
      <c r="AJ392">
        <f t="shared" si="284"/>
        <v>21000</v>
      </c>
      <c r="AK392">
        <f t="shared" si="285"/>
        <v>6000.8126694327002</v>
      </c>
      <c r="AL392">
        <v>1</v>
      </c>
      <c r="AM392">
        <f t="shared" si="286"/>
        <v>117.7184862412587</v>
      </c>
      <c r="AN392">
        <f t="shared" si="317"/>
        <v>52.487580205117958</v>
      </c>
      <c r="AO392">
        <f t="shared" si="318"/>
        <v>-177.94581878044119</v>
      </c>
      <c r="AQ392">
        <f t="shared" si="287"/>
        <v>3.1561661544735027E-3</v>
      </c>
      <c r="AR392">
        <f t="shared" si="288"/>
        <v>-5.6179757549628349</v>
      </c>
      <c r="AT392">
        <f t="shared" si="313"/>
        <v>-9567.5927772450523</v>
      </c>
      <c r="AU392">
        <f t="shared" si="314"/>
        <v>-2126.8265417762323</v>
      </c>
      <c r="AV392">
        <f t="shared" si="302"/>
        <v>-2.9228545047067214</v>
      </c>
      <c r="AW392">
        <f t="shared" si="303"/>
        <v>-758.26696337825672</v>
      </c>
      <c r="AX392">
        <f t="shared" si="304"/>
        <v>-2281.022112433016</v>
      </c>
      <c r="AY392">
        <f t="shared" si="312"/>
        <v>-1.8917284430750816</v>
      </c>
      <c r="BA392">
        <f t="shared" si="289"/>
        <v>4.0774288772870086</v>
      </c>
      <c r="BB392">
        <f t="shared" si="305"/>
        <v>12.207727887336739</v>
      </c>
      <c r="BC392">
        <f t="shared" si="306"/>
        <v>-1.0311260616316398</v>
      </c>
      <c r="BD392">
        <f t="shared" si="290"/>
        <v>-239.07917154494717</v>
      </c>
      <c r="BF392">
        <f t="shared" si="291"/>
        <v>-44.481647388969705</v>
      </c>
      <c r="BG392">
        <f t="shared" si="292"/>
        <v>-223.28490065790453</v>
      </c>
      <c r="BH392">
        <f t="shared" si="307"/>
        <v>-43.284900657904529</v>
      </c>
      <c r="BI392">
        <f t="shared" si="308"/>
        <v>-43.284900657904529</v>
      </c>
      <c r="BJ392">
        <f t="shared" si="293"/>
        <v>0</v>
      </c>
      <c r="BK392">
        <f t="shared" si="309"/>
        <v>0</v>
      </c>
      <c r="BM392">
        <f t="shared" si="310"/>
        <v>-56.689375276306436</v>
      </c>
      <c r="BN392">
        <f t="shared" si="294"/>
        <v>-164.20572911295736</v>
      </c>
      <c r="BQ392" s="66">
        <f t="shared" si="311"/>
        <v>29.109688687621876</v>
      </c>
      <c r="BR392" s="71"/>
      <c r="BS392" s="71"/>
      <c r="BT392" s="71">
        <v>660693.44799999997</v>
      </c>
      <c r="BU392" s="71">
        <v>9.7520900000000008</v>
      </c>
      <c r="BV392" s="71">
        <v>112.872</v>
      </c>
      <c r="BY392" s="71"/>
      <c r="BZ392" s="71"/>
      <c r="CA392" s="71"/>
      <c r="CC392" s="71"/>
    </row>
    <row r="393" spans="1:81" ht="13" x14ac:dyDescent="0.3">
      <c r="A393">
        <f t="shared" si="319"/>
        <v>895000</v>
      </c>
      <c r="B393">
        <f t="shared" si="295"/>
        <v>895</v>
      </c>
      <c r="C393">
        <f t="shared" ref="C393:C456" si="320">SQRT((A393/Fesr)^2+1)</f>
        <v>1.0387771649748334</v>
      </c>
      <c r="D393">
        <f t="shared" ref="D393:D456" si="321">ATAN(A393/Fesr)</f>
        <v>0.27409566974956645</v>
      </c>
      <c r="F393">
        <f t="shared" ref="F393:F456" si="322">(Ro/(Ro+Rdcr))/SQRT((A393/(Q*Fo))^2+(1-(A393^2/Fo^2))^2)</f>
        <v>9.2945511972207141E-5</v>
      </c>
      <c r="G393">
        <f t="shared" ref="G393:G456" si="323">-ATAN(A393*Fo/(Q*(Fo^2-A393^2)))</f>
        <v>3.005776184139026E-3</v>
      </c>
      <c r="H393">
        <f t="shared" ref="H393:H456" si="324">IF(G393&gt;0,G393-Pi,G393)</f>
        <v>-3.1385868738158611</v>
      </c>
      <c r="J393">
        <f t="shared" ref="J393:J456" si="325">Vin/Vramp</f>
        <v>15</v>
      </c>
      <c r="M393">
        <f t="shared" ref="M393:M456" si="326">1/(2*Pi*_Rfb1*(Cc1ea_u+Cc2ea_u)*A393)</f>
        <v>1.2272377657776418E-3</v>
      </c>
      <c r="N393">
        <f t="shared" ref="N393:N456" si="327">-Pi/2</f>
        <v>-1.5707963250000001</v>
      </c>
      <c r="O393">
        <f t="shared" ref="O393:O456" si="328">SQRT(1+(A393/Fz1_u)^2)</f>
        <v>308.21171609631455</v>
      </c>
      <c r="P393">
        <f t="shared" ref="P393:P456" si="329">ATAN2(Fz1_u,A393)</f>
        <v>1.5675517981080505</v>
      </c>
      <c r="Q393">
        <f t="shared" ref="Q393:Q456" si="330">SQRT(1+(A393/Fz2_u)^2)</f>
        <v>118.38404966889649</v>
      </c>
      <c r="R393">
        <f t="shared" ref="R393:R456" si="331">ATAN2(Fz2_u,A393)</f>
        <v>1.5623491424370108</v>
      </c>
      <c r="S393">
        <f t="shared" ref="S393:S456" si="332">1/SQRT(1+(A393/Fp1_u)^2)</f>
        <v>0.96110545095101174</v>
      </c>
      <c r="T393">
        <f t="shared" ref="T393:T456" si="333">-ATAN2(Fp1_u,A393)</f>
        <v>-0.27981897099484487</v>
      </c>
      <c r="U393">
        <f t="shared" ref="U393:U456" si="334">1/SQRT(1+(A393/Fp2_u)^2)</f>
        <v>0.21846553140709005</v>
      </c>
      <c r="V393">
        <f t="shared" ref="V393:V456" si="335">-ATAN2(Fp2_u,A393)</f>
        <v>-1.3505545855082233</v>
      </c>
      <c r="X393">
        <f t="shared" si="296"/>
        <v>-37.318658195818479</v>
      </c>
      <c r="Y393">
        <f t="shared" ref="Y393:Y456" si="336">(180/Pi)*(D393+H393+N393+P393+R393+T393+V393)</f>
        <v>-168.20666616481108</v>
      </c>
      <c r="Z393">
        <f t="shared" si="297"/>
        <v>11.793333835188918</v>
      </c>
      <c r="AC393">
        <v>1</v>
      </c>
      <c r="AD393">
        <f t="shared" ref="AD393:AD456" si="337">Rcea1_u*Cc1ea_u*A393*2*Pi</f>
        <v>308.21009383054803</v>
      </c>
      <c r="AE393">
        <f t="shared" ref="AE393:AE456" si="338">-Rcea1_u*Cc1ea_u*Cc2ea_u*(A393*2*Pi)^2</f>
        <v>-0.17332043121266097</v>
      </c>
      <c r="AF393">
        <f t="shared" ref="AF393:AF456" si="339">(Cc2ea_u+Cc1ea_u)*A393*2*Pi</f>
        <v>3.8801810820150003E-2</v>
      </c>
      <c r="AG393">
        <f t="shared" si="315"/>
        <v>373.61175906875377</v>
      </c>
      <c r="AH393">
        <f t="shared" si="316"/>
        <v>-1694.6258382809929</v>
      </c>
      <c r="AJ393">
        <f t="shared" ref="AJ393:AJ456" si="340">_Rfb1</f>
        <v>21000</v>
      </c>
      <c r="AK393">
        <f t="shared" ref="AK393:AK456" si="341">_Rfb1*Rcea2_u*Cc3ea_u*A393*2*Pi</f>
        <v>6034.5251001598499</v>
      </c>
      <c r="AL393">
        <v>1</v>
      </c>
      <c r="AM393">
        <f t="shared" ref="AM393:AM456" si="342">(_Rfb1+Rcea2_u)*Cc3ea_u*A393*2*Pi</f>
        <v>118.37982605160286</v>
      </c>
      <c r="AN393">
        <f t="shared" si="317"/>
        <v>52.470738956633717</v>
      </c>
      <c r="AO393">
        <f t="shared" si="318"/>
        <v>-176.95185032551191</v>
      </c>
      <c r="AQ393">
        <f t="shared" ref="AQ393:AQ456" si="343">Eadcg/(1+(Eadcg*A393/GBP)^2)</f>
        <v>3.1210002431259188E-3</v>
      </c>
      <c r="AR393">
        <f t="shared" ref="AR393:AR456" si="344">-(A393*Eadcg*Eadcg/GBP)/(1+(Eadcg*A393/GBP)^2)</f>
        <v>-5.5865904351953946</v>
      </c>
      <c r="AT393">
        <f t="shared" si="313"/>
        <v>-9466.0144569846834</v>
      </c>
      <c r="AU393">
        <f t="shared" si="314"/>
        <v>-2092.5048073433086</v>
      </c>
      <c r="AV393">
        <f t="shared" si="302"/>
        <v>-2.9240367818302078</v>
      </c>
      <c r="AW393">
        <f t="shared" si="303"/>
        <v>-749.15358371221589</v>
      </c>
      <c r="AX393">
        <f t="shared" si="304"/>
        <v>-2268.6155251306191</v>
      </c>
      <c r="AY393">
        <f t="shared" si="312"/>
        <v>-1.8897467861206974</v>
      </c>
      <c r="BA393">
        <f t="shared" ref="BA393:BA456" si="345">SQRT(AT393^2+AU393^2)/SQRT(AW393^2+AX393^2)</f>
        <v>4.0578014786955254</v>
      </c>
      <c r="BB393">
        <f t="shared" si="305"/>
        <v>12.165815921388411</v>
      </c>
      <c r="BC393">
        <f t="shared" si="306"/>
        <v>-1.0342899957095104</v>
      </c>
      <c r="BD393">
        <f t="shared" ref="BD393:BD456" si="346">BC393*180/Pi-180</f>
        <v>-239.26045161447391</v>
      </c>
      <c r="BF393">
        <f t="shared" ref="BF393:BF456" si="347">20*LOG(BA393*J393*F393*C393)</f>
        <v>-44.617342534975528</v>
      </c>
      <c r="BG393">
        <f t="shared" ref="BG393:BG456" si="348">(180/Pi)*(D393+H393+BC393)</f>
        <v>-223.38370824735819</v>
      </c>
      <c r="BH393">
        <f t="shared" si="307"/>
        <v>-43.383708247358186</v>
      </c>
      <c r="BI393">
        <f t="shared" si="308"/>
        <v>-43.383708247358186</v>
      </c>
      <c r="BJ393">
        <f t="shared" ref="BJ393:BJ456" si="349">SUM((BF394&lt;0)*(BF393&gt;0))*A393</f>
        <v>0</v>
      </c>
      <c r="BK393">
        <f t="shared" si="309"/>
        <v>0</v>
      </c>
      <c r="BM393">
        <f t="shared" si="310"/>
        <v>-56.783158456363935</v>
      </c>
      <c r="BN393">
        <f t="shared" ref="BN393:BN456" si="350">(H393+D393)*180/Pi</f>
        <v>-164.12325663288428</v>
      </c>
      <c r="BQ393" s="66">
        <f t="shared" si="311"/>
        <v>29.06777672167355</v>
      </c>
      <c r="BR393" s="71"/>
      <c r="BS393" s="71"/>
      <c r="BT393" s="71">
        <v>676082.97499999998</v>
      </c>
      <c r="BU393" s="71">
        <v>9.5117999999999991</v>
      </c>
      <c r="BV393" s="71">
        <v>110.592</v>
      </c>
      <c r="BY393" s="71"/>
      <c r="BZ393" s="71"/>
      <c r="CA393" s="71"/>
      <c r="CC393" s="71"/>
    </row>
    <row r="394" spans="1:81" ht="13" x14ac:dyDescent="0.3">
      <c r="A394">
        <f t="shared" si="319"/>
        <v>900000</v>
      </c>
      <c r="B394">
        <f t="shared" ref="B394:B457" si="351">A394/1000</f>
        <v>900</v>
      </c>
      <c r="C394">
        <f t="shared" si="320"/>
        <v>1.0392034427705317</v>
      </c>
      <c r="D394">
        <f t="shared" si="321"/>
        <v>0.27555078388234655</v>
      </c>
      <c r="F394">
        <f t="shared" si="322"/>
        <v>9.1915561839055846E-5</v>
      </c>
      <c r="G394">
        <f t="shared" si="323"/>
        <v>2.9890744212744663E-3</v>
      </c>
      <c r="H394">
        <f t="shared" si="324"/>
        <v>-3.1386035755787258</v>
      </c>
      <c r="J394">
        <f t="shared" si="325"/>
        <v>15</v>
      </c>
      <c r="M394">
        <f t="shared" si="326"/>
        <v>1.2204197781899883E-3</v>
      </c>
      <c r="N394">
        <f t="shared" si="327"/>
        <v>-1.5707963250000001</v>
      </c>
      <c r="O394">
        <f t="shared" si="328"/>
        <v>309.93355118338599</v>
      </c>
      <c r="P394">
        <f t="shared" si="329"/>
        <v>1.5675698231419741</v>
      </c>
      <c r="Q394">
        <f t="shared" si="330"/>
        <v>119.04536601553032</v>
      </c>
      <c r="R394">
        <f t="shared" si="331"/>
        <v>1.5623960690251979</v>
      </c>
      <c r="S394">
        <f t="shared" si="332"/>
        <v>0.9606950192883863</v>
      </c>
      <c r="T394">
        <f t="shared" si="333"/>
        <v>-0.28130124164995907</v>
      </c>
      <c r="U394">
        <f t="shared" si="334"/>
        <v>0.21730930134273557</v>
      </c>
      <c r="V394">
        <f t="shared" si="335"/>
        <v>-1.3517392792072622</v>
      </c>
      <c r="X394">
        <f t="shared" ref="X394:X457" si="352">20*LOG(C394*J394*O394*Q394*F394*M394*S394*U394)</f>
        <v>-37.413298780372337</v>
      </c>
      <c r="Y394">
        <f t="shared" si="336"/>
        <v>-168.27333555467703</v>
      </c>
      <c r="Z394">
        <f t="shared" ref="Z394:Z457" si="353">Y394+180</f>
        <v>11.726664445322967</v>
      </c>
      <c r="AC394">
        <v>1</v>
      </c>
      <c r="AD394">
        <f t="shared" si="337"/>
        <v>309.93193793016002</v>
      </c>
      <c r="AE394">
        <f t="shared" si="338"/>
        <v>-0.17526238167629649</v>
      </c>
      <c r="AF394">
        <f t="shared" si="339"/>
        <v>3.9018580712999996E-2</v>
      </c>
      <c r="AG394">
        <f t="shared" si="315"/>
        <v>369.66753945554638</v>
      </c>
      <c r="AH394">
        <f t="shared" si="316"/>
        <v>-1686.0893500279524</v>
      </c>
      <c r="AJ394">
        <f t="shared" si="340"/>
        <v>21000</v>
      </c>
      <c r="AK394">
        <f t="shared" si="341"/>
        <v>6068.2375308870005</v>
      </c>
      <c r="AL394">
        <v>1</v>
      </c>
      <c r="AM394">
        <f t="shared" si="342"/>
        <v>119.04116586194699</v>
      </c>
      <c r="AN394">
        <f t="shared" si="317"/>
        <v>52.454177588800334</v>
      </c>
      <c r="AO394">
        <f t="shared" si="318"/>
        <v>-175.96892361340144</v>
      </c>
      <c r="AQ394">
        <f t="shared" si="343"/>
        <v>3.0864188004880245E-3</v>
      </c>
      <c r="AR394">
        <f t="shared" si="344"/>
        <v>-5.5555538408784439</v>
      </c>
      <c r="AT394">
        <f t="shared" si="313"/>
        <v>-9366.019215768325</v>
      </c>
      <c r="AU394">
        <f t="shared" si="314"/>
        <v>-2058.9118965395733</v>
      </c>
      <c r="AV394">
        <f t="shared" ref="AV394:AV457" si="354">ATAN2(AT394,AU394)</f>
        <v>-2.9252065541566816</v>
      </c>
      <c r="AW394">
        <f t="shared" ref="AW394:AW457" si="355">AG394-AH394*AO394/_Rfb2+AG394*AN394/_Rfb2+AN394-AO394*AR394+AQ394*AN394</f>
        <v>-740.19369770280514</v>
      </c>
      <c r="AX394">
        <f t="shared" ref="AX394:AX457" si="356">AH394+AH394*AN394/_Rfb2+AG394*AO394/_Rfb2+AO394+AO394*AQ394+AN394*AR394</f>
        <v>-2256.3416813489148</v>
      </c>
      <c r="AY394">
        <f t="shared" si="312"/>
        <v>-1.8877846923223043</v>
      </c>
      <c r="BA394">
        <f t="shared" si="345"/>
        <v>4.0383428552815799</v>
      </c>
      <c r="BB394">
        <f t="shared" ref="BB394:BB457" si="357">20*LOG(BA394)</f>
        <v>12.124063755430722</v>
      </c>
      <c r="BC394">
        <f t="shared" ref="BC394:BC457" si="358">AV394-AY394</f>
        <v>-1.0374218618343773</v>
      </c>
      <c r="BD394">
        <f t="shared" si="346"/>
        <v>-239.43989432563382</v>
      </c>
      <c r="BF394">
        <f t="shared" si="347"/>
        <v>-44.752318602835899</v>
      </c>
      <c r="BG394">
        <f t="shared" si="348"/>
        <v>-223.48073600042835</v>
      </c>
      <c r="BH394">
        <f t="shared" ref="BH394:BH457" si="359">IF(BG394&gt;180,BG394-180,BG394+180)</f>
        <v>-43.480736000428351</v>
      </c>
      <c r="BI394">
        <f t="shared" ref="BI394:BI457" si="360">IF(BH394&gt;180,BH394-360,BH394)</f>
        <v>-43.480736000428351</v>
      </c>
      <c r="BJ394">
        <f t="shared" si="349"/>
        <v>0</v>
      </c>
      <c r="BK394">
        <f t="shared" ref="BK394:BK457" si="361">IF(BJ394&gt;0,BI394,0)</f>
        <v>0</v>
      </c>
      <c r="BM394">
        <f t="shared" ref="BM394:BM457" si="362">20*LOG(J394*F394*C394)</f>
        <v>-56.876382358266625</v>
      </c>
      <c r="BN394">
        <f t="shared" si="350"/>
        <v>-164.04084167479454</v>
      </c>
      <c r="BQ394" s="66">
        <f t="shared" ref="BQ394:BQ457" si="363">20*LOG(BA394*7)</f>
        <v>29.02602455571586</v>
      </c>
      <c r="BR394" s="71"/>
      <c r="BS394" s="71"/>
      <c r="BT394" s="71">
        <v>691830.97100000002</v>
      </c>
      <c r="BU394" s="71">
        <v>9.28308</v>
      </c>
      <c r="BV394" s="71">
        <v>111.01300000000001</v>
      </c>
      <c r="BY394" s="71"/>
      <c r="BZ394" s="71"/>
      <c r="CA394" s="71"/>
      <c r="CC394" s="71"/>
    </row>
    <row r="395" spans="1:81" ht="13" x14ac:dyDescent="0.3">
      <c r="A395">
        <f t="shared" si="319"/>
        <v>905000</v>
      </c>
      <c r="B395">
        <f t="shared" si="351"/>
        <v>905</v>
      </c>
      <c r="C395">
        <f t="shared" si="320"/>
        <v>1.0396319191239216</v>
      </c>
      <c r="D395">
        <f t="shared" si="321"/>
        <v>0.27700470166313301</v>
      </c>
      <c r="F395">
        <f t="shared" si="322"/>
        <v>9.0902637488490481E-5</v>
      </c>
      <c r="G395">
        <f t="shared" si="323"/>
        <v>2.9725572576971221E-3</v>
      </c>
      <c r="H395">
        <f t="shared" si="324"/>
        <v>-3.1386200927423031</v>
      </c>
      <c r="J395">
        <f t="shared" si="325"/>
        <v>15</v>
      </c>
      <c r="M395">
        <f t="shared" si="326"/>
        <v>1.2136771274817563E-3</v>
      </c>
      <c r="N395">
        <f t="shared" si="327"/>
        <v>-1.5707963250000001</v>
      </c>
      <c r="O395">
        <f t="shared" si="328"/>
        <v>311.65538637004278</v>
      </c>
      <c r="P395">
        <f t="shared" si="329"/>
        <v>1.5675876490063143</v>
      </c>
      <c r="Q395">
        <f t="shared" si="330"/>
        <v>119.70668262141801</v>
      </c>
      <c r="R395">
        <f t="shared" si="331"/>
        <v>1.5624424771239358</v>
      </c>
      <c r="S395">
        <f t="shared" si="332"/>
        <v>0.96028283085973154</v>
      </c>
      <c r="T395">
        <f t="shared" si="333"/>
        <v>-0.28278224361336796</v>
      </c>
      <c r="U395">
        <f t="shared" si="334"/>
        <v>0.21616494694208616</v>
      </c>
      <c r="V395">
        <f t="shared" si="335"/>
        <v>-1.3529114973035954</v>
      </c>
      <c r="X395">
        <f t="shared" si="352"/>
        <v>-37.507440337427809</v>
      </c>
      <c r="Y395">
        <f t="shared" si="336"/>
        <v>-168.33931654247377</v>
      </c>
      <c r="Z395">
        <f t="shared" si="353"/>
        <v>11.660683457526233</v>
      </c>
      <c r="AC395">
        <v>1</v>
      </c>
      <c r="AD395">
        <f t="shared" si="337"/>
        <v>311.65378202977206</v>
      </c>
      <c r="AE395">
        <f t="shared" si="338"/>
        <v>-0.17721515080546754</v>
      </c>
      <c r="AF395">
        <f t="shared" si="339"/>
        <v>3.9235350605850004E-2</v>
      </c>
      <c r="AG395">
        <f t="shared" si="315"/>
        <v>365.78443983989081</v>
      </c>
      <c r="AH395">
        <f t="shared" si="316"/>
        <v>-1677.6336556734007</v>
      </c>
      <c r="AJ395">
        <f t="shared" si="340"/>
        <v>21000</v>
      </c>
      <c r="AK395">
        <f t="shared" si="341"/>
        <v>6101.9499616141502</v>
      </c>
      <c r="AL395">
        <v>1</v>
      </c>
      <c r="AM395">
        <f t="shared" si="342"/>
        <v>119.70250567229115</v>
      </c>
      <c r="AN395">
        <f t="shared" si="317"/>
        <v>52.437889934249419</v>
      </c>
      <c r="AO395">
        <f t="shared" si="318"/>
        <v>-174.99685568332015</v>
      </c>
      <c r="AQ395">
        <f t="shared" si="343"/>
        <v>3.0524089458780421E-3</v>
      </c>
      <c r="AR395">
        <f t="shared" si="344"/>
        <v>-5.5248601920392568</v>
      </c>
      <c r="AT395">
        <f t="shared" si="313"/>
        <v>-9267.5748773588348</v>
      </c>
      <c r="AU395">
        <f t="shared" si="314"/>
        <v>-2026.0287145172747</v>
      </c>
      <c r="AV395">
        <f t="shared" si="354"/>
        <v>-2.9263640157554427</v>
      </c>
      <c r="AW395">
        <f t="shared" si="355"/>
        <v>-731.38387039525151</v>
      </c>
      <c r="AX395">
        <f t="shared" si="356"/>
        <v>-2244.1984811874859</v>
      </c>
      <c r="AY395">
        <f t="shared" ref="AY395:AY458" si="364">ATAN2(AW395,AX395)</f>
        <v>-1.8858418626077371</v>
      </c>
      <c r="BA395">
        <f t="shared" si="345"/>
        <v>4.0190512050348026</v>
      </c>
      <c r="BB395">
        <f t="shared" si="357"/>
        <v>12.082470787798879</v>
      </c>
      <c r="BC395">
        <f t="shared" si="358"/>
        <v>-1.0405221531477056</v>
      </c>
      <c r="BD395">
        <f t="shared" si="346"/>
        <v>-239.61752793335157</v>
      </c>
      <c r="BF395">
        <f t="shared" si="347"/>
        <v>-44.886582249091262</v>
      </c>
      <c r="BG395">
        <f t="shared" si="348"/>
        <v>-223.57601261921641</v>
      </c>
      <c r="BH395">
        <f t="shared" si="359"/>
        <v>-43.576012619216414</v>
      </c>
      <c r="BI395">
        <f t="shared" si="360"/>
        <v>-43.576012619216414</v>
      </c>
      <c r="BJ395">
        <f t="shared" si="349"/>
        <v>0</v>
      </c>
      <c r="BK395">
        <f t="shared" si="361"/>
        <v>0</v>
      </c>
      <c r="BM395">
        <f t="shared" si="362"/>
        <v>-56.969053036890138</v>
      </c>
      <c r="BN395">
        <f t="shared" si="350"/>
        <v>-163.95848468586485</v>
      </c>
      <c r="BQ395" s="66">
        <f t="shared" si="363"/>
        <v>28.984431588084018</v>
      </c>
      <c r="BR395" s="71"/>
      <c r="BS395" s="71"/>
      <c r="BT395" s="71">
        <v>707945.78399999999</v>
      </c>
      <c r="BU395" s="71">
        <v>9.1002899999999993</v>
      </c>
      <c r="BV395" s="71">
        <v>109.21</v>
      </c>
      <c r="BY395" s="71"/>
      <c r="BZ395" s="71"/>
      <c r="CA395" s="71"/>
      <c r="CC395" s="71"/>
    </row>
    <row r="396" spans="1:81" ht="13" x14ac:dyDescent="0.3">
      <c r="A396">
        <f t="shared" si="319"/>
        <v>910000</v>
      </c>
      <c r="B396">
        <f t="shared" si="351"/>
        <v>910</v>
      </c>
      <c r="C396">
        <f t="shared" si="320"/>
        <v>1.0400625913177728</v>
      </c>
      <c r="D396">
        <f t="shared" si="321"/>
        <v>0.27845741842752036</v>
      </c>
      <c r="F396">
        <f t="shared" si="322"/>
        <v>8.9906365703394409E-5</v>
      </c>
      <c r="G396">
        <f t="shared" si="323"/>
        <v>2.9562216494842045E-3</v>
      </c>
      <c r="H396">
        <f t="shared" si="324"/>
        <v>-3.1386364283505159</v>
      </c>
      <c r="J396">
        <f t="shared" si="325"/>
        <v>15</v>
      </c>
      <c r="M396">
        <f t="shared" si="326"/>
        <v>1.2070085718362523E-3</v>
      </c>
      <c r="N396">
        <f t="shared" si="327"/>
        <v>-1.5707963250000001</v>
      </c>
      <c r="O396">
        <f t="shared" si="328"/>
        <v>313.37722165464339</v>
      </c>
      <c r="P396">
        <f t="shared" si="329"/>
        <v>1.5676052789840411</v>
      </c>
      <c r="Q396">
        <f t="shared" si="330"/>
        <v>120.36799948228645</v>
      </c>
      <c r="R396">
        <f t="shared" si="331"/>
        <v>1.5624883752789607</v>
      </c>
      <c r="S396">
        <f t="shared" si="332"/>
        <v>0.95986889334627223</v>
      </c>
      <c r="T396">
        <f t="shared" si="333"/>
        <v>-0.28426197202480558</v>
      </c>
      <c r="U396">
        <f t="shared" si="334"/>
        <v>0.21503229093718865</v>
      </c>
      <c r="V396">
        <f t="shared" si="335"/>
        <v>-1.3540714326582792</v>
      </c>
      <c r="X396">
        <f t="shared" si="352"/>
        <v>-37.601088001123166</v>
      </c>
      <c r="Y396">
        <f t="shared" si="336"/>
        <v>-168.40461966377276</v>
      </c>
      <c r="Z396">
        <f t="shared" si="353"/>
        <v>11.595380336227237</v>
      </c>
      <c r="AC396">
        <v>1</v>
      </c>
      <c r="AD396">
        <f t="shared" si="337"/>
        <v>313.37562612938405</v>
      </c>
      <c r="AE396">
        <f t="shared" si="338"/>
        <v>-0.17917873860017422</v>
      </c>
      <c r="AF396">
        <f t="shared" si="339"/>
        <v>3.9452120498700005E-2</v>
      </c>
      <c r="AG396">
        <f t="shared" si="315"/>
        <v>361.96122513628211</v>
      </c>
      <c r="AH396">
        <f t="shared" si="316"/>
        <v>-1669.2576953946677</v>
      </c>
      <c r="AJ396">
        <f t="shared" si="340"/>
        <v>21000</v>
      </c>
      <c r="AK396">
        <f t="shared" si="341"/>
        <v>6135.6623923412999</v>
      </c>
      <c r="AL396">
        <v>1</v>
      </c>
      <c r="AM396">
        <f t="shared" si="342"/>
        <v>120.3638454826353</v>
      </c>
      <c r="AN396">
        <f t="shared" si="317"/>
        <v>52.421869994555649</v>
      </c>
      <c r="AO396">
        <f t="shared" si="318"/>
        <v>-174.03546759419143</v>
      </c>
      <c r="AQ396">
        <f t="shared" si="343"/>
        <v>3.0189581515039999E-3</v>
      </c>
      <c r="AR396">
        <f t="shared" si="344"/>
        <v>-5.4945038357372793</v>
      </c>
      <c r="AT396">
        <f t="shared" si="313"/>
        <v>-9170.6500643888194</v>
      </c>
      <c r="AU396">
        <f t="shared" si="314"/>
        <v>-1993.8367590259395</v>
      </c>
      <c r="AV396">
        <f t="shared" si="354"/>
        <v>-2.9275093567698729</v>
      </c>
      <c r="AW396">
        <f t="shared" si="355"/>
        <v>-722.72076253207354</v>
      </c>
      <c r="AX396">
        <f t="shared" si="356"/>
        <v>-2232.1838685193106</v>
      </c>
      <c r="AY396">
        <f t="shared" si="364"/>
        <v>-1.8839180037523291</v>
      </c>
      <c r="BA396">
        <f t="shared" si="345"/>
        <v>3.999924741153178</v>
      </c>
      <c r="BB396">
        <f t="shared" si="357"/>
        <v>12.041036402512407</v>
      </c>
      <c r="BC396">
        <f t="shared" si="358"/>
        <v>-1.0435913530175438</v>
      </c>
      <c r="BD396">
        <f t="shared" si="346"/>
        <v>-239.79338013257635</v>
      </c>
      <c r="BF396">
        <f t="shared" si="347"/>
        <v>-45.020140045332646</v>
      </c>
      <c r="BG396">
        <f t="shared" si="348"/>
        <v>-223.66956624032622</v>
      </c>
      <c r="BH396">
        <f t="shared" si="359"/>
        <v>-43.669566240326219</v>
      </c>
      <c r="BI396">
        <f t="shared" si="360"/>
        <v>-43.669566240326219</v>
      </c>
      <c r="BJ396">
        <f t="shared" si="349"/>
        <v>0</v>
      </c>
      <c r="BK396">
        <f t="shared" si="361"/>
        <v>0</v>
      </c>
      <c r="BM396">
        <f t="shared" si="362"/>
        <v>-57.06117644784505</v>
      </c>
      <c r="BN396">
        <f t="shared" si="350"/>
        <v>-163.87618610774987</v>
      </c>
      <c r="BQ396" s="66">
        <f t="shared" si="363"/>
        <v>28.942997202797546</v>
      </c>
      <c r="BR396" s="71"/>
      <c r="BS396" s="71"/>
      <c r="BT396" s="71">
        <v>724435.96</v>
      </c>
      <c r="BU396" s="71">
        <v>8.7908299999999997</v>
      </c>
      <c r="BV396" s="71">
        <v>107.553</v>
      </c>
      <c r="BY396" s="71"/>
      <c r="BZ396" s="71"/>
      <c r="CA396" s="71"/>
      <c r="CC396" s="71"/>
    </row>
    <row r="397" spans="1:81" ht="13" x14ac:dyDescent="0.3">
      <c r="A397">
        <f t="shared" si="319"/>
        <v>915000</v>
      </c>
      <c r="B397">
        <f t="shared" si="351"/>
        <v>915</v>
      </c>
      <c r="C397">
        <f t="shared" si="320"/>
        <v>1.0404954566254394</v>
      </c>
      <c r="D397">
        <f t="shared" si="321"/>
        <v>0.27990892953908286</v>
      </c>
      <c r="F397">
        <f t="shared" si="322"/>
        <v>8.8926383437652976E-5</v>
      </c>
      <c r="G397">
        <f t="shared" si="323"/>
        <v>2.9400646192759591E-3</v>
      </c>
      <c r="H397">
        <f t="shared" si="324"/>
        <v>-3.1386525853807243</v>
      </c>
      <c r="J397">
        <f t="shared" si="325"/>
        <v>15</v>
      </c>
      <c r="M397">
        <f t="shared" si="326"/>
        <v>1.2004128965803164E-3</v>
      </c>
      <c r="N397">
        <f t="shared" si="327"/>
        <v>-1.5707963250000001</v>
      </c>
      <c r="O397">
        <f t="shared" si="328"/>
        <v>315.09905703558212</v>
      </c>
      <c r="P397">
        <f t="shared" si="329"/>
        <v>1.567622716286367</v>
      </c>
      <c r="Q397">
        <f t="shared" si="330"/>
        <v>121.02931659395593</v>
      </c>
      <c r="R397">
        <f t="shared" si="331"/>
        <v>1.5625337718492387</v>
      </c>
      <c r="S397">
        <f t="shared" si="332"/>
        <v>0.95945321444349263</v>
      </c>
      <c r="T397">
        <f t="shared" si="333"/>
        <v>-0.28574042205466943</v>
      </c>
      <c r="U397">
        <f t="shared" si="334"/>
        <v>0.21391115946869665</v>
      </c>
      <c r="V397">
        <f t="shared" si="335"/>
        <v>-1.355219274243999</v>
      </c>
      <c r="X397">
        <f t="shared" si="352"/>
        <v>-37.694246828504895</v>
      </c>
      <c r="Y397">
        <f t="shared" si="336"/>
        <v>-168.46925524251105</v>
      </c>
      <c r="Z397">
        <f t="shared" si="353"/>
        <v>11.530744757488947</v>
      </c>
      <c r="AC397">
        <v>1</v>
      </c>
      <c r="AD397">
        <f t="shared" si="337"/>
        <v>315.09747022899603</v>
      </c>
      <c r="AE397">
        <f t="shared" si="338"/>
        <v>-0.18115314506041644</v>
      </c>
      <c r="AF397">
        <f t="shared" si="339"/>
        <v>3.9668890391549999E-2</v>
      </c>
      <c r="AG397">
        <f t="shared" si="315"/>
        <v>358.19669074187243</v>
      </c>
      <c r="AH397">
        <f t="shared" si="316"/>
        <v>-1660.9604258595207</v>
      </c>
      <c r="AJ397">
        <f t="shared" si="340"/>
        <v>21000</v>
      </c>
      <c r="AK397">
        <f t="shared" si="341"/>
        <v>6169.3748230684505</v>
      </c>
      <c r="AL397">
        <v>1</v>
      </c>
      <c r="AM397">
        <f t="shared" si="342"/>
        <v>121.02518529297946</v>
      </c>
      <c r="AN397">
        <f t="shared" si="317"/>
        <v>52.406111934713465</v>
      </c>
      <c r="AO397">
        <f t="shared" si="318"/>
        <v>-173.08458431486852</v>
      </c>
      <c r="AQ397">
        <f t="shared" si="343"/>
        <v>2.9860542309253094E-3</v>
      </c>
      <c r="AR397">
        <f t="shared" si="344"/>
        <v>-5.4644792425933169</v>
      </c>
      <c r="AT397">
        <f t="shared" si="313"/>
        <v>-9075.2141751344134</v>
      </c>
      <c r="AU397">
        <f t="shared" si="314"/>
        <v>-1962.318099231617</v>
      </c>
      <c r="AV397">
        <f t="shared" si="354"/>
        <v>-2.9286427635143841</v>
      </c>
      <c r="AW397">
        <f t="shared" si="355"/>
        <v>-714.20112736842327</v>
      </c>
      <c r="AX397">
        <f t="shared" si="356"/>
        <v>-2220.2958298597823</v>
      </c>
      <c r="AY397">
        <f t="shared" si="364"/>
        <v>-1.8820128282436677</v>
      </c>
      <c r="BA397">
        <f t="shared" si="345"/>
        <v>3.9809616923193634</v>
      </c>
      <c r="BB397">
        <f t="shared" si="357"/>
        <v>11.999759970198109</v>
      </c>
      <c r="BC397">
        <f t="shared" si="358"/>
        <v>-1.0466299352707165</v>
      </c>
      <c r="BD397">
        <f t="shared" si="346"/>
        <v>-239.96747807158542</v>
      </c>
      <c r="BF397">
        <f t="shared" si="347"/>
        <v>-45.152998479456521</v>
      </c>
      <c r="BG397">
        <f t="shared" si="348"/>
        <v>-223.76142444827289</v>
      </c>
      <c r="BH397">
        <f t="shared" si="359"/>
        <v>-43.761424448272891</v>
      </c>
      <c r="BI397">
        <f t="shared" si="360"/>
        <v>-43.761424448272891</v>
      </c>
      <c r="BJ397">
        <f t="shared" si="349"/>
        <v>0</v>
      </c>
      <c r="BK397">
        <f t="shared" si="361"/>
        <v>0</v>
      </c>
      <c r="BM397">
        <f t="shared" si="362"/>
        <v>-57.152758449654627</v>
      </c>
      <c r="BN397">
        <f t="shared" si="350"/>
        <v>-163.79394637668744</v>
      </c>
      <c r="BQ397" s="66">
        <f t="shared" si="363"/>
        <v>28.901720770483244</v>
      </c>
      <c r="BR397" s="71"/>
      <c r="BS397" s="71"/>
      <c r="BT397" s="71">
        <v>741310.24100000004</v>
      </c>
      <c r="BU397" s="71">
        <v>8.6150300000000009</v>
      </c>
      <c r="BV397" s="71">
        <v>107.324</v>
      </c>
      <c r="BY397" s="71"/>
      <c r="BZ397" s="71"/>
      <c r="CA397" s="71"/>
      <c r="CC397" s="71"/>
    </row>
    <row r="398" spans="1:81" ht="13" x14ac:dyDescent="0.3">
      <c r="A398">
        <f t="shared" si="319"/>
        <v>920000</v>
      </c>
      <c r="B398">
        <f t="shared" si="351"/>
        <v>920</v>
      </c>
      <c r="C398">
        <f t="shared" si="320"/>
        <v>1.040930512310938</v>
      </c>
      <c r="D398">
        <f t="shared" si="321"/>
        <v>0.28135923038940869</v>
      </c>
      <c r="F398">
        <f t="shared" si="322"/>
        <v>8.7962337485329066E-5</v>
      </c>
      <c r="G398">
        <f t="shared" si="323"/>
        <v>2.9240832544659388E-3</v>
      </c>
      <c r="H398">
        <f t="shared" si="324"/>
        <v>-3.1386685667455341</v>
      </c>
      <c r="J398">
        <f t="shared" si="325"/>
        <v>15</v>
      </c>
      <c r="M398">
        <f t="shared" si="326"/>
        <v>1.1938889134467277E-3</v>
      </c>
      <c r="N398">
        <f t="shared" si="327"/>
        <v>-1.5707963250000001</v>
      </c>
      <c r="O398">
        <f t="shared" si="328"/>
        <v>316.82089251128832</v>
      </c>
      <c r="P398">
        <f t="shared" si="329"/>
        <v>1.5676399640546965</v>
      </c>
      <c r="Q398">
        <f t="shared" si="330"/>
        <v>121.69063395233755</v>
      </c>
      <c r="R398">
        <f t="shared" si="331"/>
        <v>1.5625786750120392</v>
      </c>
      <c r="S398">
        <f t="shared" si="332"/>
        <v>0.95903580186079074</v>
      </c>
      <c r="T398">
        <f t="shared" si="333"/>
        <v>-0.28721758890405275</v>
      </c>
      <c r="U398">
        <f t="shared" si="334"/>
        <v>0.21280138200709695</v>
      </c>
      <c r="V398">
        <f t="shared" si="335"/>
        <v>-1.3563552072408276</v>
      </c>
      <c r="X398">
        <f t="shared" si="352"/>
        <v>-37.786921801027923</v>
      </c>
      <c r="Y398">
        <f t="shared" si="336"/>
        <v>-168.53323339617842</v>
      </c>
      <c r="Z398">
        <f t="shared" si="353"/>
        <v>11.466766603821583</v>
      </c>
      <c r="AC398">
        <v>1</v>
      </c>
      <c r="AD398">
        <f t="shared" si="337"/>
        <v>316.81931432860802</v>
      </c>
      <c r="AE398">
        <f t="shared" si="338"/>
        <v>-0.18313837018619428</v>
      </c>
      <c r="AF398">
        <f t="shared" si="339"/>
        <v>3.98856602844E-2</v>
      </c>
      <c r="AG398">
        <f t="shared" si="315"/>
        <v>354.48966165569328</v>
      </c>
      <c r="AH398">
        <f t="shared" si="316"/>
        <v>-1652.7408199698743</v>
      </c>
      <c r="AJ398">
        <f t="shared" si="340"/>
        <v>21000</v>
      </c>
      <c r="AK398">
        <f t="shared" si="341"/>
        <v>6203.0872537956002</v>
      </c>
      <c r="AL398">
        <v>1</v>
      </c>
      <c r="AM398">
        <f t="shared" si="342"/>
        <v>121.6865251033236</v>
      </c>
      <c r="AN398">
        <f t="shared" si="317"/>
        <v>52.390610077823688</v>
      </c>
      <c r="AO398">
        <f t="shared" si="318"/>
        <v>-172.14403461793023</v>
      </c>
      <c r="AQ398">
        <f t="shared" si="343"/>
        <v>2.9536853279521127E-3</v>
      </c>
      <c r="AR398">
        <f t="shared" si="344"/>
        <v>-5.4347810034318869</v>
      </c>
      <c r="AT398">
        <f t="shared" si="313"/>
        <v>-8981.2373610561699</v>
      </c>
      <c r="AU398">
        <f t="shared" si="314"/>
        <v>-1931.4553553902113</v>
      </c>
      <c r="AV398">
        <f t="shared" si="354"/>
        <v>-2.9297644185685634</v>
      </c>
      <c r="AW398">
        <f t="shared" si="355"/>
        <v>-705.82180761044697</v>
      </c>
      <c r="AX398">
        <f t="shared" si="356"/>
        <v>-2208.5323932706469</v>
      </c>
      <c r="AY398">
        <f t="shared" si="364"/>
        <v>-1.8801260541498181</v>
      </c>
      <c r="BA398">
        <f t="shared" si="345"/>
        <v>3.9621603029460815</v>
      </c>
      <c r="BB398">
        <f t="shared" si="357"/>
        <v>11.958640848970122</v>
      </c>
      <c r="BC398">
        <f t="shared" si="358"/>
        <v>-1.0496383644187453</v>
      </c>
      <c r="BD398">
        <f t="shared" si="346"/>
        <v>-240.13984836492858</v>
      </c>
      <c r="BF398">
        <f t="shared" si="347"/>
        <v>-45.285163956903006</v>
      </c>
      <c r="BG398">
        <f t="shared" si="348"/>
        <v>-223.85161428852868</v>
      </c>
      <c r="BH398">
        <f t="shared" si="359"/>
        <v>-43.85161428852868</v>
      </c>
      <c r="BI398">
        <f t="shared" si="360"/>
        <v>-43.85161428852868</v>
      </c>
      <c r="BJ398">
        <f t="shared" si="349"/>
        <v>0</v>
      </c>
      <c r="BK398">
        <f t="shared" si="361"/>
        <v>0</v>
      </c>
      <c r="BM398">
        <f t="shared" si="362"/>
        <v>-57.243804805873133</v>
      </c>
      <c r="BN398">
        <f t="shared" si="350"/>
        <v>-163.71176592360013</v>
      </c>
      <c r="BQ398" s="66">
        <f t="shared" si="363"/>
        <v>28.860601649255258</v>
      </c>
      <c r="BR398" s="71"/>
      <c r="BS398" s="71"/>
      <c r="BT398" s="71">
        <v>758577.57499999995</v>
      </c>
      <c r="BU398" s="71">
        <v>8.3056699999999992</v>
      </c>
      <c r="BV398" s="71">
        <v>105.50700000000001</v>
      </c>
      <c r="BY398" s="71"/>
      <c r="BZ398" s="71"/>
      <c r="CA398" s="71"/>
      <c r="CC398" s="71"/>
    </row>
    <row r="399" spans="1:81" ht="13" x14ac:dyDescent="0.3">
      <c r="A399">
        <f t="shared" si="319"/>
        <v>925000</v>
      </c>
      <c r="B399">
        <f t="shared" si="351"/>
        <v>925</v>
      </c>
      <c r="C399">
        <f t="shared" si="320"/>
        <v>1.0413677556290244</v>
      </c>
      <c r="D399">
        <f t="shared" si="321"/>
        <v>0.28280831639813242</v>
      </c>
      <c r="F399">
        <f t="shared" si="322"/>
        <v>8.7013884162325238E-5</v>
      </c>
      <c r="G399">
        <f t="shared" si="323"/>
        <v>2.9082747054500133E-3</v>
      </c>
      <c r="H399">
        <f t="shared" si="324"/>
        <v>-3.1386843752945501</v>
      </c>
      <c r="J399">
        <f t="shared" si="325"/>
        <v>15</v>
      </c>
      <c r="M399">
        <f t="shared" si="326"/>
        <v>1.1874354598605291E-3</v>
      </c>
      <c r="N399">
        <f t="shared" si="327"/>
        <v>-1.5707963250000001</v>
      </c>
      <c r="O399">
        <f t="shared" si="328"/>
        <v>318.54272808022529</v>
      </c>
      <c r="P399">
        <f t="shared" si="329"/>
        <v>1.5676570253625135</v>
      </c>
      <c r="Q399">
        <f t="shared" si="330"/>
        <v>122.35195155343088</v>
      </c>
      <c r="R399">
        <f t="shared" si="331"/>
        <v>1.5626230927678464</v>
      </c>
      <c r="S399">
        <f t="shared" si="332"/>
        <v>0.95861666332113127</v>
      </c>
      <c r="T399">
        <f t="shared" si="333"/>
        <v>-0.28869346780477445</v>
      </c>
      <c r="U399">
        <f t="shared" si="334"/>
        <v>0.21170279127601957</v>
      </c>
      <c r="V399">
        <f t="shared" si="335"/>
        <v>-1.3574794131292258</v>
      </c>
      <c r="X399">
        <f t="shared" si="352"/>
        <v>-37.879117826020433</v>
      </c>
      <c r="Y399">
        <f t="shared" si="336"/>
        <v>-168.59656404085695</v>
      </c>
      <c r="Z399">
        <f t="shared" si="353"/>
        <v>11.403435959143053</v>
      </c>
      <c r="AC399">
        <v>1</v>
      </c>
      <c r="AD399">
        <f t="shared" si="337"/>
        <v>318.54115842822006</v>
      </c>
      <c r="AE399">
        <f t="shared" si="338"/>
        <v>-0.18513441397750763</v>
      </c>
      <c r="AF399">
        <f t="shared" si="339"/>
        <v>4.0102430177250001E-2</v>
      </c>
      <c r="AG399">
        <f t="shared" si="315"/>
        <v>350.83899162678233</v>
      </c>
      <c r="AH399">
        <f t="shared" si="316"/>
        <v>-1644.5978666075616</v>
      </c>
      <c r="AJ399">
        <f t="shared" si="340"/>
        <v>21000</v>
      </c>
      <c r="AK399">
        <f t="shared" si="341"/>
        <v>6236.7996845227508</v>
      </c>
      <c r="AL399">
        <v>1</v>
      </c>
      <c r="AM399">
        <f t="shared" si="342"/>
        <v>122.34786491366773</v>
      </c>
      <c r="AN399">
        <f t="shared" si="317"/>
        <v>52.375358899980419</v>
      </c>
      <c r="AO399">
        <f t="shared" si="318"/>
        <v>-171.21365097691964</v>
      </c>
      <c r="AQ399">
        <f t="shared" si="343"/>
        <v>2.9218399059635046E-3</v>
      </c>
      <c r="AR399">
        <f t="shared" si="344"/>
        <v>-5.405403826032483</v>
      </c>
      <c r="AT399">
        <f t="shared" si="313"/>
        <v>-8888.6905050790701</v>
      </c>
      <c r="AU399">
        <f t="shared" si="314"/>
        <v>-1901.231679336704</v>
      </c>
      <c r="AV399">
        <f t="shared" si="354"/>
        <v>-2.9308745008686108</v>
      </c>
      <c r="AW399">
        <f t="shared" si="355"/>
        <v>-697.57973247126142</v>
      </c>
      <c r="AX399">
        <f t="shared" si="356"/>
        <v>-2196.8916272975935</v>
      </c>
      <c r="AY399">
        <f t="shared" si="364"/>
        <v>-1.8782574049909264</v>
      </c>
      <c r="BA399">
        <f t="shared" si="345"/>
        <v>3.9435188333925781</v>
      </c>
      <c r="BB399">
        <f t="shared" si="357"/>
        <v>11.917678385269234</v>
      </c>
      <c r="BC399">
        <f t="shared" si="358"/>
        <v>-1.0526170958776844</v>
      </c>
      <c r="BD399">
        <f t="shared" si="346"/>
        <v>-240.31051710602367</v>
      </c>
      <c r="BF399">
        <f t="shared" si="347"/>
        <v>-45.416642801877416</v>
      </c>
      <c r="BG399">
        <f t="shared" si="348"/>
        <v>-223.94016228021741</v>
      </c>
      <c r="BH399">
        <f t="shared" si="359"/>
        <v>-43.940162280217407</v>
      </c>
      <c r="BI399">
        <f t="shared" si="360"/>
        <v>-43.940162280217407</v>
      </c>
      <c r="BJ399">
        <f t="shared" si="349"/>
        <v>0</v>
      </c>
      <c r="BK399">
        <f t="shared" si="361"/>
        <v>0</v>
      </c>
      <c r="BM399">
        <f t="shared" si="362"/>
        <v>-57.334321187146656</v>
      </c>
      <c r="BN399">
        <f t="shared" si="350"/>
        <v>-163.6296451741938</v>
      </c>
      <c r="BQ399" s="66">
        <f t="shared" si="363"/>
        <v>28.819639185554372</v>
      </c>
      <c r="BR399" s="71"/>
      <c r="BS399" s="71"/>
      <c r="BT399" s="71">
        <v>776247.11699999997</v>
      </c>
      <c r="BU399" s="71">
        <v>7.9999099999999999</v>
      </c>
      <c r="BV399" s="71">
        <v>105.28700000000001</v>
      </c>
      <c r="BY399" s="71"/>
      <c r="BZ399" s="71"/>
      <c r="CA399" s="71"/>
      <c r="CC399" s="71"/>
    </row>
    <row r="400" spans="1:81" ht="13" x14ac:dyDescent="0.3">
      <c r="A400">
        <f t="shared" si="319"/>
        <v>930000</v>
      </c>
      <c r="B400">
        <f t="shared" si="351"/>
        <v>930</v>
      </c>
      <c r="C400">
        <f t="shared" si="320"/>
        <v>1.0418071838252705</v>
      </c>
      <c r="D400">
        <f t="shared" si="321"/>
        <v>0.28425618301296696</v>
      </c>
      <c r="F400">
        <f t="shared" si="322"/>
        <v>8.6080688999996504E-5</v>
      </c>
      <c r="G400">
        <f t="shared" si="323"/>
        <v>2.8926361839318919E-3</v>
      </c>
      <c r="H400">
        <f t="shared" si="324"/>
        <v>-3.1387000138160683</v>
      </c>
      <c r="J400">
        <f t="shared" si="325"/>
        <v>15</v>
      </c>
      <c r="M400">
        <f t="shared" si="326"/>
        <v>1.1810513982483757E-3</v>
      </c>
      <c r="N400">
        <f t="shared" si="327"/>
        <v>-1.5707963250000001</v>
      </c>
      <c r="O400">
        <f t="shared" si="328"/>
        <v>320.26456374088929</v>
      </c>
      <c r="P400">
        <f t="shared" si="329"/>
        <v>1.567673903217206</v>
      </c>
      <c r="Q400">
        <f t="shared" si="330"/>
        <v>123.01326939332145</v>
      </c>
      <c r="R400">
        <f t="shared" si="331"/>
        <v>1.5626670329451096</v>
      </c>
      <c r="S400">
        <f t="shared" si="332"/>
        <v>0.95819580656070047</v>
      </c>
      <c r="T400">
        <f t="shared" si="333"/>
        <v>-0.29016805401940809</v>
      </c>
      <c r="U400">
        <f t="shared" si="334"/>
        <v>0.2106152231775712</v>
      </c>
      <c r="V400">
        <f t="shared" si="335"/>
        <v>-1.3585920697803708</v>
      </c>
      <c r="X400">
        <f t="shared" si="352"/>
        <v>-37.970839738114108</v>
      </c>
      <c r="Y400">
        <f t="shared" si="336"/>
        <v>-168.65925689611657</v>
      </c>
      <c r="Z400">
        <f t="shared" si="353"/>
        <v>11.340743103883426</v>
      </c>
      <c r="AC400">
        <v>1</v>
      </c>
      <c r="AD400">
        <f t="shared" si="337"/>
        <v>320.26300252783204</v>
      </c>
      <c r="AE400">
        <f t="shared" si="338"/>
        <v>-0.18714127643435657</v>
      </c>
      <c r="AF400">
        <f t="shared" si="339"/>
        <v>4.0319200070100002E-2</v>
      </c>
      <c r="AG400">
        <f t="shared" si="315"/>
        <v>347.24356233015681</v>
      </c>
      <c r="AH400">
        <f t="shared" si="316"/>
        <v>-1636.5305703822944</v>
      </c>
      <c r="AJ400">
        <f t="shared" si="340"/>
        <v>21000</v>
      </c>
      <c r="AK400">
        <f t="shared" si="341"/>
        <v>6270.5121152499005</v>
      </c>
      <c r="AL400">
        <v>1</v>
      </c>
      <c r="AM400">
        <f t="shared" si="342"/>
        <v>123.00920472401191</v>
      </c>
      <c r="AN400">
        <f t="shared" si="317"/>
        <v>52.360353025349845</v>
      </c>
      <c r="AO400">
        <f t="shared" si="318"/>
        <v>-170.29326946689531</v>
      </c>
      <c r="AQ400">
        <f t="shared" si="343"/>
        <v>2.8905067376266799E-3</v>
      </c>
      <c r="AR400">
        <f t="shared" si="344"/>
        <v>-5.3763425319856246</v>
      </c>
      <c r="AT400">
        <f t="shared" si="313"/>
        <v>-8797.5452005845091</v>
      </c>
      <c r="AU400">
        <f t="shared" si="314"/>
        <v>-1871.6307357538453</v>
      </c>
      <c r="AV400">
        <f t="shared" si="354"/>
        <v>-2.9319731857961573</v>
      </c>
      <c r="AW400">
        <f t="shared" si="355"/>
        <v>-689.47191483940514</v>
      </c>
      <c r="AX400">
        <f t="shared" si="356"/>
        <v>-2185.3716399402792</v>
      </c>
      <c r="AY400">
        <f t="shared" si="364"/>
        <v>-1.876406609614111</v>
      </c>
      <c r="BA400">
        <f t="shared" si="345"/>
        <v>3.9250355601539075</v>
      </c>
      <c r="BB400">
        <f t="shared" si="357"/>
        <v>11.87687191466318</v>
      </c>
      <c r="BC400">
        <f t="shared" si="358"/>
        <v>-1.0555665761820463</v>
      </c>
      <c r="BD400">
        <f t="shared" si="346"/>
        <v>-240.47950987941365</v>
      </c>
      <c r="BF400">
        <f t="shared" si="347"/>
        <v>-45.547441258555125</v>
      </c>
      <c r="BG400">
        <f t="shared" si="348"/>
        <v>-224.02709442846654</v>
      </c>
      <c r="BH400">
        <f t="shared" si="359"/>
        <v>-44.02709442846654</v>
      </c>
      <c r="BI400">
        <f t="shared" si="360"/>
        <v>-44.02709442846654</v>
      </c>
      <c r="BJ400">
        <f t="shared" si="349"/>
        <v>0</v>
      </c>
      <c r="BK400">
        <f t="shared" si="361"/>
        <v>0</v>
      </c>
      <c r="BM400">
        <f t="shared" si="362"/>
        <v>-57.424313173218309</v>
      </c>
      <c r="BN400">
        <f t="shared" si="350"/>
        <v>-163.54758454905291</v>
      </c>
      <c r="BQ400" s="66">
        <f t="shared" si="363"/>
        <v>28.778832714948315</v>
      </c>
      <c r="BR400" s="71"/>
      <c r="BS400" s="71"/>
      <c r="BT400" s="71">
        <v>794328.23499999999</v>
      </c>
      <c r="BU400" s="71">
        <v>7.7399399999999998</v>
      </c>
      <c r="BV400" s="71">
        <v>105.286</v>
      </c>
      <c r="BY400" s="71"/>
      <c r="BZ400" s="71"/>
      <c r="CA400" s="71"/>
      <c r="CC400" s="71"/>
    </row>
    <row r="401" spans="1:81" ht="13" x14ac:dyDescent="0.3">
      <c r="A401">
        <f t="shared" si="319"/>
        <v>935000</v>
      </c>
      <c r="B401">
        <f t="shared" si="351"/>
        <v>935</v>
      </c>
      <c r="C401">
        <f t="shared" si="320"/>
        <v>1.0422487941361405</v>
      </c>
      <c r="D401">
        <f t="shared" si="321"/>
        <v>0.28570282570973293</v>
      </c>
      <c r="F401">
        <f t="shared" si="322"/>
        <v>8.5162426450203989E-5</v>
      </c>
      <c r="G401">
        <f t="shared" si="323"/>
        <v>2.8771649612830499E-3</v>
      </c>
      <c r="H401">
        <f t="shared" si="324"/>
        <v>-3.1387154850387171</v>
      </c>
      <c r="J401">
        <f t="shared" si="325"/>
        <v>15</v>
      </c>
      <c r="M401">
        <f t="shared" si="326"/>
        <v>1.1747356153700421E-3</v>
      </c>
      <c r="N401">
        <f t="shared" si="327"/>
        <v>-1.5707963250000001</v>
      </c>
      <c r="O401">
        <f t="shared" si="328"/>
        <v>321.98639949180875</v>
      </c>
      <c r="P401">
        <f t="shared" si="329"/>
        <v>1.5676906005618341</v>
      </c>
      <c r="Q401">
        <f t="shared" si="330"/>
        <v>123.67458746817856</v>
      </c>
      <c r="R401">
        <f t="shared" si="331"/>
        <v>1.5627105032048434</v>
      </c>
      <c r="S401">
        <f t="shared" si="332"/>
        <v>0.95777323932856184</v>
      </c>
      <c r="T401">
        <f t="shared" si="333"/>
        <v>-0.29164134284130866</v>
      </c>
      <c r="U401">
        <f t="shared" si="334"/>
        <v>0.20953851671963239</v>
      </c>
      <c r="V401">
        <f t="shared" si="335"/>
        <v>-1.3596933515439007</v>
      </c>
      <c r="X401">
        <f t="shared" si="352"/>
        <v>-38.062092300640856</v>
      </c>
      <c r="Y401">
        <f t="shared" si="336"/>
        <v>-168.72132148977138</v>
      </c>
      <c r="Z401">
        <f t="shared" si="353"/>
        <v>11.278678510228616</v>
      </c>
      <c r="AC401">
        <v>1</v>
      </c>
      <c r="AD401">
        <f t="shared" si="337"/>
        <v>321.98484662744403</v>
      </c>
      <c r="AE401">
        <f t="shared" si="338"/>
        <v>-0.18915895755674106</v>
      </c>
      <c r="AF401">
        <f t="shared" si="339"/>
        <v>4.0535969962950003E-2</v>
      </c>
      <c r="AG401">
        <f t="shared" si="315"/>
        <v>343.70228256963009</v>
      </c>
      <c r="AH401">
        <f t="shared" si="316"/>
        <v>-1628.5379513819703</v>
      </c>
      <c r="AJ401">
        <f t="shared" si="340"/>
        <v>21000</v>
      </c>
      <c r="AK401">
        <f t="shared" si="341"/>
        <v>6304.2245459770511</v>
      </c>
      <c r="AL401">
        <v>1</v>
      </c>
      <c r="AM401">
        <f t="shared" si="342"/>
        <v>123.67054453435604</v>
      </c>
      <c r="AN401">
        <f t="shared" si="317"/>
        <v>52.345587221432794</v>
      </c>
      <c r="AO401">
        <f t="shared" si="318"/>
        <v>-169.38272966817291</v>
      </c>
      <c r="AQ401">
        <f t="shared" si="343"/>
        <v>2.8596748949998871E-3</v>
      </c>
      <c r="AR401">
        <f t="shared" si="344"/>
        <v>-5.3475920536497892</v>
      </c>
      <c r="AT401">
        <f t="shared" si="313"/>
        <v>-8707.7737310885113</v>
      </c>
      <c r="AU401">
        <f t="shared" si="314"/>
        <v>-1842.6366841857698</v>
      </c>
      <c r="AV401">
        <f t="shared" si="354"/>
        <v>-2.9330606452645456</v>
      </c>
      <c r="AW401">
        <f t="shared" si="355"/>
        <v>-681.49544855488659</v>
      </c>
      <c r="AX401">
        <f t="shared" si="356"/>
        <v>-2173.9705776536575</v>
      </c>
      <c r="AY401">
        <f t="shared" si="364"/>
        <v>-1.8745734020715543</v>
      </c>
      <c r="BA401">
        <f t="shared" si="345"/>
        <v>3.9067087760247663</v>
      </c>
      <c r="BB401">
        <f t="shared" si="357"/>
        <v>11.836220762609786</v>
      </c>
      <c r="BC401">
        <f t="shared" si="358"/>
        <v>-1.0584872431929913</v>
      </c>
      <c r="BD401">
        <f t="shared" si="346"/>
        <v>-240.6468517726951</v>
      </c>
      <c r="BF401">
        <f t="shared" si="347"/>
        <v>-45.677565492269856</v>
      </c>
      <c r="BG401">
        <f t="shared" si="348"/>
        <v>-224.11243623642787</v>
      </c>
      <c r="BH401">
        <f t="shared" si="359"/>
        <v>-44.112436236427868</v>
      </c>
      <c r="BI401">
        <f t="shared" si="360"/>
        <v>-44.112436236427868</v>
      </c>
      <c r="BJ401">
        <f t="shared" si="349"/>
        <v>0</v>
      </c>
      <c r="BK401">
        <f t="shared" si="361"/>
        <v>0</v>
      </c>
      <c r="BM401">
        <f t="shared" si="362"/>
        <v>-57.513786254879648</v>
      </c>
      <c r="BN401">
        <f t="shared" si="350"/>
        <v>-163.4655844637328</v>
      </c>
      <c r="BQ401" s="66">
        <f t="shared" si="363"/>
        <v>28.738181562894923</v>
      </c>
      <c r="BR401" s="71"/>
      <c r="BS401" s="71"/>
      <c r="BT401" s="71">
        <v>812830.51599999995</v>
      </c>
      <c r="BU401" s="71">
        <v>7.5259600000000004</v>
      </c>
      <c r="BV401" s="71">
        <v>105.187</v>
      </c>
      <c r="BY401" s="71"/>
      <c r="BZ401" s="71"/>
      <c r="CA401" s="71"/>
      <c r="CC401" s="71"/>
    </row>
    <row r="402" spans="1:81" ht="13" x14ac:dyDescent="0.3">
      <c r="A402">
        <f t="shared" si="319"/>
        <v>940000</v>
      </c>
      <c r="B402">
        <f t="shared" si="351"/>
        <v>940</v>
      </c>
      <c r="C402">
        <f t="shared" si="320"/>
        <v>1.0426925837890699</v>
      </c>
      <c r="D402">
        <f t="shared" si="321"/>
        <v>0.28714823999238759</v>
      </c>
      <c r="F402">
        <f t="shared" si="322"/>
        <v>8.4258779601323566E-5</v>
      </c>
      <c r="G402">
        <f t="shared" si="323"/>
        <v>2.8618583669550229E-3</v>
      </c>
      <c r="H402">
        <f t="shared" si="324"/>
        <v>-3.1387307916330451</v>
      </c>
      <c r="J402">
        <f t="shared" si="325"/>
        <v>15</v>
      </c>
      <c r="M402">
        <f t="shared" si="326"/>
        <v>1.1684870216712652E-3</v>
      </c>
      <c r="N402">
        <f t="shared" si="327"/>
        <v>-1.5707963250000001</v>
      </c>
      <c r="O402">
        <f t="shared" si="328"/>
        <v>323.70823533154339</v>
      </c>
      <c r="P402">
        <f t="shared" si="329"/>
        <v>1.5677071202768407</v>
      </c>
      <c r="Q402">
        <f t="shared" si="330"/>
        <v>124.33590577425296</v>
      </c>
      <c r="R402">
        <f t="shared" si="331"/>
        <v>1.5627535110450799</v>
      </c>
      <c r="S402">
        <f t="shared" si="332"/>
        <v>0.95734896938631142</v>
      </c>
      <c r="T402">
        <f t="shared" si="333"/>
        <v>-0.29311332959463832</v>
      </c>
      <c r="U402">
        <f t="shared" si="334"/>
        <v>0.20847251394506261</v>
      </c>
      <c r="V402">
        <f t="shared" si="335"/>
        <v>-1.3607834293331584</v>
      </c>
      <c r="X402">
        <f t="shared" si="352"/>
        <v>-38.152880206996912</v>
      </c>
      <c r="Y402">
        <f t="shared" si="336"/>
        <v>-168.7827671625015</v>
      </c>
      <c r="Z402">
        <f t="shared" si="353"/>
        <v>11.2172328374985</v>
      </c>
      <c r="AC402">
        <v>1</v>
      </c>
      <c r="AD402">
        <f t="shared" si="337"/>
        <v>323.70669072705601</v>
      </c>
      <c r="AE402">
        <f t="shared" si="338"/>
        <v>-0.19118745734466117</v>
      </c>
      <c r="AF402">
        <f t="shared" si="339"/>
        <v>4.0752739855800003E-2</v>
      </c>
      <c r="AG402">
        <f t="shared" si="315"/>
        <v>340.21408750649562</v>
      </c>
      <c r="AH402">
        <f t="shared" si="316"/>
        <v>-1620.6190449254261</v>
      </c>
      <c r="AJ402">
        <f t="shared" si="340"/>
        <v>21000</v>
      </c>
      <c r="AK402">
        <f t="shared" si="341"/>
        <v>6337.9369767042008</v>
      </c>
      <c r="AL402">
        <v>1</v>
      </c>
      <c r="AM402">
        <f t="shared" si="342"/>
        <v>124.3318843447002</v>
      </c>
      <c r="AN402">
        <f t="shared" si="317"/>
        <v>52.331056394503058</v>
      </c>
      <c r="AO402">
        <f t="shared" si="318"/>
        <v>-168.48187457313651</v>
      </c>
      <c r="AQ402">
        <f t="shared" si="343"/>
        <v>2.829333740002903E-3</v>
      </c>
      <c r="AR402">
        <f t="shared" si="344"/>
        <v>-5.3191474312054572</v>
      </c>
      <c r="AT402">
        <f t="shared" si="313"/>
        <v>-8619.3490505811151</v>
      </c>
      <c r="AU402">
        <f t="shared" si="314"/>
        <v>-1814.2341617635834</v>
      </c>
      <c r="AV402">
        <f t="shared" si="354"/>
        <v>-2.9341370478026594</v>
      </c>
      <c r="AW402">
        <f t="shared" si="355"/>
        <v>-673.64750578817677</v>
      </c>
      <c r="AX402">
        <f t="shared" si="356"/>
        <v>-2162.6866243794811</v>
      </c>
      <c r="AY402">
        <f t="shared" si="364"/>
        <v>-1.8727575215017134</v>
      </c>
      <c r="BA402">
        <f t="shared" si="345"/>
        <v>3.8885367902394554</v>
      </c>
      <c r="BB402">
        <f t="shared" si="357"/>
        <v>11.795724245184564</v>
      </c>
      <c r="BC402">
        <f t="shared" si="358"/>
        <v>-1.061379526300946</v>
      </c>
      <c r="BD402">
        <f t="shared" si="346"/>
        <v>-240.81256738812726</v>
      </c>
      <c r="BF402">
        <f t="shared" si="347"/>
        <v>-45.807021590685366</v>
      </c>
      <c r="BG402">
        <f t="shared" si="348"/>
        <v>-224.19621271697608</v>
      </c>
      <c r="BH402">
        <f t="shared" si="359"/>
        <v>-44.196212716976078</v>
      </c>
      <c r="BI402">
        <f t="shared" si="360"/>
        <v>-44.196212716976078</v>
      </c>
      <c r="BJ402">
        <f t="shared" si="349"/>
        <v>0</v>
      </c>
      <c r="BK402">
        <f t="shared" si="361"/>
        <v>0</v>
      </c>
      <c r="BM402">
        <f t="shared" si="362"/>
        <v>-57.602745835869939</v>
      </c>
      <c r="BN402">
        <f t="shared" si="350"/>
        <v>-163.38364532884884</v>
      </c>
      <c r="BQ402" s="66">
        <f t="shared" si="363"/>
        <v>28.697685045469701</v>
      </c>
      <c r="BR402" s="71"/>
      <c r="BS402" s="71"/>
      <c r="BT402" s="71">
        <v>831763.77099999995</v>
      </c>
      <c r="BU402" s="71">
        <v>7.3913599999999997</v>
      </c>
      <c r="BV402" s="71">
        <v>104.541</v>
      </c>
      <c r="BY402" s="71"/>
      <c r="BZ402" s="71"/>
      <c r="CA402" s="71"/>
      <c r="CC402" s="71"/>
    </row>
    <row r="403" spans="1:81" ht="13" x14ac:dyDescent="0.3">
      <c r="A403">
        <f t="shared" si="319"/>
        <v>945000</v>
      </c>
      <c r="B403">
        <f t="shared" si="351"/>
        <v>945</v>
      </c>
      <c r="C403">
        <f t="shared" si="320"/>
        <v>1.0431385500025407</v>
      </c>
      <c r="D403">
        <f t="shared" si="321"/>
        <v>0.28859242139305169</v>
      </c>
      <c r="F403">
        <f t="shared" si="322"/>
        <v>8.3369439904747186E-5</v>
      </c>
      <c r="G403">
        <f t="shared" si="323"/>
        <v>2.846713786942138E-3</v>
      </c>
      <c r="H403">
        <f t="shared" si="324"/>
        <v>-3.1387459362130579</v>
      </c>
      <c r="J403">
        <f t="shared" si="325"/>
        <v>15</v>
      </c>
      <c r="M403">
        <f t="shared" si="326"/>
        <v>1.1623045506571317E-3</v>
      </c>
      <c r="N403">
        <f t="shared" si="327"/>
        <v>-1.5707963250000001</v>
      </c>
      <c r="O403">
        <f t="shared" si="328"/>
        <v>325.4300712586836</v>
      </c>
      <c r="P403">
        <f t="shared" si="329"/>
        <v>1.5677234651817076</v>
      </c>
      <c r="Q403">
        <f t="shared" si="330"/>
        <v>124.9972243078748</v>
      </c>
      <c r="R403">
        <f t="shared" si="331"/>
        <v>1.5627960638051797</v>
      </c>
      <c r="S403">
        <f t="shared" si="332"/>
        <v>0.95692300450773615</v>
      </c>
      <c r="T403">
        <f t="shared" si="333"/>
        <v>-0.29458400963439024</v>
      </c>
      <c r="U403">
        <f t="shared" si="334"/>
        <v>0.20741705986275796</v>
      </c>
      <c r="V403">
        <f t="shared" si="335"/>
        <v>-1.3618624707080191</v>
      </c>
      <c r="X403">
        <f t="shared" si="352"/>
        <v>-38.243208081975084</v>
      </c>
      <c r="Y403">
        <f t="shared" si="336"/>
        <v>-168.84360307234459</v>
      </c>
      <c r="Z403">
        <f t="shared" si="353"/>
        <v>11.156396927655408</v>
      </c>
      <c r="AC403">
        <v>1</v>
      </c>
      <c r="AD403">
        <f t="shared" si="337"/>
        <v>325.428534826668</v>
      </c>
      <c r="AE403">
        <f t="shared" si="338"/>
        <v>-0.19322677579811684</v>
      </c>
      <c r="AF403">
        <f t="shared" si="339"/>
        <v>4.0969509748649997E-2</v>
      </c>
      <c r="AG403">
        <f t="shared" si="315"/>
        <v>336.77793791315048</v>
      </c>
      <c r="AH403">
        <f t="shared" si="316"/>
        <v>-1612.7729013177584</v>
      </c>
      <c r="AJ403">
        <f t="shared" si="340"/>
        <v>21000</v>
      </c>
      <c r="AK403">
        <f t="shared" si="341"/>
        <v>6371.6494074313505</v>
      </c>
      <c r="AL403">
        <v>1</v>
      </c>
      <c r="AM403">
        <f t="shared" si="342"/>
        <v>124.99322415504435</v>
      </c>
      <c r="AN403">
        <f t="shared" si="317"/>
        <v>52.316755585214295</v>
      </c>
      <c r="AO403">
        <f t="shared" si="318"/>
        <v>-167.59055049600784</v>
      </c>
      <c r="AQ403">
        <f t="shared" si="343"/>
        <v>2.7994729152395186E-3</v>
      </c>
      <c r="AR403">
        <f t="shared" si="344"/>
        <v>-5.2910038098026906</v>
      </c>
      <c r="AT403">
        <f t="shared" si="313"/>
        <v>-8532.2447645031607</v>
      </c>
      <c r="AU403">
        <f t="shared" si="314"/>
        <v>-1786.4082666116446</v>
      </c>
      <c r="AV403">
        <f t="shared" si="354"/>
        <v>-2.9352025586363775</v>
      </c>
      <c r="AW403">
        <f t="shared" si="355"/>
        <v>-665.92533451773033</v>
      </c>
      <c r="AX403">
        <f t="shared" si="356"/>
        <v>-2151.5180006069304</v>
      </c>
      <c r="AY403">
        <f t="shared" si="364"/>
        <v>-1.8709587120135622</v>
      </c>
      <c r="BA403">
        <f t="shared" si="345"/>
        <v>3.8705179285895221</v>
      </c>
      <c r="BB403">
        <f t="shared" si="357"/>
        <v>11.75538166977449</v>
      </c>
      <c r="BC403">
        <f t="shared" si="358"/>
        <v>-1.0642438466228152</v>
      </c>
      <c r="BD403">
        <f t="shared" si="346"/>
        <v>-240.97668085393144</v>
      </c>
      <c r="BF403">
        <f t="shared" si="347"/>
        <v>-45.93581556495046</v>
      </c>
      <c r="BG403">
        <f t="shared" si="348"/>
        <v>-224.2784484040946</v>
      </c>
      <c r="BH403">
        <f t="shared" si="359"/>
        <v>-44.278448404094604</v>
      </c>
      <c r="BI403">
        <f t="shared" si="360"/>
        <v>-44.278448404094604</v>
      </c>
      <c r="BJ403">
        <f t="shared" si="349"/>
        <v>0</v>
      </c>
      <c r="BK403">
        <f t="shared" si="361"/>
        <v>0</v>
      </c>
      <c r="BM403">
        <f t="shared" si="362"/>
        <v>-57.691197234724953</v>
      </c>
      <c r="BN403">
        <f t="shared" si="350"/>
        <v>-163.30176755016316</v>
      </c>
      <c r="BQ403" s="66">
        <f t="shared" si="363"/>
        <v>28.657342470059625</v>
      </c>
      <c r="BR403" s="71"/>
      <c r="BS403" s="71"/>
      <c r="BT403" s="71">
        <v>851138.03799999994</v>
      </c>
      <c r="BU403" s="71">
        <v>7.3125499999999999</v>
      </c>
      <c r="BV403" s="71">
        <v>103.205</v>
      </c>
      <c r="BY403" s="71"/>
      <c r="BZ403" s="71"/>
      <c r="CA403" s="71"/>
      <c r="CC403" s="71"/>
    </row>
    <row r="404" spans="1:81" ht="13" x14ac:dyDescent="0.3">
      <c r="A404">
        <f t="shared" si="319"/>
        <v>950000</v>
      </c>
      <c r="B404">
        <f t="shared" si="351"/>
        <v>950</v>
      </c>
      <c r="C404">
        <f t="shared" si="320"/>
        <v>1.0435866899861599</v>
      </c>
      <c r="D404">
        <f t="shared" si="321"/>
        <v>0.29003536547203573</v>
      </c>
      <c r="F404">
        <f t="shared" si="322"/>
        <v>8.24941069114358E-5</v>
      </c>
      <c r="G404">
        <f t="shared" si="323"/>
        <v>2.8317286622928208E-3</v>
      </c>
      <c r="H404">
        <f t="shared" si="324"/>
        <v>-3.1387609213377075</v>
      </c>
      <c r="J404">
        <f t="shared" si="325"/>
        <v>15</v>
      </c>
      <c r="M404">
        <f t="shared" si="326"/>
        <v>1.156187158285252E-3</v>
      </c>
      <c r="N404">
        <f t="shared" si="327"/>
        <v>-1.5707963250000001</v>
      </c>
      <c r="O404">
        <f t="shared" si="328"/>
        <v>327.15190727184921</v>
      </c>
      <c r="P404">
        <f t="shared" si="329"/>
        <v>1.5677396380365605</v>
      </c>
      <c r="Q404">
        <f t="shared" si="330"/>
        <v>125.65854306545144</v>
      </c>
      <c r="R404">
        <f t="shared" si="331"/>
        <v>1.562838168670007</v>
      </c>
      <c r="S404">
        <f t="shared" si="332"/>
        <v>0.95649535247847106</v>
      </c>
      <c r="T404">
        <f t="shared" si="333"/>
        <v>-0.29605337834641116</v>
      </c>
      <c r="U404">
        <f t="shared" si="334"/>
        <v>0.20637200238050762</v>
      </c>
      <c r="V404">
        <f t="shared" si="335"/>
        <v>-1.3629306399553744</v>
      </c>
      <c r="X404">
        <f t="shared" si="352"/>
        <v>-38.333080483066269</v>
      </c>
      <c r="Y404">
        <f t="shared" si="336"/>
        <v>-168.90383819906125</v>
      </c>
      <c r="Z404">
        <f t="shared" si="353"/>
        <v>11.096161800938745</v>
      </c>
      <c r="AC404">
        <v>1</v>
      </c>
      <c r="AD404">
        <f t="shared" si="337"/>
        <v>327.15037892628004</v>
      </c>
      <c r="AE404">
        <f t="shared" si="338"/>
        <v>-0.19527691291710808</v>
      </c>
      <c r="AF404">
        <f t="shared" si="339"/>
        <v>4.1186279641500005E-2</v>
      </c>
      <c r="AG404">
        <f t="shared" si="315"/>
        <v>333.39281945076033</v>
      </c>
      <c r="AH404">
        <f t="shared" si="316"/>
        <v>-1604.998585608296</v>
      </c>
      <c r="AJ404">
        <f t="shared" si="340"/>
        <v>21000</v>
      </c>
      <c r="AK404">
        <f t="shared" si="341"/>
        <v>6405.3618381585011</v>
      </c>
      <c r="AL404">
        <v>1</v>
      </c>
      <c r="AM404">
        <f t="shared" si="342"/>
        <v>125.6545639653885</v>
      </c>
      <c r="AN404">
        <f t="shared" si="317"/>
        <v>52.30267996436833</v>
      </c>
      <c r="AO404">
        <f t="shared" si="318"/>
        <v>-166.70860698546267</v>
      </c>
      <c r="AQ404">
        <f t="shared" si="343"/>
        <v>2.770082335157248E-3</v>
      </c>
      <c r="AR404">
        <f t="shared" si="344"/>
        <v>-5.2631564367987709</v>
      </c>
      <c r="AT404">
        <f t="shared" si="313"/>
        <v>-8446.4351113373978</v>
      </c>
      <c r="AU404">
        <f t="shared" si="314"/>
        <v>-1759.1445419047056</v>
      </c>
      <c r="AV404">
        <f t="shared" si="354"/>
        <v>-2.9362573397677312</v>
      </c>
      <c r="AW404">
        <f t="shared" si="355"/>
        <v>-658.32625610181185</v>
      </c>
      <c r="AX404">
        <f t="shared" si="356"/>
        <v>-2140.4629624613303</v>
      </c>
      <c r="AY404">
        <f t="shared" si="364"/>
        <v>-1.869176722573787</v>
      </c>
      <c r="BA404">
        <f t="shared" si="345"/>
        <v>3.8526505335204693</v>
      </c>
      <c r="BB404">
        <f t="shared" si="357"/>
        <v>11.715192335739355</v>
      </c>
      <c r="BC404">
        <f t="shared" si="358"/>
        <v>-1.0670806171939442</v>
      </c>
      <c r="BD404">
        <f t="shared" si="346"/>
        <v>-241.13921583528978</v>
      </c>
      <c r="BF404">
        <f t="shared" si="347"/>
        <v>-46.063953350837664</v>
      </c>
      <c r="BG404">
        <f t="shared" si="348"/>
        <v>-224.35916736395814</v>
      </c>
      <c r="BH404">
        <f t="shared" si="359"/>
        <v>-44.359167363958136</v>
      </c>
      <c r="BI404">
        <f t="shared" si="360"/>
        <v>-44.359167363958136</v>
      </c>
      <c r="BJ404">
        <f t="shared" si="349"/>
        <v>0</v>
      </c>
      <c r="BK404">
        <f t="shared" si="361"/>
        <v>0</v>
      </c>
      <c r="BM404">
        <f t="shared" si="362"/>
        <v>-57.779145686577024</v>
      </c>
      <c r="BN404">
        <f t="shared" si="350"/>
        <v>-163.21995152866836</v>
      </c>
      <c r="BQ404" s="66">
        <f t="shared" si="363"/>
        <v>28.617153136024491</v>
      </c>
      <c r="BR404" s="71"/>
      <c r="BS404" s="71"/>
      <c r="BT404" s="71">
        <v>870963.59</v>
      </c>
      <c r="BU404" s="71">
        <v>7.1463099999999997</v>
      </c>
      <c r="BV404" s="71">
        <v>103.91</v>
      </c>
      <c r="BY404" s="71"/>
      <c r="BZ404" s="71"/>
      <c r="CA404" s="71"/>
      <c r="CC404" s="71"/>
    </row>
    <row r="405" spans="1:81" ht="13" x14ac:dyDescent="0.3">
      <c r="A405">
        <f t="shared" si="319"/>
        <v>955000</v>
      </c>
      <c r="B405">
        <f t="shared" si="351"/>
        <v>955</v>
      </c>
      <c r="C405">
        <f t="shared" si="320"/>
        <v>1.0440370009407354</v>
      </c>
      <c r="D405">
        <f t="shared" si="321"/>
        <v>0.29147706781786387</v>
      </c>
      <c r="F405">
        <f t="shared" si="322"/>
        <v>8.1632488018104179E-5</v>
      </c>
      <c r="G405">
        <f t="shared" si="323"/>
        <v>2.8169004876676842E-3</v>
      </c>
      <c r="H405">
        <f t="shared" si="324"/>
        <v>-3.1387757495123325</v>
      </c>
      <c r="J405">
        <f t="shared" si="325"/>
        <v>15</v>
      </c>
      <c r="M405">
        <f t="shared" si="326"/>
        <v>1.1501338223779995E-3</v>
      </c>
      <c r="N405">
        <f t="shared" si="327"/>
        <v>-1.5707963250000001</v>
      </c>
      <c r="O405">
        <f t="shared" si="328"/>
        <v>328.87374336968901</v>
      </c>
      <c r="P405">
        <f t="shared" si="329"/>
        <v>1.5677556415437219</v>
      </c>
      <c r="Q405">
        <f t="shared" si="330"/>
        <v>126.31986204346549</v>
      </c>
      <c r="R405">
        <f t="shared" si="331"/>
        <v>1.5628798326739737</v>
      </c>
      <c r="S405">
        <f t="shared" si="332"/>
        <v>0.95606602109565963</v>
      </c>
      <c r="T405">
        <f t="shared" si="333"/>
        <v>-0.29752143114742197</v>
      </c>
      <c r="U405">
        <f t="shared" si="334"/>
        <v>0.20533719223959765</v>
      </c>
      <c r="V405">
        <f t="shared" si="335"/>
        <v>-1.3639880981673533</v>
      </c>
      <c r="X405">
        <f t="shared" si="352"/>
        <v>-38.422501901730811</v>
      </c>
      <c r="Y405">
        <f t="shared" si="336"/>
        <v>-168.96348134837874</v>
      </c>
      <c r="Z405">
        <f t="shared" si="353"/>
        <v>11.036518651621265</v>
      </c>
      <c r="AC405">
        <v>1</v>
      </c>
      <c r="AD405">
        <f t="shared" si="337"/>
        <v>328.87222302589203</v>
      </c>
      <c r="AE405">
        <f t="shared" si="338"/>
        <v>-0.19733786870163489</v>
      </c>
      <c r="AF405">
        <f t="shared" si="339"/>
        <v>4.1403049534349999E-2</v>
      </c>
      <c r="AG405">
        <f t="shared" si="315"/>
        <v>330.05774197010555</v>
      </c>
      <c r="AH405">
        <f t="shared" si="316"/>
        <v>-1597.2951773513132</v>
      </c>
      <c r="AJ405">
        <f t="shared" si="340"/>
        <v>21000</v>
      </c>
      <c r="AK405">
        <f t="shared" si="341"/>
        <v>6439.0742688856508</v>
      </c>
      <c r="AL405">
        <v>1</v>
      </c>
      <c r="AM405">
        <f t="shared" si="342"/>
        <v>126.31590377573265</v>
      </c>
      <c r="AN405">
        <f t="shared" si="317"/>
        <v>52.28882482883801</v>
      </c>
      <c r="AO405">
        <f t="shared" si="318"/>
        <v>-165.83589673999197</v>
      </c>
      <c r="AQ405">
        <f t="shared" si="343"/>
        <v>2.7411521775301726E-3</v>
      </c>
      <c r="AR405">
        <f t="shared" si="344"/>
        <v>-5.2356006590826292</v>
      </c>
      <c r="AT405">
        <f t="shared" si="313"/>
        <v>-8361.8949447919294</v>
      </c>
      <c r="AU405">
        <f t="shared" si="314"/>
        <v>-1732.428960547564</v>
      </c>
      <c r="AV405">
        <f t="shared" si="354"/>
        <v>-2.9373015500518389</v>
      </c>
      <c r="AW405">
        <f t="shared" si="355"/>
        <v>-650.847662940639</v>
      </c>
      <c r="AX405">
        <f t="shared" si="356"/>
        <v>-2129.5198008199936</v>
      </c>
      <c r="AY405">
        <f t="shared" si="364"/>
        <v>-1.8674113068968565</v>
      </c>
      <c r="BA405">
        <f t="shared" si="345"/>
        <v>3.8349329642089134</v>
      </c>
      <c r="BB405">
        <f t="shared" si="357"/>
        <v>11.675155535042306</v>
      </c>
      <c r="BC405">
        <f t="shared" si="358"/>
        <v>-1.0698902431549824</v>
      </c>
      <c r="BD405">
        <f t="shared" si="346"/>
        <v>-241.30019554505159</v>
      </c>
      <c r="BF405">
        <f t="shared" si="347"/>
        <v>-46.191440809865355</v>
      </c>
      <c r="BG405">
        <f t="shared" si="348"/>
        <v>-224.43839320572039</v>
      </c>
      <c r="BH405">
        <f t="shared" si="359"/>
        <v>-44.438393205720388</v>
      </c>
      <c r="BI405">
        <f t="shared" si="360"/>
        <v>-44.438393205720388</v>
      </c>
      <c r="BJ405">
        <f t="shared" si="349"/>
        <v>0</v>
      </c>
      <c r="BK405">
        <f t="shared" si="361"/>
        <v>0</v>
      </c>
      <c r="BM405">
        <f t="shared" si="362"/>
        <v>-57.866596344907649</v>
      </c>
      <c r="BN405">
        <f t="shared" si="350"/>
        <v>-163.13819766066882</v>
      </c>
      <c r="BQ405" s="66">
        <f t="shared" si="363"/>
        <v>28.577116335327442</v>
      </c>
      <c r="BR405" s="71"/>
      <c r="BS405" s="71"/>
      <c r="BT405" s="71">
        <v>891250.93799999997</v>
      </c>
      <c r="BU405" s="71">
        <v>6.8612700000000002</v>
      </c>
      <c r="BV405" s="71">
        <v>102.337</v>
      </c>
      <c r="BY405" s="71"/>
      <c r="BZ405" s="71"/>
      <c r="CA405" s="71"/>
      <c r="CC405" s="71"/>
    </row>
    <row r="406" spans="1:81" ht="13" x14ac:dyDescent="0.3">
      <c r="A406">
        <f t="shared" si="319"/>
        <v>960000</v>
      </c>
      <c r="B406">
        <f t="shared" si="351"/>
        <v>960</v>
      </c>
      <c r="C406">
        <f t="shared" si="320"/>
        <v>1.0444894800583535</v>
      </c>
      <c r="D406">
        <f t="shared" si="321"/>
        <v>0.29291752404729698</v>
      </c>
      <c r="F406">
        <f t="shared" si="322"/>
        <v>8.0784298222637155E-5</v>
      </c>
      <c r="G406">
        <f t="shared" si="323"/>
        <v>2.8022268099427141E-3</v>
      </c>
      <c r="H406">
        <f t="shared" si="324"/>
        <v>-3.1387904231900574</v>
      </c>
      <c r="J406">
        <f t="shared" si="325"/>
        <v>15</v>
      </c>
      <c r="M406">
        <f t="shared" si="326"/>
        <v>1.144143542053114E-3</v>
      </c>
      <c r="N406">
        <f t="shared" si="327"/>
        <v>-1.5707963250000001</v>
      </c>
      <c r="O406">
        <f t="shared" si="328"/>
        <v>330.59557955088007</v>
      </c>
      <c r="P406">
        <f t="shared" si="329"/>
        <v>1.5677714783492172</v>
      </c>
      <c r="Q406">
        <f t="shared" si="330"/>
        <v>126.98118123847284</v>
      </c>
      <c r="R406">
        <f t="shared" si="331"/>
        <v>1.5629210627049563</v>
      </c>
      <c r="S406">
        <f t="shared" si="332"/>
        <v>0.95563501816761187</v>
      </c>
      <c r="T406">
        <f t="shared" si="333"/>
        <v>-0.29898816348503721</v>
      </c>
      <c r="U406">
        <f t="shared" si="334"/>
        <v>0.20431248295111173</v>
      </c>
      <c r="V406">
        <f t="shared" si="335"/>
        <v>-1.3650350033173475</v>
      </c>
      <c r="X406">
        <f t="shared" si="352"/>
        <v>-38.511476764640676</v>
      </c>
      <c r="Y406">
        <f t="shared" si="336"/>
        <v>-169.02254115611544</v>
      </c>
      <c r="Z406">
        <f t="shared" si="353"/>
        <v>10.977458843884563</v>
      </c>
      <c r="AC406">
        <v>1</v>
      </c>
      <c r="AD406">
        <f t="shared" si="337"/>
        <v>330.59406712550401</v>
      </c>
      <c r="AE406">
        <f t="shared" si="338"/>
        <v>-0.19940964315169729</v>
      </c>
      <c r="AF406">
        <f t="shared" si="339"/>
        <v>4.16198194272E-2</v>
      </c>
      <c r="AG406">
        <f t="shared" si="315"/>
        <v>326.77173883478406</v>
      </c>
      <c r="AH406">
        <f t="shared" si="316"/>
        <v>-1589.6617703695542</v>
      </c>
      <c r="AJ406">
        <f t="shared" si="340"/>
        <v>21000</v>
      </c>
      <c r="AK406">
        <f t="shared" si="341"/>
        <v>6472.7866996127996</v>
      </c>
      <c r="AL406">
        <v>1</v>
      </c>
      <c r="AM406">
        <f t="shared" si="342"/>
        <v>126.97724358607681</v>
      </c>
      <c r="AN406">
        <f t="shared" si="317"/>
        <v>52.275185597638405</v>
      </c>
      <c r="AO406">
        <f t="shared" si="318"/>
        <v>-164.97227552590613</v>
      </c>
      <c r="AQ406">
        <f t="shared" si="343"/>
        <v>2.7126728752514986E-3</v>
      </c>
      <c r="AR406">
        <f t="shared" si="344"/>
        <v>-5.2083319204828777</v>
      </c>
      <c r="AT406">
        <f t="shared" ref="AT406:AT469" si="365">-AR406*AH406+AG406*AQ406</f>
        <v>-8278.599716554736</v>
      </c>
      <c r="AU406">
        <f t="shared" ref="AU406:AU469" si="366">AQ406*AH406+AG406*AR406</f>
        <v>-1706.2479104502061</v>
      </c>
      <c r="AV406">
        <f t="shared" si="354"/>
        <v>-2.9383353452716849</v>
      </c>
      <c r="AW406">
        <f t="shared" si="355"/>
        <v>-643.48701622500084</v>
      </c>
      <c r="AX406">
        <f t="shared" si="356"/>
        <v>-2118.6868404542415</v>
      </c>
      <c r="AY406">
        <f t="shared" si="364"/>
        <v>-1.8656622233378872</v>
      </c>
      <c r="BA406">
        <f t="shared" si="345"/>
        <v>3.8173635966214339</v>
      </c>
      <c r="BB406">
        <f t="shared" si="357"/>
        <v>11.635270552850825</v>
      </c>
      <c r="BC406">
        <f t="shared" si="358"/>
        <v>-1.0726731219337977</v>
      </c>
      <c r="BD406">
        <f t="shared" si="346"/>
        <v>-241.45964275415642</v>
      </c>
      <c r="BF406">
        <f t="shared" si="347"/>
        <v>-46.318283730403621</v>
      </c>
      <c r="BG406">
        <f t="shared" si="348"/>
        <v>-224.51614909201558</v>
      </c>
      <c r="BH406">
        <f t="shared" si="359"/>
        <v>-44.516149092015581</v>
      </c>
      <c r="BI406">
        <f t="shared" si="360"/>
        <v>-44.516149092015581</v>
      </c>
      <c r="BJ406">
        <f t="shared" si="349"/>
        <v>0</v>
      </c>
      <c r="BK406">
        <f t="shared" si="361"/>
        <v>0</v>
      </c>
      <c r="BM406">
        <f t="shared" si="362"/>
        <v>-57.953554283254448</v>
      </c>
      <c r="BN406">
        <f t="shared" si="350"/>
        <v>-163.05650633785916</v>
      </c>
      <c r="BQ406" s="66">
        <f t="shared" si="363"/>
        <v>28.537231353135965</v>
      </c>
      <c r="BR406" s="71"/>
      <c r="BS406" s="71"/>
      <c r="BT406" s="71">
        <v>912010.83900000004</v>
      </c>
      <c r="BU406" s="71">
        <v>6.4708399999999999</v>
      </c>
      <c r="BV406" s="71">
        <v>100.33499999999999</v>
      </c>
      <c r="BY406" s="71"/>
      <c r="BZ406" s="71"/>
      <c r="CA406" s="71"/>
      <c r="CC406" s="71"/>
    </row>
    <row r="407" spans="1:81" ht="13" x14ac:dyDescent="0.3">
      <c r="A407">
        <f t="shared" si="319"/>
        <v>965000</v>
      </c>
      <c r="B407">
        <f t="shared" si="351"/>
        <v>965</v>
      </c>
      <c r="C407">
        <f t="shared" si="320"/>
        <v>1.0449441245224567</v>
      </c>
      <c r="D407">
        <f t="shared" si="321"/>
        <v>0.2943567298053546</v>
      </c>
      <c r="F407">
        <f t="shared" si="322"/>
        <v>7.9949259888355373E-5</v>
      </c>
      <c r="G407">
        <f t="shared" si="323"/>
        <v>2.7877052268558944E-3</v>
      </c>
      <c r="H407">
        <f t="shared" si="324"/>
        <v>-3.1388049447731445</v>
      </c>
      <c r="J407">
        <f t="shared" si="325"/>
        <v>15</v>
      </c>
      <c r="M407">
        <f t="shared" si="326"/>
        <v>1.1382153371720099E-3</v>
      </c>
      <c r="N407">
        <f t="shared" si="327"/>
        <v>-1.5707963250000001</v>
      </c>
      <c r="O407">
        <f t="shared" si="328"/>
        <v>332.31741581412666</v>
      </c>
      <c r="P407">
        <f t="shared" si="329"/>
        <v>1.5677871510442321</v>
      </c>
      <c r="Q407">
        <f t="shared" si="330"/>
        <v>127.64250064710073</v>
      </c>
      <c r="R407">
        <f t="shared" si="331"/>
        <v>1.5629618655080928</v>
      </c>
      <c r="S407">
        <f t="shared" si="332"/>
        <v>0.95520235151346811</v>
      </c>
      <c r="T407">
        <f t="shared" si="333"/>
        <v>-0.30045357083778274</v>
      </c>
      <c r="U407">
        <f t="shared" si="334"/>
        <v>0.20329773073388052</v>
      </c>
      <c r="V407">
        <f t="shared" si="335"/>
        <v>-1.3660715103339167</v>
      </c>
      <c r="X407">
        <f t="shared" si="352"/>
        <v>-38.600009434893131</v>
      </c>
      <c r="Y407">
        <f t="shared" si="336"/>
        <v>-169.08102609219227</v>
      </c>
      <c r="Z407">
        <f t="shared" si="353"/>
        <v>10.918973907807725</v>
      </c>
      <c r="AC407">
        <v>1</v>
      </c>
      <c r="AD407">
        <f t="shared" si="337"/>
        <v>332.31591122511605</v>
      </c>
      <c r="AE407">
        <f t="shared" si="338"/>
        <v>-0.20149223626729526</v>
      </c>
      <c r="AF407">
        <f t="shared" si="339"/>
        <v>4.1836589320050001E-2</v>
      </c>
      <c r="AG407">
        <f t="shared" si="315"/>
        <v>323.5338662659729</v>
      </c>
      <c r="AH407">
        <f t="shared" si="316"/>
        <v>-1582.0974725206354</v>
      </c>
      <c r="AJ407">
        <f t="shared" si="340"/>
        <v>21000</v>
      </c>
      <c r="AK407">
        <f t="shared" si="341"/>
        <v>6506.4991303399511</v>
      </c>
      <c r="AL407">
        <v>1</v>
      </c>
      <c r="AM407">
        <f t="shared" si="342"/>
        <v>127.63858339642096</v>
      </c>
      <c r="AN407">
        <f t="shared" si="317"/>
        <v>52.261757808140061</v>
      </c>
      <c r="AO407">
        <f t="shared" si="318"/>
        <v>-164.11760209788761</v>
      </c>
      <c r="AQ407">
        <f t="shared" si="343"/>
        <v>2.6846351084230157E-3</v>
      </c>
      <c r="AR407">
        <f t="shared" si="344"/>
        <v>-5.1813457592564207</v>
      </c>
      <c r="AT407">
        <f t="shared" si="365"/>
        <v>-8196.5254595989536</v>
      </c>
      <c r="AU407">
        <f t="shared" si="366"/>
        <v>-1680.5881803727088</v>
      </c>
      <c r="AV407">
        <f t="shared" si="354"/>
        <v>-2.9393588782108186</v>
      </c>
      <c r="AW407">
        <f t="shared" si="355"/>
        <v>-636.24184376773121</v>
      </c>
      <c r="AX407">
        <f t="shared" si="356"/>
        <v>-2107.9624391967004</v>
      </c>
      <c r="AY407">
        <f t="shared" si="364"/>
        <v>-1.8639292347882295</v>
      </c>
      <c r="BA407">
        <f t="shared" si="345"/>
        <v>3.7999408235563261</v>
      </c>
      <c r="BB407">
        <f t="shared" si="357"/>
        <v>11.595536668109581</v>
      </c>
      <c r="BC407">
        <f t="shared" si="358"/>
        <v>-1.0754296434225892</v>
      </c>
      <c r="BD407">
        <f t="shared" si="346"/>
        <v>-241.61757980178174</v>
      </c>
      <c r="BF407">
        <f t="shared" si="347"/>
        <v>-46.444487828763926</v>
      </c>
      <c r="BG407">
        <f t="shared" si="348"/>
        <v>-224.59245774918278</v>
      </c>
      <c r="BH407">
        <f t="shared" si="359"/>
        <v>-44.592457749182785</v>
      </c>
      <c r="BI407">
        <f t="shared" si="360"/>
        <v>-44.592457749182785</v>
      </c>
      <c r="BJ407">
        <f t="shared" si="349"/>
        <v>0</v>
      </c>
      <c r="BK407">
        <f t="shared" si="361"/>
        <v>0</v>
      </c>
      <c r="BM407">
        <f t="shared" si="362"/>
        <v>-58.0400244968735</v>
      </c>
      <c r="BN407">
        <f t="shared" si="350"/>
        <v>-162.97487794740101</v>
      </c>
      <c r="BQ407" s="66">
        <f t="shared" si="363"/>
        <v>28.497497468394716</v>
      </c>
      <c r="BR407" s="71"/>
      <c r="BS407" s="71"/>
      <c r="BT407" s="71">
        <v>933254.30099999998</v>
      </c>
      <c r="BU407" s="71">
        <v>6.2453099999999999</v>
      </c>
      <c r="BV407" s="71">
        <v>100.20399999999999</v>
      </c>
      <c r="BY407" s="71"/>
      <c r="BZ407" s="71"/>
      <c r="CA407" s="71"/>
      <c r="CC407" s="71"/>
    </row>
    <row r="408" spans="1:81" ht="13" x14ac:dyDescent="0.3">
      <c r="A408">
        <f t="shared" si="319"/>
        <v>970000</v>
      </c>
      <c r="B408">
        <f t="shared" si="351"/>
        <v>970</v>
      </c>
      <c r="C408">
        <f t="shared" si="320"/>
        <v>1.04540093150792</v>
      </c>
      <c r="D408">
        <f t="shared" si="321"/>
        <v>0.29579468076533483</v>
      </c>
      <c r="F408">
        <f t="shared" si="322"/>
        <v>7.9127102516766902E-5</v>
      </c>
      <c r="G408">
        <f t="shared" si="323"/>
        <v>2.7733333856957152E-3</v>
      </c>
      <c r="H408">
        <f t="shared" si="324"/>
        <v>-3.1388193166143044</v>
      </c>
      <c r="J408">
        <f t="shared" si="325"/>
        <v>15</v>
      </c>
      <c r="M408">
        <f t="shared" si="326"/>
        <v>1.1323482478051438E-3</v>
      </c>
      <c r="N408">
        <f t="shared" si="327"/>
        <v>-1.5707963250000001</v>
      </c>
      <c r="O408">
        <f t="shared" si="328"/>
        <v>334.03925215816014</v>
      </c>
      <c r="P408">
        <f t="shared" si="329"/>
        <v>1.5678026621665271</v>
      </c>
      <c r="Q408">
        <f t="shared" si="330"/>
        <v>128.30382026604599</v>
      </c>
      <c r="R408">
        <f t="shared" si="331"/>
        <v>1.5630022476894601</v>
      </c>
      <c r="S408">
        <f t="shared" si="332"/>
        <v>0.95476802896285862</v>
      </c>
      <c r="T408">
        <f t="shared" si="333"/>
        <v>-0.30191764871511201</v>
      </c>
      <c r="U408">
        <f t="shared" si="334"/>
        <v>0.20229279445403173</v>
      </c>
      <c r="V408">
        <f t="shared" si="335"/>
        <v>-1.3670977711726366</v>
      </c>
      <c r="X408">
        <f t="shared" si="352"/>
        <v>-38.688104213196738</v>
      </c>
      <c r="Y408">
        <f t="shared" si="336"/>
        <v>-169.13894446453185</v>
      </c>
      <c r="Z408">
        <f t="shared" si="353"/>
        <v>10.861055535468154</v>
      </c>
      <c r="AC408">
        <v>1</v>
      </c>
      <c r="AD408">
        <f t="shared" si="337"/>
        <v>334.03775532472804</v>
      </c>
      <c r="AE408">
        <f t="shared" si="338"/>
        <v>-0.2035856480484288</v>
      </c>
      <c r="AF408">
        <f t="shared" si="339"/>
        <v>4.2053359212900002E-2</v>
      </c>
      <c r="AG408">
        <f t="shared" si="315"/>
        <v>320.34320270798628</v>
      </c>
      <c r="AH408">
        <f t="shared" si="316"/>
        <v>-1574.6014054663726</v>
      </c>
      <c r="AJ408">
        <f t="shared" si="340"/>
        <v>21000</v>
      </c>
      <c r="AK408">
        <f t="shared" si="341"/>
        <v>6540.2115610670999</v>
      </c>
      <c r="AL408">
        <v>1</v>
      </c>
      <c r="AM408">
        <f t="shared" si="342"/>
        <v>128.2999232067651</v>
      </c>
      <c r="AN408">
        <f t="shared" si="317"/>
        <v>52.248537112418411</v>
      </c>
      <c r="AO408">
        <f t="shared" si="318"/>
        <v>-163.27173812199936</v>
      </c>
      <c r="AQ408">
        <f t="shared" si="343"/>
        <v>2.6570297967292494E-3</v>
      </c>
      <c r="AR408">
        <f t="shared" si="344"/>
        <v>-5.1546378056547439</v>
      </c>
      <c r="AT408">
        <f t="shared" si="365"/>
        <v>-8115.6487720192845</v>
      </c>
      <c r="AU408">
        <f t="shared" si="366"/>
        <v>-1655.4369463154032</v>
      </c>
      <c r="AV408">
        <f t="shared" si="354"/>
        <v>-2.9403722987240304</v>
      </c>
      <c r="AW408">
        <f t="shared" si="355"/>
        <v>-629.1097379145632</v>
      </c>
      <c r="AX408">
        <f t="shared" si="356"/>
        <v>-2097.344987133004</v>
      </c>
      <c r="AY408">
        <f t="shared" si="364"/>
        <v>-1.8622121085737053</v>
      </c>
      <c r="BA408">
        <f t="shared" si="345"/>
        <v>3.7826630546693996</v>
      </c>
      <c r="BB408">
        <f t="shared" si="357"/>
        <v>11.555953154086406</v>
      </c>
      <c r="BC408">
        <f t="shared" si="358"/>
        <v>-1.078160190150325</v>
      </c>
      <c r="BD408">
        <f t="shared" si="346"/>
        <v>-241.77402860522307</v>
      </c>
      <c r="BF408">
        <f t="shared" si="347"/>
        <v>-46.570058750272487</v>
      </c>
      <c r="BG408">
        <f t="shared" si="348"/>
        <v>-224.66734147721954</v>
      </c>
      <c r="BH408">
        <f t="shared" si="359"/>
        <v>-44.667341477219537</v>
      </c>
      <c r="BI408">
        <f t="shared" si="360"/>
        <v>-44.667341477219537</v>
      </c>
      <c r="BJ408">
        <f t="shared" si="349"/>
        <v>0</v>
      </c>
      <c r="BK408">
        <f t="shared" si="361"/>
        <v>0</v>
      </c>
      <c r="BM408">
        <f t="shared" si="362"/>
        <v>-58.12601190435889</v>
      </c>
      <c r="BN408">
        <f t="shared" si="350"/>
        <v>-162.89331287199647</v>
      </c>
      <c r="BQ408" s="66">
        <f t="shared" si="363"/>
        <v>28.457913954371541</v>
      </c>
      <c r="BR408" s="71"/>
      <c r="BS408" s="71"/>
      <c r="BT408" s="71">
        <v>954992.58600000001</v>
      </c>
      <c r="BU408" s="71">
        <v>6.1328699999999996</v>
      </c>
      <c r="BV408" s="71">
        <v>99.956599999999995</v>
      </c>
      <c r="BY408" s="71"/>
      <c r="BZ408" s="71"/>
      <c r="CA408" s="71"/>
      <c r="CC408" s="71"/>
    </row>
    <row r="409" spans="1:81" ht="13" x14ac:dyDescent="0.3">
      <c r="A409">
        <f t="shared" si="319"/>
        <v>975000</v>
      </c>
      <c r="B409">
        <f t="shared" si="351"/>
        <v>975</v>
      </c>
      <c r="C409">
        <f t="shared" si="320"/>
        <v>1.0458598981811278</v>
      </c>
      <c r="D409">
        <f t="shared" si="321"/>
        <v>0.29723137262883348</v>
      </c>
      <c r="F409">
        <f t="shared" si="322"/>
        <v>7.8317562528456869E-5</v>
      </c>
      <c r="G409">
        <f t="shared" si="323"/>
        <v>2.7591089820300594E-3</v>
      </c>
      <c r="H409">
        <f t="shared" si="324"/>
        <v>-3.13883354101797</v>
      </c>
      <c r="J409">
        <f t="shared" si="325"/>
        <v>15</v>
      </c>
      <c r="M409">
        <f t="shared" si="326"/>
        <v>1.1265413337138352E-3</v>
      </c>
      <c r="N409">
        <f t="shared" si="327"/>
        <v>-1.5707963250000001</v>
      </c>
      <c r="O409">
        <f t="shared" si="328"/>
        <v>335.76108858173734</v>
      </c>
      <c r="P409">
        <f t="shared" si="329"/>
        <v>1.5678180142018068</v>
      </c>
      <c r="Q409">
        <f t="shared" si="330"/>
        <v>128.96514009207309</v>
      </c>
      <c r="R409">
        <f t="shared" si="331"/>
        <v>1.5630422157196393</v>
      </c>
      <c r="S409">
        <f t="shared" si="332"/>
        <v>0.95433205835556878</v>
      </c>
      <c r="T409">
        <f t="shared" si="333"/>
        <v>-0.30338039265742067</v>
      </c>
      <c r="U409">
        <f t="shared" si="334"/>
        <v>0.2012975355660957</v>
      </c>
      <c r="V409">
        <f t="shared" si="335"/>
        <v>-1.3681139348859579</v>
      </c>
      <c r="X409">
        <f t="shared" si="352"/>
        <v>-38.775765339030485</v>
      </c>
      <c r="Y409">
        <f t="shared" si="336"/>
        <v>-169.19630442285137</v>
      </c>
      <c r="Z409">
        <f t="shared" si="353"/>
        <v>10.80369557714863</v>
      </c>
      <c r="AC409">
        <v>1</v>
      </c>
      <c r="AD409">
        <f t="shared" si="337"/>
        <v>335.75959942434002</v>
      </c>
      <c r="AE409">
        <f t="shared" si="338"/>
        <v>-0.20568987849509793</v>
      </c>
      <c r="AF409">
        <f t="shared" si="339"/>
        <v>4.2270129105750003E-2</v>
      </c>
      <c r="AG409">
        <f t="shared" si="315"/>
        <v>317.19884821389525</v>
      </c>
      <c r="AH409">
        <f t="shared" si="316"/>
        <v>-1567.1727044450845</v>
      </c>
      <c r="AJ409">
        <f t="shared" si="340"/>
        <v>21000</v>
      </c>
      <c r="AK409">
        <f t="shared" si="341"/>
        <v>6573.9239917942505</v>
      </c>
      <c r="AL409">
        <v>1</v>
      </c>
      <c r="AM409">
        <f t="shared" si="342"/>
        <v>128.96126301710925</v>
      </c>
      <c r="AN409">
        <f t="shared" si="317"/>
        <v>52.235519273734177</v>
      </c>
      <c r="AO409">
        <f t="shared" si="318"/>
        <v>-162.43454810106141</v>
      </c>
      <c r="AQ409">
        <f t="shared" si="343"/>
        <v>2.6298480920846569E-3</v>
      </c>
      <c r="AR409">
        <f t="shared" si="344"/>
        <v>-5.128203779565081</v>
      </c>
      <c r="AT409">
        <f t="shared" si="365"/>
        <v>-8035.9468013807254</v>
      </c>
      <c r="AU409">
        <f t="shared" si="366"/>
        <v>-1630.7817584309403</v>
      </c>
      <c r="AV409">
        <f t="shared" si="354"/>
        <v>-2.9413757538060783</v>
      </c>
      <c r="AW409">
        <f t="shared" si="355"/>
        <v>-622.08835353106008</v>
      </c>
      <c r="AX409">
        <f t="shared" si="356"/>
        <v>-2086.8329058170748</v>
      </c>
      <c r="AY409">
        <f t="shared" si="364"/>
        <v>-1.860510616355419</v>
      </c>
      <c r="BA409">
        <f t="shared" si="345"/>
        <v>3.7655287164848463</v>
      </c>
      <c r="BB409">
        <f t="shared" si="357"/>
        <v>11.516519278892531</v>
      </c>
      <c r="BC409">
        <f t="shared" si="358"/>
        <v>-1.0808651374506593</v>
      </c>
      <c r="BD409">
        <f t="shared" si="346"/>
        <v>-241.92901066951461</v>
      </c>
      <c r="BF409">
        <f t="shared" si="347"/>
        <v>-46.695002070327895</v>
      </c>
      <c r="BG409">
        <f t="shared" si="348"/>
        <v>-224.74082215947479</v>
      </c>
      <c r="BH409">
        <f t="shared" si="359"/>
        <v>-44.740822159474789</v>
      </c>
      <c r="BI409">
        <f t="shared" si="360"/>
        <v>-44.740822159474789</v>
      </c>
      <c r="BJ409">
        <f t="shared" si="349"/>
        <v>0</v>
      </c>
      <c r="BK409">
        <f t="shared" si="361"/>
        <v>0</v>
      </c>
      <c r="BM409">
        <f t="shared" si="362"/>
        <v>-58.211521349220433</v>
      </c>
      <c r="BN409">
        <f t="shared" si="350"/>
        <v>-162.81181148996021</v>
      </c>
      <c r="BQ409" s="66">
        <f t="shared" si="363"/>
        <v>28.418480079177669</v>
      </c>
      <c r="BR409" s="71"/>
      <c r="BS409" s="71"/>
      <c r="BT409" s="71">
        <v>977237.22100000002</v>
      </c>
      <c r="BU409" s="71">
        <v>5.7547600000000001</v>
      </c>
      <c r="BV409" s="71">
        <v>98.699600000000004</v>
      </c>
      <c r="BY409" s="71"/>
      <c r="BZ409" s="71"/>
      <c r="CA409" s="71"/>
      <c r="CC409" s="71"/>
    </row>
    <row r="410" spans="1:81" ht="13" x14ac:dyDescent="0.3">
      <c r="A410">
        <f t="shared" si="319"/>
        <v>980000</v>
      </c>
      <c r="B410">
        <f t="shared" si="351"/>
        <v>980</v>
      </c>
      <c r="C410">
        <f t="shared" si="320"/>
        <v>1.046321021700052</v>
      </c>
      <c r="D410">
        <f t="shared" si="321"/>
        <v>0.29866680112576149</v>
      </c>
      <c r="F410">
        <f t="shared" si="322"/>
        <v>7.7520383051784129E-5</v>
      </c>
      <c r="G410">
        <f t="shared" si="323"/>
        <v>2.7450297584740166E-3</v>
      </c>
      <c r="H410">
        <f t="shared" si="324"/>
        <v>-3.1388476202415263</v>
      </c>
      <c r="J410">
        <f t="shared" si="325"/>
        <v>15</v>
      </c>
      <c r="M410">
        <f t="shared" si="326"/>
        <v>1.1207936738479483E-3</v>
      </c>
      <c r="N410">
        <f t="shared" si="327"/>
        <v>-1.5707963250000001</v>
      </c>
      <c r="O410">
        <f t="shared" si="328"/>
        <v>337.48292508364096</v>
      </c>
      <c r="P410">
        <f t="shared" si="329"/>
        <v>1.5678332095850478</v>
      </c>
      <c r="Q410">
        <f t="shared" si="330"/>
        <v>129.62646012201265</v>
      </c>
      <c r="R410">
        <f t="shared" si="331"/>
        <v>1.5630817759371725</v>
      </c>
      <c r="S410">
        <f t="shared" si="332"/>
        <v>0.95389444754120167</v>
      </c>
      <c r="T410">
        <f t="shared" si="333"/>
        <v>-0.30484179823605989</v>
      </c>
      <c r="U410">
        <f t="shared" si="334"/>
        <v>0.2003118180556219</v>
      </c>
      <c r="V410">
        <f t="shared" si="335"/>
        <v>-1.3691201476911354</v>
      </c>
      <c r="X410">
        <f t="shared" si="352"/>
        <v>-38.862996991776541</v>
      </c>
      <c r="Y410">
        <f t="shared" si="336"/>
        <v>-169.25311396235062</v>
      </c>
      <c r="Z410">
        <f t="shared" si="353"/>
        <v>10.746886037649375</v>
      </c>
      <c r="AC410">
        <v>1</v>
      </c>
      <c r="AD410">
        <f t="shared" si="337"/>
        <v>337.48144352395201</v>
      </c>
      <c r="AE410">
        <f t="shared" si="338"/>
        <v>-0.20780492760730263</v>
      </c>
      <c r="AF410">
        <f t="shared" si="339"/>
        <v>4.2486898998600003E-2</v>
      </c>
      <c r="AG410">
        <f t="shared" si="315"/>
        <v>314.09992385050322</v>
      </c>
      <c r="AH410">
        <f t="shared" si="316"/>
        <v>-1559.8105180469117</v>
      </c>
      <c r="AJ410">
        <f t="shared" si="340"/>
        <v>21000</v>
      </c>
      <c r="AK410">
        <f t="shared" si="341"/>
        <v>6607.6364225214002</v>
      </c>
      <c r="AL410">
        <v>1</v>
      </c>
      <c r="AM410">
        <f t="shared" si="342"/>
        <v>129.62260282745339</v>
      </c>
      <c r="AN410">
        <f t="shared" si="317"/>
        <v>52.222700163138683</v>
      </c>
      <c r="AO410">
        <f t="shared" si="318"/>
        <v>-161.6058993023108</v>
      </c>
      <c r="AQ410">
        <f t="shared" si="343"/>
        <v>2.6030813715427498E-3</v>
      </c>
      <c r="AR410">
        <f t="shared" si="344"/>
        <v>-5.1020394882237898</v>
      </c>
      <c r="AT410">
        <f t="shared" si="365"/>
        <v>-7957.3972295615722</v>
      </c>
      <c r="AU410">
        <f t="shared" si="366"/>
        <v>-1606.6105284360171</v>
      </c>
      <c r="AV410">
        <f t="shared" si="354"/>
        <v>-2.942369387658518</v>
      </c>
      <c r="AW410">
        <f t="shared" si="355"/>
        <v>-615.17540606247553</v>
      </c>
      <c r="AX410">
        <f t="shared" si="356"/>
        <v>-2076.4246475091804</v>
      </c>
      <c r="AY410">
        <f t="shared" si="364"/>
        <v>-1.8588245340330778</v>
      </c>
      <c r="BA410">
        <f t="shared" si="345"/>
        <v>3.7485362523922374</v>
      </c>
      <c r="BB410">
        <f t="shared" si="357"/>
        <v>11.477234305978346</v>
      </c>
      <c r="BC410">
        <f t="shared" si="358"/>
        <v>-1.0835448536254402</v>
      </c>
      <c r="BD410">
        <f t="shared" si="346"/>
        <v>-242.08254709679792</v>
      </c>
      <c r="BF410">
        <f t="shared" si="347"/>
        <v>-46.819323295442608</v>
      </c>
      <c r="BG410">
        <f t="shared" si="348"/>
        <v>-224.8129212720869</v>
      </c>
      <c r="BH410">
        <f t="shared" si="359"/>
        <v>-44.812921272086896</v>
      </c>
      <c r="BI410">
        <f t="shared" si="360"/>
        <v>-44.812921272086896</v>
      </c>
      <c r="BJ410">
        <f t="shared" si="349"/>
        <v>0</v>
      </c>
      <c r="BK410">
        <f t="shared" si="361"/>
        <v>0</v>
      </c>
      <c r="BM410">
        <f t="shared" si="362"/>
        <v>-58.296557601420957</v>
      </c>
      <c r="BN410">
        <f t="shared" si="350"/>
        <v>-162.73037417528897</v>
      </c>
      <c r="BQ410" s="66">
        <f t="shared" si="363"/>
        <v>28.379195106263481</v>
      </c>
    </row>
    <row r="411" spans="1:81" ht="13" x14ac:dyDescent="0.3">
      <c r="A411">
        <f t="shared" si="319"/>
        <v>985000</v>
      </c>
      <c r="B411">
        <f t="shared" si="351"/>
        <v>985</v>
      </c>
      <c r="C411">
        <f t="shared" si="320"/>
        <v>1.0467842992143279</v>
      </c>
      <c r="D411">
        <f t="shared" si="321"/>
        <v>0.30010096201436104</v>
      </c>
      <c r="F411">
        <f t="shared" si="322"/>
        <v>7.6735313719068481E-5</v>
      </c>
      <c r="G411">
        <f t="shared" si="323"/>
        <v>2.7310935034952494E-3</v>
      </c>
      <c r="H411">
        <f t="shared" si="324"/>
        <v>-3.1388615564965048</v>
      </c>
      <c r="J411">
        <f t="shared" si="325"/>
        <v>15</v>
      </c>
      <c r="M411">
        <f t="shared" si="326"/>
        <v>1.1151043658588725E-3</v>
      </c>
      <c r="N411">
        <f t="shared" si="327"/>
        <v>-1.5707963250000001</v>
      </c>
      <c r="O411">
        <f t="shared" si="328"/>
        <v>339.20476166267815</v>
      </c>
      <c r="P411">
        <f t="shared" si="329"/>
        <v>1.5678482507017864</v>
      </c>
      <c r="Q411">
        <f t="shared" si="330"/>
        <v>130.2877803527596</v>
      </c>
      <c r="R411">
        <f t="shared" si="331"/>
        <v>1.5631209345519126</v>
      </c>
      <c r="S411">
        <f t="shared" si="332"/>
        <v>0.95345520437884546</v>
      </c>
      <c r="T411">
        <f t="shared" si="333"/>
        <v>-0.30630186105334778</v>
      </c>
      <c r="U411">
        <f t="shared" si="334"/>
        <v>0.19933550838326355</v>
      </c>
      <c r="V411">
        <f t="shared" si="335"/>
        <v>-1.3701165530362938</v>
      </c>
      <c r="X411">
        <f t="shared" si="352"/>
        <v>-38.949803291827543</v>
      </c>
      <c r="Y411">
        <f t="shared" si="336"/>
        <v>-169.30938092729988</v>
      </c>
      <c r="Z411">
        <f t="shared" si="353"/>
        <v>10.690619072700116</v>
      </c>
      <c r="AC411">
        <v>1</v>
      </c>
      <c r="AD411">
        <f t="shared" si="337"/>
        <v>339.20328762356405</v>
      </c>
      <c r="AE411">
        <f t="shared" si="338"/>
        <v>-0.20993079538504289</v>
      </c>
      <c r="AF411">
        <f t="shared" si="339"/>
        <v>4.2703668891449997E-2</v>
      </c>
      <c r="AG411">
        <f t="shared" si="315"/>
        <v>311.04557112199734</v>
      </c>
      <c r="AH411">
        <f t="shared" si="316"/>
        <v>-1552.5140079921759</v>
      </c>
      <c r="AJ411">
        <f t="shared" si="340"/>
        <v>21000</v>
      </c>
      <c r="AK411">
        <f t="shared" si="341"/>
        <v>6641.3488532485508</v>
      </c>
      <c r="AL411">
        <v>1</v>
      </c>
      <c r="AM411">
        <f t="shared" si="342"/>
        <v>130.28394263779757</v>
      </c>
      <c r="AN411">
        <f t="shared" si="317"/>
        <v>52.210075756199906</v>
      </c>
      <c r="AO411">
        <f t="shared" si="318"/>
        <v>-160.78566168726377</v>
      </c>
      <c r="AQ411">
        <f t="shared" si="343"/>
        <v>2.5767212304565359E-3</v>
      </c>
      <c r="AR411">
        <f t="shared" si="344"/>
        <v>-5.0761408239993751</v>
      </c>
      <c r="AT411">
        <f t="shared" si="365"/>
        <v>-7879.9782580732262</v>
      </c>
      <c r="AU411">
        <f t="shared" si="366"/>
        <v>-1582.9115175015465</v>
      </c>
      <c r="AV411">
        <f t="shared" si="354"/>
        <v>-2.943353341754702</v>
      </c>
      <c r="AW411">
        <f t="shared" si="355"/>
        <v>-608.36866966353512</v>
      </c>
      <c r="AX411">
        <f t="shared" si="356"/>
        <v>-2066.1186944359929</v>
      </c>
      <c r="AY411">
        <f t="shared" si="364"/>
        <v>-1.8571536416507519</v>
      </c>
      <c r="BA411">
        <f t="shared" si="345"/>
        <v>3.7316841226305462</v>
      </c>
      <c r="BB411">
        <f t="shared" si="357"/>
        <v>11.438097494605676</v>
      </c>
      <c r="BC411">
        <f t="shared" si="358"/>
        <v>-1.0861997001039501</v>
      </c>
      <c r="BD411">
        <f t="shared" si="346"/>
        <v>-242.23465859544552</v>
      </c>
      <c r="BF411">
        <f t="shared" si="347"/>
        <v>-46.943027864268913</v>
      </c>
      <c r="BG411">
        <f t="shared" si="348"/>
        <v>-224.8836598931745</v>
      </c>
      <c r="BH411">
        <f t="shared" si="359"/>
        <v>-44.883659893174496</v>
      </c>
      <c r="BI411">
        <f t="shared" si="360"/>
        <v>-44.883659893174496</v>
      </c>
      <c r="BJ411">
        <f t="shared" si="349"/>
        <v>0</v>
      </c>
      <c r="BK411">
        <f t="shared" si="361"/>
        <v>0</v>
      </c>
      <c r="BM411">
        <f t="shared" si="362"/>
        <v>-58.381125358874584</v>
      </c>
      <c r="BN411">
        <f t="shared" si="350"/>
        <v>-162.64900129772897</v>
      </c>
      <c r="BQ411" s="66">
        <f t="shared" si="363"/>
        <v>28.340058294890813</v>
      </c>
    </row>
    <row r="412" spans="1:81" ht="13" x14ac:dyDescent="0.3">
      <c r="A412">
        <f t="shared" si="319"/>
        <v>990000</v>
      </c>
      <c r="B412">
        <f t="shared" si="351"/>
        <v>990</v>
      </c>
      <c r="C412">
        <f t="shared" si="320"/>
        <v>1.0472497278653321</v>
      </c>
      <c r="D412">
        <f t="shared" si="321"/>
        <v>0.30153385108122044</v>
      </c>
      <c r="F412">
        <f t="shared" si="322"/>
        <v>7.5962110469966578E-5</v>
      </c>
      <c r="G412">
        <f t="shared" si="323"/>
        <v>2.7172980502555774E-3</v>
      </c>
      <c r="H412">
        <f t="shared" si="324"/>
        <v>-3.1388753519497445</v>
      </c>
      <c r="J412">
        <f t="shared" si="325"/>
        <v>15</v>
      </c>
      <c r="M412">
        <f t="shared" si="326"/>
        <v>1.1094725256272622E-3</v>
      </c>
      <c r="N412">
        <f t="shared" si="327"/>
        <v>-1.5707963250000001</v>
      </c>
      <c r="O412">
        <f t="shared" si="328"/>
        <v>340.92659831768032</v>
      </c>
      <c r="P412">
        <f t="shared" si="329"/>
        <v>1.5678631398893665</v>
      </c>
      <c r="Q412">
        <f t="shared" si="330"/>
        <v>130.94910078127154</v>
      </c>
      <c r="R412">
        <f t="shared" si="331"/>
        <v>1.5631596976482742</v>
      </c>
      <c r="S412">
        <f t="shared" si="332"/>
        <v>0.9530143367367383</v>
      </c>
      <c r="T412">
        <f t="shared" si="333"/>
        <v>-0.30776057674257989</v>
      </c>
      <c r="U412">
        <f t="shared" si="334"/>
        <v>0.19836847543028793</v>
      </c>
      <c r="V412">
        <f t="shared" si="335"/>
        <v>-1.3711032916646817</v>
      </c>
      <c r="X412">
        <f t="shared" si="352"/>
        <v>-39.036188301669064</v>
      </c>
      <c r="Y412">
        <f t="shared" si="336"/>
        <v>-169.36511301452973</v>
      </c>
      <c r="Z412">
        <f t="shared" si="353"/>
        <v>10.634886985470274</v>
      </c>
      <c r="AC412">
        <v>1</v>
      </c>
      <c r="AD412">
        <f t="shared" si="337"/>
        <v>340.92513172317604</v>
      </c>
      <c r="AE412">
        <f t="shared" si="338"/>
        <v>-0.21206748182831875</v>
      </c>
      <c r="AF412">
        <f t="shared" si="339"/>
        <v>4.2920438784299998E-2</v>
      </c>
      <c r="AG412">
        <f t="shared" si="315"/>
        <v>308.03495141162335</v>
      </c>
      <c r="AH412">
        <f t="shared" si="316"/>
        <v>-1545.2823489128079</v>
      </c>
      <c r="AJ412">
        <f t="shared" si="340"/>
        <v>21000</v>
      </c>
      <c r="AK412">
        <f t="shared" si="341"/>
        <v>6675.0612839756996</v>
      </c>
      <c r="AL412">
        <v>1</v>
      </c>
      <c r="AM412">
        <f t="shared" si="342"/>
        <v>130.94528244814168</v>
      </c>
      <c r="AN412">
        <f t="shared" si="317"/>
        <v>52.197642129843693</v>
      </c>
      <c r="AO412">
        <f t="shared" si="318"/>
        <v>-159.97370784370275</v>
      </c>
      <c r="AQ412">
        <f t="shared" si="343"/>
        <v>2.5507594758801457E-3</v>
      </c>
      <c r="AR412">
        <f t="shared" si="344"/>
        <v>-5.0505037622426894</v>
      </c>
      <c r="AT412">
        <f t="shared" si="365"/>
        <v>-7803.6685938401415</v>
      </c>
      <c r="AU412">
        <f t="shared" si="366"/>
        <v>-1559.6733246010474</v>
      </c>
      <c r="AV412">
        <f t="shared" si="354"/>
        <v>-2.944327754903</v>
      </c>
      <c r="AW412">
        <f t="shared" si="355"/>
        <v>-601.66597539527891</v>
      </c>
      <c r="AX412">
        <f t="shared" si="356"/>
        <v>-2055.9135580719158</v>
      </c>
      <c r="AY412">
        <f t="shared" si="364"/>
        <v>-1.855497723305009</v>
      </c>
      <c r="BA412">
        <f t="shared" si="345"/>
        <v>3.7149708042601257</v>
      </c>
      <c r="BB412">
        <f t="shared" si="357"/>
        <v>11.399108100297717</v>
      </c>
      <c r="BC412">
        <f t="shared" si="358"/>
        <v>-1.0888300315979911</v>
      </c>
      <c r="BD412">
        <f t="shared" si="346"/>
        <v>-242.38536548894663</v>
      </c>
      <c r="BF412">
        <f t="shared" si="347"/>
        <v>-47.066121148609128</v>
      </c>
      <c r="BG412">
        <f t="shared" si="348"/>
        <v>-224.95305871178832</v>
      </c>
      <c r="BH412">
        <f t="shared" si="359"/>
        <v>-44.953058711788316</v>
      </c>
      <c r="BI412">
        <f t="shared" si="360"/>
        <v>-44.953058711788316</v>
      </c>
      <c r="BJ412">
        <f t="shared" si="349"/>
        <v>0</v>
      </c>
      <c r="BK412">
        <f t="shared" si="361"/>
        <v>0</v>
      </c>
      <c r="BM412">
        <f t="shared" si="362"/>
        <v>-58.465229248906844</v>
      </c>
      <c r="BN412">
        <f t="shared" si="350"/>
        <v>-162.56769322284168</v>
      </c>
      <c r="BQ412" s="66">
        <f t="shared" si="363"/>
        <v>28.301068900582852</v>
      </c>
    </row>
    <row r="413" spans="1:81" ht="13" x14ac:dyDescent="0.3">
      <c r="A413">
        <f t="shared" si="319"/>
        <v>995000</v>
      </c>
      <c r="B413">
        <f t="shared" si="351"/>
        <v>995</v>
      </c>
      <c r="C413">
        <f t="shared" si="320"/>
        <v>1.0477173047862585</v>
      </c>
      <c r="D413">
        <f t="shared" si="321"/>
        <v>0.30296546414128783</v>
      </c>
      <c r="F413">
        <f t="shared" si="322"/>
        <v>7.5200535361748055E-5</v>
      </c>
      <c r="G413">
        <f t="shared" si="323"/>
        <v>2.7036412754875084E-3</v>
      </c>
      <c r="H413">
        <f t="shared" si="324"/>
        <v>-3.1388890087245125</v>
      </c>
      <c r="J413">
        <f t="shared" si="325"/>
        <v>15</v>
      </c>
      <c r="M413">
        <f t="shared" si="326"/>
        <v>1.1038972868050146E-3</v>
      </c>
      <c r="N413">
        <f t="shared" si="327"/>
        <v>-1.5707963250000001</v>
      </c>
      <c r="O413">
        <f t="shared" si="328"/>
        <v>342.64843504750212</v>
      </c>
      <c r="P413">
        <f t="shared" si="329"/>
        <v>1.5678778794381514</v>
      </c>
      <c r="Q413">
        <f t="shared" si="330"/>
        <v>131.61042140456729</v>
      </c>
      <c r="R413">
        <f t="shared" si="331"/>
        <v>1.5631980711883831</v>
      </c>
      <c r="S413">
        <f t="shared" si="332"/>
        <v>0.95257185249193654</v>
      </c>
      <c r="T413">
        <f t="shared" si="333"/>
        <v>-0.30921794096803762</v>
      </c>
      <c r="U413">
        <f t="shared" si="334"/>
        <v>0.19741059044547282</v>
      </c>
      <c r="V413">
        <f t="shared" si="335"/>
        <v>-1.3720805016771764</v>
      </c>
      <c r="X413">
        <f t="shared" si="352"/>
        <v>-39.122156026937787</v>
      </c>
      <c r="Y413">
        <f t="shared" si="336"/>
        <v>-169.42031777682658</v>
      </c>
      <c r="Z413">
        <f t="shared" si="353"/>
        <v>10.579682223173421</v>
      </c>
      <c r="AC413">
        <v>1</v>
      </c>
      <c r="AD413">
        <f t="shared" si="337"/>
        <v>342.64697582278802</v>
      </c>
      <c r="AE413">
        <f t="shared" si="338"/>
        <v>-0.21421498693713018</v>
      </c>
      <c r="AF413">
        <f t="shared" si="339"/>
        <v>4.3137208677150006E-2</v>
      </c>
      <c r="AG413">
        <f t="shared" si="315"/>
        <v>305.06724544075649</v>
      </c>
      <c r="AH413">
        <f t="shared" si="316"/>
        <v>-1538.1147281368685</v>
      </c>
      <c r="AJ413">
        <f t="shared" si="340"/>
        <v>21000</v>
      </c>
      <c r="AK413">
        <f t="shared" si="341"/>
        <v>6708.7737147028502</v>
      </c>
      <c r="AL413">
        <v>1</v>
      </c>
      <c r="AM413">
        <f t="shared" si="342"/>
        <v>131.60662225848586</v>
      </c>
      <c r="AN413">
        <f t="shared" si="317"/>
        <v>52.185395459305802</v>
      </c>
      <c r="AO413">
        <f t="shared" si="318"/>
        <v>-159.16991291971252</v>
      </c>
      <c r="AQ413">
        <f t="shared" si="343"/>
        <v>2.5251881202019849E-3</v>
      </c>
      <c r="AR413">
        <f t="shared" si="344"/>
        <v>-5.0251243592019499</v>
      </c>
      <c r="AT413">
        <f t="shared" si="365"/>
        <v>-7728.4474354238137</v>
      </c>
      <c r="AU413">
        <f t="shared" si="366"/>
        <v>-1536.8848752979843</v>
      </c>
      <c r="AV413">
        <f t="shared" si="354"/>
        <v>-2.9452927633083021</v>
      </c>
      <c r="AW413">
        <f t="shared" si="355"/>
        <v>-595.06520948622017</v>
      </c>
      <c r="AX413">
        <f t="shared" si="356"/>
        <v>-2045.8077784409686</v>
      </c>
      <c r="AY413">
        <f t="shared" si="364"/>
        <v>-1.8538565670553562</v>
      </c>
      <c r="BA413">
        <f t="shared" si="345"/>
        <v>3.6983947911234609</v>
      </c>
      <c r="BB413">
        <f t="shared" si="357"/>
        <v>11.360265375267547</v>
      </c>
      <c r="BC413">
        <f t="shared" si="358"/>
        <v>-1.091436196252946</v>
      </c>
      <c r="BD413">
        <f t="shared" si="346"/>
        <v>-242.53468772456233</v>
      </c>
      <c r="BF413">
        <f t="shared" si="347"/>
        <v>-47.188608454410499</v>
      </c>
      <c r="BG413">
        <f t="shared" si="348"/>
        <v>-225.02113803662945</v>
      </c>
      <c r="BH413">
        <f t="shared" si="359"/>
        <v>-45.021138036629452</v>
      </c>
      <c r="BI413">
        <f t="shared" si="360"/>
        <v>-45.021138036629452</v>
      </c>
      <c r="BJ413">
        <f t="shared" si="349"/>
        <v>0</v>
      </c>
      <c r="BK413">
        <f t="shared" si="361"/>
        <v>0</v>
      </c>
      <c r="BM413">
        <f t="shared" si="362"/>
        <v>-58.548873829678044</v>
      </c>
      <c r="BN413">
        <f t="shared" si="350"/>
        <v>-162.48645031206715</v>
      </c>
      <c r="BQ413" s="66">
        <f t="shared" si="363"/>
        <v>28.262226175552684</v>
      </c>
    </row>
    <row r="414" spans="1:81" ht="13" x14ac:dyDescent="0.3">
      <c r="A414">
        <f t="shared" si="319"/>
        <v>1000000</v>
      </c>
      <c r="B414">
        <f t="shared" si="351"/>
        <v>1000</v>
      </c>
      <c r="C414">
        <f t="shared" si="320"/>
        <v>1.0481870271021962</v>
      </c>
      <c r="D414">
        <f t="shared" si="321"/>
        <v>0.30439579703788294</v>
      </c>
      <c r="F414">
        <f t="shared" si="322"/>
        <v>7.4450356386196725E-5</v>
      </c>
      <c r="G414">
        <f t="shared" si="323"/>
        <v>2.6901210984044887E-3</v>
      </c>
      <c r="H414">
        <f t="shared" si="324"/>
        <v>-3.1389025289015957</v>
      </c>
      <c r="J414">
        <f t="shared" si="325"/>
        <v>15</v>
      </c>
      <c r="M414">
        <f t="shared" si="326"/>
        <v>1.0983778003709895E-3</v>
      </c>
      <c r="N414">
        <f t="shared" si="327"/>
        <v>-1.5707963250000001</v>
      </c>
      <c r="O414">
        <f t="shared" si="328"/>
        <v>344.37027185102136</v>
      </c>
      <c r="P414">
        <f t="shared" si="329"/>
        <v>1.5678924715926978</v>
      </c>
      <c r="Q414">
        <f t="shared" si="330"/>
        <v>132.2717422197253</v>
      </c>
      <c r="R414">
        <f t="shared" si="331"/>
        <v>1.5632360610151346</v>
      </c>
      <c r="S414">
        <f t="shared" si="332"/>
        <v>0.95212775952998341</v>
      </c>
      <c r="T414">
        <f t="shared" si="333"/>
        <v>-0.31067394942499543</v>
      </c>
      <c r="U414">
        <f t="shared" si="334"/>
        <v>0.19646172699334938</v>
      </c>
      <c r="V414">
        <f t="shared" si="335"/>
        <v>-1.3730483185930897</v>
      </c>
      <c r="X414">
        <f t="shared" si="352"/>
        <v>-39.207710417456113</v>
      </c>
      <c r="Y414">
        <f t="shared" si="336"/>
        <v>-169.47500262623601</v>
      </c>
      <c r="Z414">
        <f t="shared" si="353"/>
        <v>10.524997373763995</v>
      </c>
      <c r="AC414">
        <v>1</v>
      </c>
      <c r="AD414">
        <f t="shared" si="337"/>
        <v>344.36881992240001</v>
      </c>
      <c r="AE414">
        <f t="shared" si="338"/>
        <v>-0.21637331071147717</v>
      </c>
      <c r="AF414">
        <f t="shared" si="339"/>
        <v>4.335397857E-2</v>
      </c>
      <c r="AG414">
        <f t="shared" si="315"/>
        <v>302.1416527447625</v>
      </c>
      <c r="AH414">
        <f t="shared" si="316"/>
        <v>-1531.01034547616</v>
      </c>
      <c r="AJ414">
        <f t="shared" si="340"/>
        <v>21000</v>
      </c>
      <c r="AK414">
        <f t="shared" si="341"/>
        <v>6742.4861454299999</v>
      </c>
      <c r="AL414">
        <v>1</v>
      </c>
      <c r="AM414">
        <f t="shared" si="342"/>
        <v>132.26796206883</v>
      </c>
      <c r="AN414">
        <f t="shared" si="317"/>
        <v>52.173332015190525</v>
      </c>
      <c r="AO414">
        <f t="shared" si="318"/>
        <v>-158.37415455969537</v>
      </c>
      <c r="AQ414">
        <f t="shared" si="343"/>
        <v>2.4999993750001561E-3</v>
      </c>
      <c r="AR414">
        <f t="shared" si="344"/>
        <v>-4.9999987500003122</v>
      </c>
      <c r="AT414">
        <f t="shared" si="365"/>
        <v>-7654.2944596753223</v>
      </c>
      <c r="AU414">
        <f t="shared" si="366"/>
        <v>-1514.5354109536502</v>
      </c>
      <c r="AV414">
        <f t="shared" si="354"/>
        <v>-2.9462485006318517</v>
      </c>
      <c r="AW414">
        <f t="shared" si="355"/>
        <v>-588.56431165522577</v>
      </c>
      <c r="AX414">
        <f t="shared" si="356"/>
        <v>-2035.7999234385347</v>
      </c>
      <c r="AY414">
        <f t="shared" si="364"/>
        <v>-1.8522299648369334</v>
      </c>
      <c r="BA414">
        <f t="shared" si="345"/>
        <v>3.6819545937955001</v>
      </c>
      <c r="BB414">
        <f t="shared" si="357"/>
        <v>11.321568568826239</v>
      </c>
      <c r="BC414">
        <f t="shared" si="358"/>
        <v>-1.0940185357949184</v>
      </c>
      <c r="BD414">
        <f t="shared" si="346"/>
        <v>-242.68264488175618</v>
      </c>
      <c r="BF414">
        <f t="shared" si="347"/>
        <v>-47.310495022744661</v>
      </c>
      <c r="BG414">
        <f t="shared" si="348"/>
        <v>-225.08791780454209</v>
      </c>
      <c r="BH414">
        <f t="shared" si="359"/>
        <v>-45.087917804542087</v>
      </c>
      <c r="BI414">
        <f t="shared" si="360"/>
        <v>-45.087917804542087</v>
      </c>
      <c r="BJ414">
        <f t="shared" si="349"/>
        <v>0</v>
      </c>
      <c r="BK414">
        <f t="shared" si="361"/>
        <v>0</v>
      </c>
      <c r="BM414">
        <f t="shared" si="362"/>
        <v>-58.632063591570898</v>
      </c>
      <c r="BN414">
        <f t="shared" si="350"/>
        <v>-162.40527292278594</v>
      </c>
      <c r="BQ414" s="66">
        <f t="shared" si="363"/>
        <v>28.223529369111375</v>
      </c>
    </row>
    <row r="415" spans="1:81" ht="13" x14ac:dyDescent="0.3">
      <c r="A415">
        <f t="shared" si="319"/>
        <v>1005000</v>
      </c>
      <c r="B415">
        <f t="shared" si="351"/>
        <v>1005</v>
      </c>
      <c r="C415">
        <f t="shared" si="320"/>
        <v>1.0486588919302064</v>
      </c>
      <c r="D415">
        <f t="shared" si="321"/>
        <v>0.30582484564270834</v>
      </c>
      <c r="F415">
        <f t="shared" si="322"/>
        <v>7.3711347292873536E-5</v>
      </c>
      <c r="G415">
        <f t="shared" si="323"/>
        <v>2.6767354796437049E-3</v>
      </c>
      <c r="H415">
        <f t="shared" si="324"/>
        <v>-3.1389159145203567</v>
      </c>
      <c r="J415">
        <f t="shared" si="325"/>
        <v>15</v>
      </c>
      <c r="M415">
        <f t="shared" si="326"/>
        <v>1.0929132341999895E-3</v>
      </c>
      <c r="N415">
        <f t="shared" si="327"/>
        <v>-1.5707963250000001</v>
      </c>
      <c r="O415">
        <f t="shared" si="328"/>
        <v>346.09210872713817</v>
      </c>
      <c r="P415">
        <f t="shared" si="329"/>
        <v>1.5679069185528947</v>
      </c>
      <c r="Q415">
        <f t="shared" si="330"/>
        <v>132.93306322388204</v>
      </c>
      <c r="R415">
        <f t="shared" si="331"/>
        <v>1.5632736728551579</v>
      </c>
      <c r="S415">
        <f t="shared" si="332"/>
        <v>0.95168206574458003</v>
      </c>
      <c r="T415">
        <f t="shared" si="333"/>
        <v>-0.31212859783972663</v>
      </c>
      <c r="U415">
        <f t="shared" si="334"/>
        <v>0.19552176090375351</v>
      </c>
      <c r="V415">
        <f t="shared" si="335"/>
        <v>-1.3740068754093284</v>
      </c>
      <c r="X415">
        <f t="shared" si="352"/>
        <v>-39.292855368243842</v>
      </c>
      <c r="Y415">
        <f t="shared" si="336"/>
        <v>-169.52917483727788</v>
      </c>
      <c r="Z415">
        <f t="shared" si="353"/>
        <v>10.470825162722122</v>
      </c>
      <c r="AC415">
        <v>1</v>
      </c>
      <c r="AD415">
        <f t="shared" si="337"/>
        <v>346.09066402201199</v>
      </c>
      <c r="AE415">
        <f t="shared" si="338"/>
        <v>-0.2185424531513597</v>
      </c>
      <c r="AF415">
        <f t="shared" si="339"/>
        <v>4.3570748462850001E-2</v>
      </c>
      <c r="AG415">
        <f t="shared" si="315"/>
        <v>299.2573911650702</v>
      </c>
      <c r="AH415">
        <f t="shared" si="316"/>
        <v>-1523.9684130169555</v>
      </c>
      <c r="AJ415">
        <f t="shared" si="340"/>
        <v>21000</v>
      </c>
      <c r="AK415">
        <f t="shared" si="341"/>
        <v>6776.1985761571505</v>
      </c>
      <c r="AL415">
        <v>1</v>
      </c>
      <c r="AM415">
        <f t="shared" si="342"/>
        <v>132.92930187917415</v>
      </c>
      <c r="AN415">
        <f t="shared" si="317"/>
        <v>52.161448160631252</v>
      </c>
      <c r="AO415">
        <f t="shared" si="318"/>
        <v>-157.58631284229469</v>
      </c>
      <c r="AQ415">
        <f t="shared" si="343"/>
        <v>2.4751856451113476E-3</v>
      </c>
      <c r="AR415">
        <f t="shared" si="344"/>
        <v>-4.9751231466738082</v>
      </c>
      <c r="AT415">
        <f t="shared" si="365"/>
        <v>-7581.1898088015996</v>
      </c>
      <c r="AU415">
        <f t="shared" si="366"/>
        <v>-1492.6144783380614</v>
      </c>
      <c r="AV415">
        <f t="shared" si="354"/>
        <v>-2.9471950980494634</v>
      </c>
      <c r="AW415">
        <f t="shared" si="355"/>
        <v>-582.16127349361193</v>
      </c>
      <c r="AX415">
        <f t="shared" si="356"/>
        <v>-2025.8885881723336</v>
      </c>
      <c r="AY415">
        <f t="shared" si="364"/>
        <v>-1.8506177123753913</v>
      </c>
      <c r="BA415">
        <f t="shared" si="345"/>
        <v>3.6656487395243063</v>
      </c>
      <c r="BB415">
        <f t="shared" si="357"/>
        <v>11.283016927771424</v>
      </c>
      <c r="BC415">
        <f t="shared" si="358"/>
        <v>-1.0965773856740721</v>
      </c>
      <c r="BD415">
        <f t="shared" si="346"/>
        <v>-242.82925618040676</v>
      </c>
      <c r="BF415">
        <f t="shared" si="347"/>
        <v>-47.431786030772059</v>
      </c>
      <c r="BG415">
        <f t="shared" si="348"/>
        <v>-225.15341758878563</v>
      </c>
      <c r="BH415">
        <f t="shared" si="359"/>
        <v>-45.153417588785629</v>
      </c>
      <c r="BI415">
        <f t="shared" si="360"/>
        <v>-45.153417588785629</v>
      </c>
      <c r="BJ415">
        <f t="shared" si="349"/>
        <v>0</v>
      </c>
      <c r="BK415">
        <f t="shared" si="361"/>
        <v>0</v>
      </c>
      <c r="BM415">
        <f t="shared" si="362"/>
        <v>-58.714802958543487</v>
      </c>
      <c r="BN415">
        <f t="shared" si="350"/>
        <v>-162.32416140837887</v>
      </c>
      <c r="BQ415" s="66">
        <f t="shared" si="363"/>
        <v>28.184977728056559</v>
      </c>
    </row>
    <row r="416" spans="1:81" ht="13" x14ac:dyDescent="0.3">
      <c r="A416">
        <f t="shared" si="319"/>
        <v>1010000</v>
      </c>
      <c r="B416">
        <f t="shared" si="351"/>
        <v>1010</v>
      </c>
      <c r="C416">
        <f t="shared" si="320"/>
        <v>1.0491328963793984</v>
      </c>
      <c r="D416">
        <f t="shared" si="321"/>
        <v>0.30725260585585856</v>
      </c>
      <c r="F416">
        <f t="shared" si="322"/>
        <v>7.2983287418490025E-5</v>
      </c>
      <c r="G416">
        <f t="shared" si="323"/>
        <v>2.6634824202402944E-3</v>
      </c>
      <c r="H416">
        <f t="shared" si="324"/>
        <v>-3.1389291675797599</v>
      </c>
      <c r="J416">
        <f t="shared" si="325"/>
        <v>15</v>
      </c>
      <c r="M416">
        <f t="shared" si="326"/>
        <v>1.087502772644544E-3</v>
      </c>
      <c r="N416">
        <f t="shared" si="327"/>
        <v>-1.5707963250000001</v>
      </c>
      <c r="O416">
        <f t="shared" si="328"/>
        <v>347.81394567477423</v>
      </c>
      <c r="P416">
        <f t="shared" si="329"/>
        <v>1.56792122247507</v>
      </c>
      <c r="Q416">
        <f t="shared" si="330"/>
        <v>133.5943844142308</v>
      </c>
      <c r="R416">
        <f t="shared" si="331"/>
        <v>1.5633109123216955</v>
      </c>
      <c r="S416">
        <f t="shared" si="332"/>
        <v>0.95123477903725506</v>
      </c>
      <c r="T416">
        <f t="shared" si="333"/>
        <v>-0.31358188196950759</v>
      </c>
      <c r="U416">
        <f t="shared" si="334"/>
        <v>0.19459057022264845</v>
      </c>
      <c r="V416">
        <f t="shared" si="335"/>
        <v>-1.3749563026579623</v>
      </c>
      <c r="X416">
        <f t="shared" si="352"/>
        <v>-39.377594720507474</v>
      </c>
      <c r="Y416">
        <f t="shared" si="336"/>
        <v>-169.58284155007462</v>
      </c>
      <c r="Z416">
        <f t="shared" si="353"/>
        <v>10.417158449925381</v>
      </c>
      <c r="AC416">
        <v>1</v>
      </c>
      <c r="AD416">
        <f t="shared" si="337"/>
        <v>347.81250812162403</v>
      </c>
      <c r="AE416">
        <f t="shared" si="338"/>
        <v>-0.22072241425677783</v>
      </c>
      <c r="AF416">
        <f t="shared" si="339"/>
        <v>4.3787518355700002E-2</v>
      </c>
      <c r="AG416">
        <f t="shared" si="315"/>
        <v>296.41369635689284</v>
      </c>
      <c r="AH416">
        <f t="shared" si="316"/>
        <v>-1516.9881549138311</v>
      </c>
      <c r="AJ416">
        <f t="shared" si="340"/>
        <v>21000</v>
      </c>
      <c r="AK416">
        <f t="shared" si="341"/>
        <v>6809.9110068843001</v>
      </c>
      <c r="AL416">
        <v>1</v>
      </c>
      <c r="AM416">
        <f t="shared" si="342"/>
        <v>133.59064168951829</v>
      </c>
      <c r="AN416">
        <f t="shared" si="317"/>
        <v>52.14974034854928</v>
      </c>
      <c r="AO416">
        <f t="shared" si="318"/>
        <v>-156.80627022016202</v>
      </c>
      <c r="AQ416">
        <f t="shared" si="343"/>
        <v>2.4507395229047342E-3</v>
      </c>
      <c r="AR416">
        <f t="shared" si="344"/>
        <v>-4.9504938362675626</v>
      </c>
      <c r="AT416">
        <f t="shared" si="365"/>
        <v>-7509.114077831031</v>
      </c>
      <c r="AU416">
        <f t="shared" si="366"/>
        <v>-1471.1119196271086</v>
      </c>
      <c r="AV416">
        <f t="shared" si="354"/>
        <v>-2.9481326843081761</v>
      </c>
      <c r="AW416">
        <f t="shared" si="355"/>
        <v>-575.85413690408598</v>
      </c>
      <c r="AX416">
        <f t="shared" si="356"/>
        <v>-2016.0723943219593</v>
      </c>
      <c r="AY416">
        <f t="shared" si="364"/>
        <v>-1.8490196091038955</v>
      </c>
      <c r="BA416">
        <f t="shared" si="345"/>
        <v>3.6494757721627389</v>
      </c>
      <c r="BB416">
        <f t="shared" si="357"/>
        <v>11.24460969675722</v>
      </c>
      <c r="BC416">
        <f t="shared" si="358"/>
        <v>-1.0991130752042806</v>
      </c>
      <c r="BD416">
        <f t="shared" si="346"/>
        <v>-242.97454048880923</v>
      </c>
      <c r="BF416">
        <f t="shared" si="347"/>
        <v>-47.552486592691423</v>
      </c>
      <c r="BG416">
        <f t="shared" si="348"/>
        <v>-225.21765660709471</v>
      </c>
      <c r="BH416">
        <f t="shared" si="359"/>
        <v>-45.21765660709471</v>
      </c>
      <c r="BI416">
        <f t="shared" si="360"/>
        <v>-45.21765660709471</v>
      </c>
      <c r="BJ416">
        <f t="shared" si="349"/>
        <v>0</v>
      </c>
      <c r="BK416">
        <f t="shared" si="361"/>
        <v>0</v>
      </c>
      <c r="BM416">
        <f t="shared" si="362"/>
        <v>-58.797096289448646</v>
      </c>
      <c r="BN416">
        <f t="shared" si="350"/>
        <v>-162.24311611828549</v>
      </c>
      <c r="BQ416" s="66">
        <f t="shared" si="363"/>
        <v>28.146570497042354</v>
      </c>
    </row>
    <row r="417" spans="1:69" ht="13" x14ac:dyDescent="0.3">
      <c r="A417">
        <f t="shared" si="319"/>
        <v>1015000</v>
      </c>
      <c r="B417">
        <f t="shared" si="351"/>
        <v>1015</v>
      </c>
      <c r="C417">
        <f t="shared" si="320"/>
        <v>1.0496090375510074</v>
      </c>
      <c r="D417">
        <f t="shared" si="321"/>
        <v>0.30867907360582852</v>
      </c>
      <c r="F417">
        <f t="shared" si="322"/>
        <v>7.2265961522152101E-5</v>
      </c>
      <c r="G417">
        <f t="shared" si="323"/>
        <v>2.6503599606319019E-3</v>
      </c>
      <c r="H417">
        <f t="shared" si="324"/>
        <v>-3.1389422900393682</v>
      </c>
      <c r="J417">
        <f t="shared" si="325"/>
        <v>15</v>
      </c>
      <c r="M417">
        <f t="shared" si="326"/>
        <v>1.0821456161290537E-3</v>
      </c>
      <c r="N417">
        <f t="shared" si="327"/>
        <v>-1.5707963250000001</v>
      </c>
      <c r="O417">
        <f t="shared" si="328"/>
        <v>349.53578269287266</v>
      </c>
      <c r="P417">
        <f t="shared" si="329"/>
        <v>1.5679353854730629</v>
      </c>
      <c r="Q417">
        <f t="shared" si="330"/>
        <v>134.25570578802009</v>
      </c>
      <c r="R417">
        <f t="shared" si="331"/>
        <v>1.5633477849173931</v>
      </c>
      <c r="S417">
        <f t="shared" si="332"/>
        <v>0.9507859073170386</v>
      </c>
      <c r="T417">
        <f t="shared" si="333"/>
        <v>-0.3150337976026204</v>
      </c>
      <c r="U417">
        <f t="shared" si="334"/>
        <v>0.1936680351641839</v>
      </c>
      <c r="V417">
        <f t="shared" si="335"/>
        <v>-1.3758967284622463</v>
      </c>
      <c r="X417">
        <f t="shared" si="352"/>
        <v>-39.461932262607675</v>
      </c>
      <c r="Y417">
        <f t="shared" si="336"/>
        <v>-169.63600977339664</v>
      </c>
      <c r="Z417">
        <f t="shared" si="353"/>
        <v>10.363990226603363</v>
      </c>
      <c r="AC417">
        <v>1</v>
      </c>
      <c r="AD417">
        <f t="shared" si="337"/>
        <v>349.53435222123602</v>
      </c>
      <c r="AE417">
        <f t="shared" si="338"/>
        <v>-0.22291319402773146</v>
      </c>
      <c r="AF417">
        <f t="shared" si="339"/>
        <v>4.4004288248550003E-2</v>
      </c>
      <c r="AG417">
        <f t="shared" si="315"/>
        <v>293.6098213120647</v>
      </c>
      <c r="AH417">
        <f t="shared" si="316"/>
        <v>-1510.0688071866139</v>
      </c>
      <c r="AJ417">
        <f t="shared" si="340"/>
        <v>21000</v>
      </c>
      <c r="AK417">
        <f t="shared" si="341"/>
        <v>6843.6234376114508</v>
      </c>
      <c r="AL417">
        <v>1</v>
      </c>
      <c r="AM417">
        <f t="shared" si="342"/>
        <v>134.25198149986247</v>
      </c>
      <c r="AN417">
        <f t="shared" si="317"/>
        <v>52.13820511900694</v>
      </c>
      <c r="AO417">
        <f t="shared" si="318"/>
        <v>-156.03391146150383</v>
      </c>
      <c r="AQ417">
        <f t="shared" si="343"/>
        <v>2.4266537827528495E-3</v>
      </c>
      <c r="AR417">
        <f t="shared" si="344"/>
        <v>-4.9261071789882847</v>
      </c>
      <c r="AT417">
        <f t="shared" si="365"/>
        <v>-7438.0483024647137</v>
      </c>
      <c r="AU417">
        <f t="shared" si="366"/>
        <v>-1450.0178627700056</v>
      </c>
      <c r="AV417">
        <f t="shared" si="354"/>
        <v>-2.9490613857813845</v>
      </c>
      <c r="AW417">
        <f t="shared" si="355"/>
        <v>-569.64099259426109</v>
      </c>
      <c r="AX417">
        <f t="shared" si="356"/>
        <v>-2006.3499895164036</v>
      </c>
      <c r="AY417">
        <f t="shared" si="364"/>
        <v>-1.8474354580822048</v>
      </c>
      <c r="BA417">
        <f t="shared" si="345"/>
        <v>3.6334342520918179</v>
      </c>
      <c r="BB417">
        <f t="shared" si="357"/>
        <v>11.206346118646323</v>
      </c>
      <c r="BC417">
        <f t="shared" si="358"/>
        <v>-1.1016259276991798</v>
      </c>
      <c r="BD417">
        <f t="shared" si="346"/>
        <v>-243.1185163314704</v>
      </c>
      <c r="BF417">
        <f t="shared" si="347"/>
        <v>-47.672601760674283</v>
      </c>
      <c r="BG417">
        <f t="shared" si="348"/>
        <v>-225.28065372953088</v>
      </c>
      <c r="BH417">
        <f t="shared" si="359"/>
        <v>-45.280653729530883</v>
      </c>
      <c r="BI417">
        <f t="shared" si="360"/>
        <v>-45.280653729530883</v>
      </c>
      <c r="BJ417">
        <f t="shared" si="349"/>
        <v>0</v>
      </c>
      <c r="BK417">
        <f t="shared" si="361"/>
        <v>0</v>
      </c>
      <c r="BM417">
        <f t="shared" si="362"/>
        <v>-58.878947879320606</v>
      </c>
      <c r="BN417">
        <f t="shared" si="350"/>
        <v>-162.16213739806054</v>
      </c>
      <c r="BQ417" s="66">
        <f t="shared" si="363"/>
        <v>28.108306918931461</v>
      </c>
    </row>
    <row r="418" spans="1:69" ht="13" x14ac:dyDescent="0.3">
      <c r="A418">
        <f t="shared" si="319"/>
        <v>1020000</v>
      </c>
      <c r="B418">
        <f t="shared" si="351"/>
        <v>1020</v>
      </c>
      <c r="C418">
        <f t="shared" si="320"/>
        <v>1.0500873125384707</v>
      </c>
      <c r="D418">
        <f t="shared" si="321"/>
        <v>0.31010424484952059</v>
      </c>
      <c r="F418">
        <f t="shared" si="322"/>
        <v>7.1559159626244186E-5</v>
      </c>
      <c r="G418">
        <f t="shared" si="323"/>
        <v>2.6373661796925156E-3</v>
      </c>
      <c r="H418">
        <f t="shared" si="324"/>
        <v>-3.1389552838203079</v>
      </c>
      <c r="J418">
        <f t="shared" si="325"/>
        <v>15</v>
      </c>
      <c r="M418">
        <f t="shared" si="326"/>
        <v>1.076840980755872E-3</v>
      </c>
      <c r="N418">
        <f t="shared" si="327"/>
        <v>-1.5707963250000001</v>
      </c>
      <c r="O418">
        <f t="shared" si="328"/>
        <v>351.25761978039725</v>
      </c>
      <c r="P418">
        <f t="shared" si="329"/>
        <v>1.5679494096192654</v>
      </c>
      <c r="Q418">
        <f t="shared" si="330"/>
        <v>134.91702734255247</v>
      </c>
      <c r="R418">
        <f t="shared" si="331"/>
        <v>1.5633842960370121</v>
      </c>
      <c r="S418">
        <f t="shared" si="332"/>
        <v>0.95033545850013479</v>
      </c>
      <c r="T418">
        <f t="shared" si="333"/>
        <v>-0.31648434055835428</v>
      </c>
      <c r="U418">
        <f t="shared" si="334"/>
        <v>0.19275403806395552</v>
      </c>
      <c r="V418">
        <f t="shared" si="335"/>
        <v>-1.3768282785911445</v>
      </c>
      <c r="X418">
        <f t="shared" si="352"/>
        <v>-39.545871731005604</v>
      </c>
      <c r="Y418">
        <f t="shared" si="336"/>
        <v>-169.68868638762621</v>
      </c>
      <c r="Z418">
        <f t="shared" si="353"/>
        <v>10.311313612373795</v>
      </c>
      <c r="AC418">
        <v>1</v>
      </c>
      <c r="AD418">
        <f t="shared" si="337"/>
        <v>351.25619632084806</v>
      </c>
      <c r="AE418">
        <f t="shared" si="338"/>
        <v>-0.22511479246422075</v>
      </c>
      <c r="AF418">
        <f t="shared" si="339"/>
        <v>4.4221058141400003E-2</v>
      </c>
      <c r="AG418">
        <f t="shared" si="315"/>
        <v>290.84503589646999</v>
      </c>
      <c r="AH418">
        <f t="shared" si="316"/>
        <v>-1503.2096175204319</v>
      </c>
      <c r="AJ418">
        <f t="shared" si="340"/>
        <v>21000</v>
      </c>
      <c r="AK418">
        <f t="shared" si="341"/>
        <v>6877.3358683385995</v>
      </c>
      <c r="AL418">
        <v>1</v>
      </c>
      <c r="AM418">
        <f t="shared" si="342"/>
        <v>134.91332131020661</v>
      </c>
      <c r="AN418">
        <f t="shared" si="317"/>
        <v>52.126839096651217</v>
      </c>
      <c r="AO418">
        <f t="shared" si="318"/>
        <v>-155.26912359334656</v>
      </c>
      <c r="AQ418">
        <f t="shared" si="343"/>
        <v>2.402921375691711E-3</v>
      </c>
      <c r="AR418">
        <f t="shared" si="344"/>
        <v>-4.90195960641109</v>
      </c>
      <c r="AT418">
        <f t="shared" si="365"/>
        <v>-7367.9739473000527</v>
      </c>
      <c r="AU418">
        <f t="shared" si="366"/>
        <v>-1429.3227122117646</v>
      </c>
      <c r="AV418">
        <f t="shared" si="354"/>
        <v>-2.9499813265225043</v>
      </c>
      <c r="AW418">
        <f t="shared" si="355"/>
        <v>-563.51997862257019</v>
      </c>
      <c r="AX418">
        <f t="shared" si="356"/>
        <v>-1996.7200467289515</v>
      </c>
      <c r="AY418">
        <f t="shared" si="364"/>
        <v>-1.8458650659177602</v>
      </c>
      <c r="BA418">
        <f t="shared" si="345"/>
        <v>3.6175227561364167</v>
      </c>
      <c r="BB418">
        <f t="shared" si="357"/>
        <v>11.168225434845088</v>
      </c>
      <c r="BC418">
        <f t="shared" si="358"/>
        <v>-1.1041162606047441</v>
      </c>
      <c r="BD418">
        <f t="shared" si="346"/>
        <v>-243.26120189670482</v>
      </c>
      <c r="BF418">
        <f t="shared" si="347"/>
        <v>-47.792136525785061</v>
      </c>
      <c r="BG418">
        <f t="shared" si="348"/>
        <v>-225.34242748613366</v>
      </c>
      <c r="BH418">
        <f t="shared" si="359"/>
        <v>-45.342427486133658</v>
      </c>
      <c r="BI418">
        <f t="shared" si="360"/>
        <v>-45.342427486133658</v>
      </c>
      <c r="BJ418">
        <f t="shared" si="349"/>
        <v>0</v>
      </c>
      <c r="BK418">
        <f t="shared" si="361"/>
        <v>0</v>
      </c>
      <c r="BM418">
        <f t="shared" si="362"/>
        <v>-58.960361960630152</v>
      </c>
      <c r="BN418">
        <f t="shared" si="350"/>
        <v>-162.08122558942887</v>
      </c>
      <c r="BQ418" s="66">
        <f t="shared" si="363"/>
        <v>28.070186235130222</v>
      </c>
    </row>
    <row r="419" spans="1:69" ht="13" x14ac:dyDescent="0.3">
      <c r="A419">
        <f t="shared" si="319"/>
        <v>1025000</v>
      </c>
      <c r="B419">
        <f t="shared" si="351"/>
        <v>1025</v>
      </c>
      <c r="C419">
        <f t="shared" si="320"/>
        <v>1.0505677184275048</v>
      </c>
      <c r="D419">
        <f t="shared" si="321"/>
        <v>0.31152811557224969</v>
      </c>
      <c r="F419">
        <f t="shared" si="322"/>
        <v>7.0862676862734427E-5</v>
      </c>
      <c r="G419">
        <f t="shared" si="323"/>
        <v>2.6244991937946064E-3</v>
      </c>
      <c r="H419">
        <f t="shared" si="324"/>
        <v>-3.1389681508062055</v>
      </c>
      <c r="J419">
        <f t="shared" si="325"/>
        <v>15</v>
      </c>
      <c r="M419">
        <f t="shared" si="326"/>
        <v>1.0715880979229166E-3</v>
      </c>
      <c r="N419">
        <f t="shared" si="327"/>
        <v>-1.5707963250000001</v>
      </c>
      <c r="O419">
        <f t="shared" si="328"/>
        <v>352.9794569363321</v>
      </c>
      <c r="P419">
        <f t="shared" si="329"/>
        <v>1.5679632969456327</v>
      </c>
      <c r="Q419">
        <f t="shared" si="330"/>
        <v>135.57834907518301</v>
      </c>
      <c r="R419">
        <f t="shared" si="331"/>
        <v>1.56342045097006</v>
      </c>
      <c r="S419">
        <f t="shared" si="332"/>
        <v>0.94988344050959794</v>
      </c>
      <c r="T419">
        <f t="shared" si="333"/>
        <v>-0.31793350668700532</v>
      </c>
      <c r="U419">
        <f t="shared" si="334"/>
        <v>0.1918484633334325</v>
      </c>
      <c r="V419">
        <f t="shared" si="335"/>
        <v>-1.3777510765124035</v>
      </c>
      <c r="X419">
        <f t="shared" si="352"/>
        <v>-39.629416811188463</v>
      </c>
      <c r="Y419">
        <f t="shared" si="336"/>
        <v>-169.74087814764303</v>
      </c>
      <c r="Z419">
        <f t="shared" si="353"/>
        <v>10.259121852356969</v>
      </c>
      <c r="AC419">
        <v>1</v>
      </c>
      <c r="AD419">
        <f t="shared" si="337"/>
        <v>352.97804042046005</v>
      </c>
      <c r="AE419">
        <f t="shared" si="338"/>
        <v>-0.22732720956624564</v>
      </c>
      <c r="AF419">
        <f t="shared" si="339"/>
        <v>4.4437828034250004E-2</v>
      </c>
      <c r="AG419">
        <f t="shared" si="315"/>
        <v>288.11862640157136</v>
      </c>
      <c r="AH419">
        <f t="shared" si="316"/>
        <v>-1496.4098450688634</v>
      </c>
      <c r="AJ419">
        <f t="shared" si="340"/>
        <v>21000</v>
      </c>
      <c r="AK419">
        <f t="shared" si="341"/>
        <v>6911.0482990657501</v>
      </c>
      <c r="AL419">
        <v>1</v>
      </c>
      <c r="AM419">
        <f t="shared" si="342"/>
        <v>135.57466112055076</v>
      </c>
      <c r="AN419">
        <f t="shared" si="317"/>
        <v>52.115638988244505</v>
      </c>
      <c r="AO419">
        <f t="shared" si="318"/>
        <v>-154.51179584646158</v>
      </c>
      <c r="AQ419">
        <f t="shared" si="343"/>
        <v>2.3795354242628379E-3</v>
      </c>
      <c r="AR419">
        <f t="shared" si="344"/>
        <v>-4.8780476197388172</v>
      </c>
      <c r="AT419">
        <f t="shared" si="365"/>
        <v>-7298.8728944139893</v>
      </c>
      <c r="AU419">
        <f t="shared" si="366"/>
        <v>-1409.0171399561596</v>
      </c>
      <c r="AV419">
        <f t="shared" si="354"/>
        <v>-2.9508926283172068</v>
      </c>
      <c r="AW419">
        <f t="shared" si="355"/>
        <v>-557.4892789945103</v>
      </c>
      <c r="AX419">
        <f t="shared" si="356"/>
        <v>-1987.181263688906</v>
      </c>
      <c r="AY419">
        <f t="shared" si="364"/>
        <v>-1.8443082426887352</v>
      </c>
      <c r="BA419">
        <f t="shared" si="345"/>
        <v>3.6017398774738516</v>
      </c>
      <c r="BB419">
        <f t="shared" si="357"/>
        <v>11.130246885622306</v>
      </c>
      <c r="BC419">
        <f t="shared" si="358"/>
        <v>-1.1065843856284716</v>
      </c>
      <c r="BD419">
        <f t="shared" si="346"/>
        <v>-243.40261504403662</v>
      </c>
      <c r="BF419">
        <f t="shared" si="347"/>
        <v>-47.911095818886544</v>
      </c>
      <c r="BG419">
        <f t="shared" si="348"/>
        <v>-225.40299607437549</v>
      </c>
      <c r="BH419">
        <f t="shared" si="359"/>
        <v>-45.402996074375494</v>
      </c>
      <c r="BI419">
        <f t="shared" si="360"/>
        <v>-45.402996074375494</v>
      </c>
      <c r="BJ419">
        <f t="shared" si="349"/>
        <v>0</v>
      </c>
      <c r="BK419">
        <f t="shared" si="361"/>
        <v>0</v>
      </c>
      <c r="BM419">
        <f t="shared" si="362"/>
        <v>-59.04134270450885</v>
      </c>
      <c r="BN419">
        <f t="shared" si="350"/>
        <v>-162.00038103033887</v>
      </c>
      <c r="BQ419" s="66">
        <f t="shared" si="363"/>
        <v>28.032207685907444</v>
      </c>
    </row>
    <row r="420" spans="1:69" ht="13" x14ac:dyDescent="0.3">
      <c r="A420">
        <f t="shared" si="319"/>
        <v>1030000</v>
      </c>
      <c r="B420">
        <f t="shared" si="351"/>
        <v>1030</v>
      </c>
      <c r="C420">
        <f t="shared" si="320"/>
        <v>1.0510502522961818</v>
      </c>
      <c r="D420">
        <f t="shared" si="321"/>
        <v>0.31295068178774799</v>
      </c>
      <c r="F420">
        <f t="shared" si="322"/>
        <v>7.017631332469067E-5</v>
      </c>
      <c r="G420">
        <f t="shared" si="323"/>
        <v>2.6117571558985911E-3</v>
      </c>
      <c r="H420">
        <f t="shared" si="324"/>
        <v>-3.1389808928441014</v>
      </c>
      <c r="J420">
        <f t="shared" si="325"/>
        <v>15</v>
      </c>
      <c r="M420">
        <f t="shared" si="326"/>
        <v>1.0663862139524169E-3</v>
      </c>
      <c r="N420">
        <f t="shared" si="327"/>
        <v>-1.5707963250000001</v>
      </c>
      <c r="O420">
        <f t="shared" si="328"/>
        <v>354.70129415968086</v>
      </c>
      <c r="P420">
        <f t="shared" si="329"/>
        <v>1.5679770494446656</v>
      </c>
      <c r="Q420">
        <f t="shared" si="330"/>
        <v>136.23967098331823</v>
      </c>
      <c r="R420">
        <f t="shared" si="331"/>
        <v>1.5634562549033442</v>
      </c>
      <c r="S420">
        <f t="shared" si="332"/>
        <v>0.94942986127500772</v>
      </c>
      <c r="T420">
        <f t="shared" si="333"/>
        <v>-0.31938129186987507</v>
      </c>
      <c r="U420">
        <f t="shared" si="334"/>
        <v>0.19095119741551991</v>
      </c>
      <c r="V420">
        <f t="shared" si="335"/>
        <v>-1.3786652434442155</v>
      </c>
      <c r="X420">
        <f t="shared" si="352"/>
        <v>-39.712571138574987</v>
      </c>
      <c r="Y420">
        <f t="shared" si="336"/>
        <v>-169.79259168563377</v>
      </c>
      <c r="Z420">
        <f t="shared" si="353"/>
        <v>10.207408314366234</v>
      </c>
      <c r="AC420">
        <v>1</v>
      </c>
      <c r="AD420">
        <f t="shared" si="337"/>
        <v>354.69988452007203</v>
      </c>
      <c r="AE420">
        <f t="shared" si="338"/>
        <v>-0.22955044533380603</v>
      </c>
      <c r="AF420">
        <f t="shared" si="339"/>
        <v>4.4654597927099998E-2</v>
      </c>
      <c r="AG420">
        <f t="shared" si="315"/>
        <v>285.42989510955283</v>
      </c>
      <c r="AH420">
        <f t="shared" si="316"/>
        <v>-1489.6687602601696</v>
      </c>
      <c r="AJ420">
        <f t="shared" si="340"/>
        <v>21000</v>
      </c>
      <c r="AK420">
        <f t="shared" si="341"/>
        <v>6944.7607297929017</v>
      </c>
      <c r="AL420">
        <v>1</v>
      </c>
      <c r="AM420">
        <f t="shared" si="342"/>
        <v>136.2360009308949</v>
      </c>
      <c r="AN420">
        <f t="shared" si="317"/>
        <v>52.104601580278974</v>
      </c>
      <c r="AO420">
        <f t="shared" si="318"/>
        <v>-153.76181960189396</v>
      </c>
      <c r="AQ420">
        <f t="shared" si="343"/>
        <v>2.3564892175301118E-3</v>
      </c>
      <c r="AR420">
        <f t="shared" si="344"/>
        <v>-4.8543677881120306</v>
      </c>
      <c r="AT420">
        <f t="shared" si="365"/>
        <v>-7230.7274322935637</v>
      </c>
      <c r="AU420">
        <f t="shared" si="366"/>
        <v>-1389.0920769552533</v>
      </c>
      <c r="AV420">
        <f t="shared" si="354"/>
        <v>-2.9517954107342699</v>
      </c>
      <c r="AW420">
        <f t="shared" si="355"/>
        <v>-551.54712230723237</v>
      </c>
      <c r="AX420">
        <f t="shared" si="356"/>
        <v>-1977.7323623095851</v>
      </c>
      <c r="AY420">
        <f t="shared" si="364"/>
        <v>-1.8427648018689931</v>
      </c>
      <c r="BA420">
        <f t="shared" si="345"/>
        <v>3.5860842255359286</v>
      </c>
      <c r="BB420">
        <f t="shared" si="357"/>
        <v>11.092409710412452</v>
      </c>
      <c r="BC420">
        <f t="shared" si="358"/>
        <v>-1.1090306088652768</v>
      </c>
      <c r="BD420">
        <f t="shared" si="346"/>
        <v>-243.54277331141253</v>
      </c>
      <c r="BF420">
        <f t="shared" si="347"/>
        <v>-48.029484511531152</v>
      </c>
      <c r="BG420">
        <f t="shared" si="348"/>
        <v>-225.46237736642698</v>
      </c>
      <c r="BH420">
        <f t="shared" si="359"/>
        <v>-45.462377366426978</v>
      </c>
      <c r="BI420">
        <f t="shared" si="360"/>
        <v>-45.462377366426978</v>
      </c>
      <c r="BJ420">
        <f t="shared" si="349"/>
        <v>0</v>
      </c>
      <c r="BK420">
        <f t="shared" si="361"/>
        <v>0</v>
      </c>
      <c r="BM420">
        <f t="shared" si="362"/>
        <v>-59.121894221943606</v>
      </c>
      <c r="BN420">
        <f t="shared" si="350"/>
        <v>-161.91960405501445</v>
      </c>
      <c r="BQ420" s="66">
        <f t="shared" si="363"/>
        <v>27.994370510697589</v>
      </c>
    </row>
    <row r="421" spans="1:69" ht="13" x14ac:dyDescent="0.3">
      <c r="A421">
        <f t="shared" si="319"/>
        <v>1035000</v>
      </c>
      <c r="B421">
        <f t="shared" si="351"/>
        <v>1035</v>
      </c>
      <c r="C421">
        <f t="shared" si="320"/>
        <v>1.0515349112150063</v>
      </c>
      <c r="D421">
        <f t="shared" si="321"/>
        <v>0.31437193953816767</v>
      </c>
      <c r="F421">
        <f t="shared" si="322"/>
        <v>6.9499873922806361E-5</v>
      </c>
      <c r="G421">
        <f t="shared" si="323"/>
        <v>2.5991382546686984E-3</v>
      </c>
      <c r="H421">
        <f t="shared" si="324"/>
        <v>-3.1389935117453316</v>
      </c>
      <c r="J421">
        <f t="shared" si="325"/>
        <v>15</v>
      </c>
      <c r="M421">
        <f t="shared" si="326"/>
        <v>1.0612345897304247E-3</v>
      </c>
      <c r="N421">
        <f t="shared" si="327"/>
        <v>-1.5707963250000001</v>
      </c>
      <c r="O421">
        <f t="shared" si="328"/>
        <v>356.4231314494665</v>
      </c>
      <c r="P421">
        <f t="shared" si="329"/>
        <v>1.5679906690703627</v>
      </c>
      <c r="Q421">
        <f t="shared" si="330"/>
        <v>136.90099306441468</v>
      </c>
      <c r="R421">
        <f t="shared" si="331"/>
        <v>1.5634917129234536</v>
      </c>
      <c r="S421">
        <f t="shared" si="332"/>
        <v>0.9489747287321475</v>
      </c>
      <c r="T421">
        <f t="shared" si="333"/>
        <v>-0.32082769201926742</v>
      </c>
      <c r="U421">
        <f t="shared" si="334"/>
        <v>0.19006212874122402</v>
      </c>
      <c r="V421">
        <f t="shared" si="335"/>
        <v>-1.3795708984055195</v>
      </c>
      <c r="X421">
        <f t="shared" si="352"/>
        <v>-39.795338299401223</v>
      </c>
      <c r="Y421">
        <f t="shared" si="336"/>
        <v>-169.84383351382752</v>
      </c>
      <c r="Z421">
        <f t="shared" si="353"/>
        <v>10.156166486172481</v>
      </c>
      <c r="AC421">
        <v>1</v>
      </c>
      <c r="AD421">
        <f t="shared" si="337"/>
        <v>356.42172861968402</v>
      </c>
      <c r="AE421">
        <f t="shared" si="338"/>
        <v>-0.23178449976690207</v>
      </c>
      <c r="AF421">
        <f t="shared" si="339"/>
        <v>4.4871367819949999E-2</v>
      </c>
      <c r="AG421">
        <f t="shared" si="315"/>
        <v>282.77815987161824</v>
      </c>
      <c r="AH421">
        <f t="shared" si="316"/>
        <v>-1482.9856446065933</v>
      </c>
      <c r="AJ421">
        <f t="shared" si="340"/>
        <v>21000</v>
      </c>
      <c r="AK421">
        <f t="shared" si="341"/>
        <v>6978.4731605200504</v>
      </c>
      <c r="AL421">
        <v>1</v>
      </c>
      <c r="AM421">
        <f t="shared" si="342"/>
        <v>136.89734074123905</v>
      </c>
      <c r="AN421">
        <f t="shared" si="317"/>
        <v>52.0937237366715</v>
      </c>
      <c r="AO421">
        <f t="shared" si="318"/>
        <v>-153.01908833904008</v>
      </c>
      <c r="AQ421">
        <f t="shared" si="343"/>
        <v>2.3337762062647423E-3</v>
      </c>
      <c r="AR421">
        <f t="shared" si="344"/>
        <v>-4.8309167469680165</v>
      </c>
      <c r="AT421">
        <f t="shared" si="365"/>
        <v>-7163.5202451019904</v>
      </c>
      <c r="AU421">
        <f t="shared" si="366"/>
        <v>-1369.5387048122147</v>
      </c>
      <c r="AV421">
        <f t="shared" si="354"/>
        <v>-2.9526897911750911</v>
      </c>
      <c r="AW421">
        <f t="shared" si="355"/>
        <v>-545.69178044058378</v>
      </c>
      <c r="AX421">
        <f t="shared" si="356"/>
        <v>-1968.3720881320696</v>
      </c>
      <c r="AY421">
        <f t="shared" si="364"/>
        <v>-1.8412345602549001</v>
      </c>
      <c r="BA421">
        <f t="shared" si="345"/>
        <v>3.5705544259049731</v>
      </c>
      <c r="BB421">
        <f t="shared" si="357"/>
        <v>11.054713148104021</v>
      </c>
      <c r="BC421">
        <f t="shared" si="358"/>
        <v>-1.1114552309201911</v>
      </c>
      <c r="BD421">
        <f t="shared" si="346"/>
        <v>-243.6816939222322</v>
      </c>
      <c r="BF421">
        <f t="shared" si="347"/>
        <v>-48.147307416838117</v>
      </c>
      <c r="BG421">
        <f t="shared" si="348"/>
        <v>-225.52058891623767</v>
      </c>
      <c r="BH421">
        <f t="shared" si="359"/>
        <v>-45.520588916237671</v>
      </c>
      <c r="BI421">
        <f t="shared" si="360"/>
        <v>-45.520588916237671</v>
      </c>
      <c r="BJ421">
        <f t="shared" si="349"/>
        <v>0</v>
      </c>
      <c r="BK421">
        <f t="shared" si="361"/>
        <v>0</v>
      </c>
      <c r="BM421">
        <f t="shared" si="362"/>
        <v>-59.202020564942146</v>
      </c>
      <c r="BN421">
        <f t="shared" si="350"/>
        <v>-161.8388949940055</v>
      </c>
      <c r="BQ421" s="66">
        <f t="shared" si="363"/>
        <v>27.956673948389156</v>
      </c>
    </row>
    <row r="422" spans="1:69" ht="13" x14ac:dyDescent="0.3">
      <c r="A422">
        <f t="shared" si="319"/>
        <v>1040000</v>
      </c>
      <c r="B422">
        <f t="shared" si="351"/>
        <v>1040</v>
      </c>
      <c r="C422">
        <f t="shared" si="320"/>
        <v>1.0520216922469916</v>
      </c>
      <c r="D422">
        <f t="shared" si="321"/>
        <v>0.31579188489408283</v>
      </c>
      <c r="F422">
        <f t="shared" si="322"/>
        <v>6.8833168246744237E-5</v>
      </c>
      <c r="G422">
        <f t="shared" si="323"/>
        <v>2.5866407136143563E-3</v>
      </c>
      <c r="H422">
        <f t="shared" si="324"/>
        <v>-3.1390060092863861</v>
      </c>
      <c r="J422">
        <f t="shared" si="325"/>
        <v>15</v>
      </c>
      <c r="M422">
        <f t="shared" si="326"/>
        <v>1.0561325003567207E-3</v>
      </c>
      <c r="N422">
        <f t="shared" si="327"/>
        <v>-1.5707963250000001</v>
      </c>
      <c r="O422">
        <f t="shared" si="328"/>
        <v>358.14496880473087</v>
      </c>
      <c r="P422">
        <f t="shared" si="329"/>
        <v>1.5680041577391464</v>
      </c>
      <c r="Q422">
        <f t="shared" si="330"/>
        <v>137.56231531597788</v>
      </c>
      <c r="R422">
        <f t="shared" si="331"/>
        <v>1.563526830019166</v>
      </c>
      <c r="S422">
        <f t="shared" si="332"/>
        <v>0.94851805082268281</v>
      </c>
      <c r="T422">
        <f t="shared" si="333"/>
        <v>-0.32227270307848399</v>
      </c>
      <c r="U422">
        <f t="shared" si="334"/>
        <v>0.18918114768739083</v>
      </c>
      <c r="V422">
        <f t="shared" si="335"/>
        <v>-1.3804681582649756</v>
      </c>
      <c r="X422">
        <f t="shared" si="352"/>
        <v>-39.877721831587202</v>
      </c>
      <c r="Y422">
        <f t="shared" si="336"/>
        <v>-169.89461002715964</v>
      </c>
      <c r="Z422">
        <f t="shared" si="353"/>
        <v>10.105389972840356</v>
      </c>
      <c r="AC422">
        <v>1</v>
      </c>
      <c r="AD422">
        <f t="shared" si="337"/>
        <v>358.14357271929606</v>
      </c>
      <c r="AE422">
        <f t="shared" si="338"/>
        <v>-0.23402937286553366</v>
      </c>
      <c r="AF422">
        <f t="shared" si="339"/>
        <v>4.5088137712800007E-2</v>
      </c>
      <c r="AG422">
        <f t="shared" si="315"/>
        <v>280.16275369900177</v>
      </c>
      <c r="AH422">
        <f t="shared" si="316"/>
        <v>-1476.359790516718</v>
      </c>
      <c r="AJ422">
        <f t="shared" si="340"/>
        <v>21000</v>
      </c>
      <c r="AK422">
        <f t="shared" si="341"/>
        <v>7012.185591247201</v>
      </c>
      <c r="AL422">
        <v>1</v>
      </c>
      <c r="AM422">
        <f t="shared" si="342"/>
        <v>137.55868055158319</v>
      </c>
      <c r="AN422">
        <f t="shared" si="317"/>
        <v>52.08300239653591</v>
      </c>
      <c r="AO422">
        <f t="shared" si="318"/>
        <v>-152.28349758522288</v>
      </c>
      <c r="AQ422">
        <f t="shared" si="343"/>
        <v>2.3113899982918828E-3</v>
      </c>
      <c r="AR422">
        <f t="shared" si="344"/>
        <v>-4.8076911964471165</v>
      </c>
      <c r="AT422">
        <f t="shared" si="365"/>
        <v>-7097.2344022689404</v>
      </c>
      <c r="AU422">
        <f t="shared" si="366"/>
        <v>-1350.3484477847535</v>
      </c>
      <c r="AV422">
        <f t="shared" si="354"/>
        <v>-2.9535758849218947</v>
      </c>
      <c r="AW422">
        <f t="shared" si="355"/>
        <v>-539.92156729279202</v>
      </c>
      <c r="AX422">
        <f t="shared" si="356"/>
        <v>-1959.0992097842061</v>
      </c>
      <c r="AY422">
        <f t="shared" si="364"/>
        <v>-1.8397173378939422</v>
      </c>
      <c r="BA422">
        <f t="shared" si="345"/>
        <v>3.5551491202043417</v>
      </c>
      <c r="BB422">
        <f t="shared" si="357"/>
        <v>11.017156437313727</v>
      </c>
      <c r="BC422">
        <f t="shared" si="358"/>
        <v>-1.1138585470279525</v>
      </c>
      <c r="BD422">
        <f t="shared" si="346"/>
        <v>-243.81939379220009</v>
      </c>
      <c r="BF422">
        <f t="shared" si="347"/>
        <v>-48.264569290356661</v>
      </c>
      <c r="BG422">
        <f t="shared" si="348"/>
        <v>-225.57764796643701</v>
      </c>
      <c r="BH422">
        <f t="shared" si="359"/>
        <v>-45.577647966437013</v>
      </c>
      <c r="BI422">
        <f t="shared" si="360"/>
        <v>-45.577647966437013</v>
      </c>
      <c r="BJ422">
        <f t="shared" si="349"/>
        <v>0</v>
      </c>
      <c r="BK422">
        <f t="shared" si="361"/>
        <v>0</v>
      </c>
      <c r="BM422">
        <f t="shared" si="362"/>
        <v>-59.281725727670391</v>
      </c>
      <c r="BN422">
        <f t="shared" si="350"/>
        <v>-161.75825417423692</v>
      </c>
      <c r="BQ422" s="66">
        <f t="shared" si="363"/>
        <v>27.919117237598865</v>
      </c>
    </row>
    <row r="423" spans="1:69" ht="13" x14ac:dyDescent="0.3">
      <c r="A423">
        <f t="shared" si="319"/>
        <v>1045000</v>
      </c>
      <c r="B423">
        <f t="shared" si="351"/>
        <v>1045</v>
      </c>
      <c r="C423">
        <f t="shared" si="320"/>
        <v>1.0525105924477369</v>
      </c>
      <c r="D423">
        <f t="shared" si="321"/>
        <v>0.31721051395448996</v>
      </c>
      <c r="F423">
        <f t="shared" si="322"/>
        <v>6.8176010431113431E-5</v>
      </c>
      <c r="G423">
        <f t="shared" si="323"/>
        <v>2.5742627902562375E-3</v>
      </c>
      <c r="H423">
        <f t="shared" si="324"/>
        <v>-3.1390183872097439</v>
      </c>
      <c r="J423">
        <f t="shared" si="325"/>
        <v>15</v>
      </c>
      <c r="M423">
        <f t="shared" si="326"/>
        <v>1.0510792348047747E-3</v>
      </c>
      <c r="N423">
        <f t="shared" si="327"/>
        <v>-1.5707963250000001</v>
      </c>
      <c r="O423">
        <f t="shared" si="328"/>
        <v>359.86680622453417</v>
      </c>
      <c r="P423">
        <f t="shared" si="329"/>
        <v>1.5680175173307616</v>
      </c>
      <c r="Q423">
        <f t="shared" si="330"/>
        <v>138.22363773556106</v>
      </c>
      <c r="R423">
        <f t="shared" si="331"/>
        <v>1.5635616110837895</v>
      </c>
      <c r="S423">
        <f t="shared" si="332"/>
        <v>0.94805983549384187</v>
      </c>
      <c r="T423">
        <f t="shared" si="333"/>
        <v>-0.32371632102181858</v>
      </c>
      <c r="U423">
        <f t="shared" si="334"/>
        <v>0.18830814653548683</v>
      </c>
      <c r="V423">
        <f t="shared" si="335"/>
        <v>-1.3813571377886578</v>
      </c>
      <c r="X423">
        <f t="shared" si="352"/>
        <v>-39.959725225584982</v>
      </c>
      <c r="Y423">
        <f t="shared" si="336"/>
        <v>-169.94492750586625</v>
      </c>
      <c r="Z423">
        <f t="shared" si="353"/>
        <v>10.055072494133753</v>
      </c>
      <c r="AC423">
        <v>1</v>
      </c>
      <c r="AD423">
        <f t="shared" si="337"/>
        <v>359.86541681890805</v>
      </c>
      <c r="AE423">
        <f t="shared" si="338"/>
        <v>-0.23628506462970081</v>
      </c>
      <c r="AF423">
        <f t="shared" si="339"/>
        <v>4.5304907605650001E-2</v>
      </c>
      <c r="AG423">
        <f t="shared" si="315"/>
        <v>277.58302436625826</v>
      </c>
      <c r="AH423">
        <f t="shared" si="316"/>
        <v>-1469.7905011108512</v>
      </c>
      <c r="AJ423">
        <f t="shared" si="340"/>
        <v>21000</v>
      </c>
      <c r="AK423">
        <f t="shared" si="341"/>
        <v>7045.8980219743507</v>
      </c>
      <c r="AL423">
        <v>1</v>
      </c>
      <c r="AM423">
        <f t="shared" si="342"/>
        <v>138.22002036192734</v>
      </c>
      <c r="AN423">
        <f t="shared" si="317"/>
        <v>52.072434572029636</v>
      </c>
      <c r="AO423">
        <f t="shared" si="318"/>
        <v>-151.5549448667139</v>
      </c>
      <c r="AQ423">
        <f t="shared" si="343"/>
        <v>2.2893243539927307E-3</v>
      </c>
      <c r="AR423">
        <f t="shared" si="344"/>
        <v>-4.7846878998448066</v>
      </c>
      <c r="AT423">
        <f t="shared" si="365"/>
        <v>-7031.8533483939882</v>
      </c>
      <c r="AU423">
        <f t="shared" si="366"/>
        <v>-1331.5129650770223</v>
      </c>
      <c r="AV423">
        <f t="shared" si="354"/>
        <v>-2.9544538051846803</v>
      </c>
      <c r="AW423">
        <f t="shared" si="355"/>
        <v>-534.23483755905852</v>
      </c>
      <c r="AX423">
        <f t="shared" si="356"/>
        <v>-1949.9125184543668</v>
      </c>
      <c r="AY423">
        <f t="shared" si="364"/>
        <v>-1.8382129580151025</v>
      </c>
      <c r="BA423">
        <f t="shared" si="345"/>
        <v>3.5398669659838511</v>
      </c>
      <c r="BB423">
        <f t="shared" si="357"/>
        <v>10.979738816647039</v>
      </c>
      <c r="BC423">
        <f t="shared" si="358"/>
        <v>-1.1162408471695777</v>
      </c>
      <c r="BD423">
        <f t="shared" si="346"/>
        <v>-243.95588953600461</v>
      </c>
      <c r="BF423">
        <f t="shared" si="347"/>
        <v>-48.381274830915515</v>
      </c>
      <c r="BG423">
        <f t="shared" si="348"/>
        <v>-225.63357145506109</v>
      </c>
      <c r="BH423">
        <f t="shared" si="359"/>
        <v>-45.633571455061087</v>
      </c>
      <c r="BI423">
        <f t="shared" si="360"/>
        <v>-45.633571455061087</v>
      </c>
      <c r="BJ423">
        <f t="shared" si="349"/>
        <v>0</v>
      </c>
      <c r="BK423">
        <f t="shared" si="361"/>
        <v>0</v>
      </c>
      <c r="BM423">
        <f t="shared" si="362"/>
        <v>-59.361013647562558</v>
      </c>
      <c r="BN423">
        <f t="shared" si="350"/>
        <v>-161.67768191905645</v>
      </c>
      <c r="BQ423" s="66">
        <f t="shared" si="363"/>
        <v>27.881699616932178</v>
      </c>
    </row>
    <row r="424" spans="1:69" ht="13" x14ac:dyDescent="0.3">
      <c r="A424">
        <f t="shared" si="319"/>
        <v>1050000</v>
      </c>
      <c r="B424">
        <f t="shared" si="351"/>
        <v>1050</v>
      </c>
      <c r="C424">
        <f t="shared" si="320"/>
        <v>1.053001608865503</v>
      </c>
      <c r="D424">
        <f t="shared" si="321"/>
        <v>0.31862782284680674</v>
      </c>
      <c r="F424">
        <f t="shared" si="322"/>
        <v>6.7528219025904328E-5</v>
      </c>
      <c r="G424">
        <f t="shared" si="323"/>
        <v>2.5620027753161466E-3</v>
      </c>
      <c r="H424">
        <f t="shared" si="324"/>
        <v>-3.1390306472246841</v>
      </c>
      <c r="J424">
        <f t="shared" si="325"/>
        <v>15</v>
      </c>
      <c r="M424">
        <f t="shared" si="326"/>
        <v>1.0460740955914186E-3</v>
      </c>
      <c r="N424">
        <f t="shared" si="327"/>
        <v>-1.5707963250000001</v>
      </c>
      <c r="O424">
        <f t="shared" si="328"/>
        <v>361.58864370795425</v>
      </c>
      <c r="P424">
        <f t="shared" si="329"/>
        <v>1.5680307496891484</v>
      </c>
      <c r="Q424">
        <f t="shared" si="330"/>
        <v>138.88496032076404</v>
      </c>
      <c r="R424">
        <f t="shared" si="331"/>
        <v>1.5635960609174337</v>
      </c>
      <c r="S424">
        <f t="shared" si="332"/>
        <v>0.94760009069809736</v>
      </c>
      <c r="T424">
        <f t="shared" si="333"/>
        <v>-0.32515854185454979</v>
      </c>
      <c r="U424">
        <f t="shared" si="334"/>
        <v>0.1874430194313943</v>
      </c>
      <c r="V424">
        <f t="shared" si="335"/>
        <v>-1.3822379496864985</v>
      </c>
      <c r="X424">
        <f t="shared" si="352"/>
        <v>-40.041351925208474</v>
      </c>
      <c r="Y424">
        <f t="shared" si="336"/>
        <v>-169.99479211801116</v>
      </c>
      <c r="Z424">
        <f t="shared" si="353"/>
        <v>10.005207881988838</v>
      </c>
      <c r="AC424">
        <v>1</v>
      </c>
      <c r="AD424">
        <f t="shared" si="337"/>
        <v>361.58726091852003</v>
      </c>
      <c r="AE424">
        <f t="shared" si="338"/>
        <v>-0.23855157505940353</v>
      </c>
      <c r="AF424">
        <f t="shared" si="339"/>
        <v>4.5521677498500002E-2</v>
      </c>
      <c r="AG424">
        <f t="shared" ref="AG424:AG487" si="367">AC424*AE424/(AE424^2+AF424^2)+AD424*AF424/(AE424^2+AF424^2)</f>
        <v>275.0383340264251</v>
      </c>
      <c r="AH424">
        <f t="shared" ref="AH424:AH487" si="368">AD424*AE424/(AE424^2+AF424^2)-AC424*AF424/(AE424^2+AF424^2)</f>
        <v>-1463.2770900394205</v>
      </c>
      <c r="AJ424">
        <f t="shared" si="340"/>
        <v>21000</v>
      </c>
      <c r="AK424">
        <f t="shared" si="341"/>
        <v>7079.6104527015013</v>
      </c>
      <c r="AL424">
        <v>1</v>
      </c>
      <c r="AM424">
        <f t="shared" si="342"/>
        <v>138.88136017227151</v>
      </c>
      <c r="AN424">
        <f t="shared" ref="AN424:AN487" si="369">AJ424*AL424/(AL424^2+AM424^2)+AK424*AM424/(AL424^2+AM424^2)</f>
        <v>52.06201734627205</v>
      </c>
      <c r="AO424">
        <f t="shared" ref="AO424:AO487" si="370">AK424*AL424/(AL424^2+AM424^2)-AJ424*AM424/(AL424^2+AM424^2)</f>
        <v>-150.83332966115424</v>
      </c>
      <c r="AQ424">
        <f t="shared" si="343"/>
        <v>2.2675731819561946E-3</v>
      </c>
      <c r="AR424">
        <f t="shared" si="344"/>
        <v>-4.7619036821080085</v>
      </c>
      <c r="AT424">
        <f t="shared" si="365"/>
        <v>-6967.3608934527601</v>
      </c>
      <c r="AU424">
        <f t="shared" si="366"/>
        <v>-1313.0241434084303</v>
      </c>
      <c r="AV424">
        <f t="shared" si="354"/>
        <v>-2.9553236631469462</v>
      </c>
      <c r="AW424">
        <f t="shared" si="355"/>
        <v>-528.62998555140246</v>
      </c>
      <c r="AX424">
        <f t="shared" si="356"/>
        <v>-1940.8108273795081</v>
      </c>
      <c r="AY424">
        <f t="shared" si="364"/>
        <v>-1.8367212469609433</v>
      </c>
      <c r="BA424">
        <f t="shared" si="345"/>
        <v>3.5247066366005906</v>
      </c>
      <c r="BB424">
        <f t="shared" si="357"/>
        <v>10.942459524945789</v>
      </c>
      <c r="BC424">
        <f t="shared" si="358"/>
        <v>-1.1186024161860029</v>
      </c>
      <c r="BD424">
        <f t="shared" si="346"/>
        <v>-244.09119747382925</v>
      </c>
      <c r="BF424">
        <f t="shared" si="347"/>
        <v>-48.497428681458885</v>
      </c>
      <c r="BG424">
        <f t="shared" si="348"/>
        <v>-225.68837602211039</v>
      </c>
      <c r="BH424">
        <f t="shared" si="359"/>
        <v>-45.68837602211039</v>
      </c>
      <c r="BI424">
        <f t="shared" si="360"/>
        <v>-45.68837602211039</v>
      </c>
      <c r="BJ424">
        <f t="shared" si="349"/>
        <v>0</v>
      </c>
      <c r="BK424">
        <f t="shared" si="361"/>
        <v>0</v>
      </c>
      <c r="BM424">
        <f t="shared" si="362"/>
        <v>-59.439888206404675</v>
      </c>
      <c r="BN424">
        <f t="shared" si="350"/>
        <v>-161.59717854828119</v>
      </c>
      <c r="BQ424" s="66">
        <f t="shared" si="363"/>
        <v>27.844420325230924</v>
      </c>
    </row>
    <row r="425" spans="1:69" ht="13" x14ac:dyDescent="0.3">
      <c r="A425">
        <f t="shared" si="319"/>
        <v>1055000</v>
      </c>
      <c r="B425">
        <f t="shared" si="351"/>
        <v>1055</v>
      </c>
      <c r="C425">
        <f t="shared" si="320"/>
        <v>1.0534947385412887</v>
      </c>
      <c r="D425">
        <f t="shared" si="321"/>
        <v>0.32004380772687047</v>
      </c>
      <c r="F425">
        <f t="shared" si="322"/>
        <v>6.6889616871212222E-5</v>
      </c>
      <c r="G425">
        <f t="shared" si="323"/>
        <v>2.5498589919299452E-3</v>
      </c>
      <c r="H425">
        <f t="shared" si="324"/>
        <v>-3.13904279100807</v>
      </c>
      <c r="J425">
        <f t="shared" si="325"/>
        <v>15</v>
      </c>
      <c r="M425">
        <f t="shared" si="326"/>
        <v>1.0411163984559142E-3</v>
      </c>
      <c r="N425">
        <f t="shared" si="327"/>
        <v>-1.5707963250000001</v>
      </c>
      <c r="O425">
        <f t="shared" si="328"/>
        <v>363.31048125408665</v>
      </c>
      <c r="P425">
        <f t="shared" si="329"/>
        <v>1.5680438566232922</v>
      </c>
      <c r="Q425">
        <f t="shared" si="330"/>
        <v>139.5462830692322</v>
      </c>
      <c r="R425">
        <f t="shared" si="331"/>
        <v>1.5636301842292193</v>
      </c>
      <c r="S425">
        <f t="shared" si="332"/>
        <v>0.94713882439284891</v>
      </c>
      <c r="T425">
        <f t="shared" si="333"/>
        <v>-0.32659936161293218</v>
      </c>
      <c r="U425">
        <f t="shared" si="334"/>
        <v>0.18658566234619225</v>
      </c>
      <c r="V425">
        <f t="shared" si="335"/>
        <v>-1.3831107046575273</v>
      </c>
      <c r="X425">
        <f t="shared" si="352"/>
        <v>-40.122605328445502</v>
      </c>
      <c r="Y425">
        <f t="shared" si="336"/>
        <v>-170.04420992194724</v>
      </c>
      <c r="Z425">
        <f t="shared" si="353"/>
        <v>9.9557900780527575</v>
      </c>
      <c r="AC425">
        <v>1</v>
      </c>
      <c r="AD425">
        <f t="shared" si="337"/>
        <v>363.30910501813202</v>
      </c>
      <c r="AE425">
        <f t="shared" si="338"/>
        <v>-0.24082890415464184</v>
      </c>
      <c r="AF425">
        <f t="shared" si="339"/>
        <v>4.5738447391350003E-2</v>
      </c>
      <c r="AG425">
        <f t="shared" si="367"/>
        <v>272.52805883765672</v>
      </c>
      <c r="AH425">
        <f t="shared" si="368"/>
        <v>-1456.8188813043553</v>
      </c>
      <c r="AJ425">
        <f t="shared" si="340"/>
        <v>21000</v>
      </c>
      <c r="AK425">
        <f t="shared" si="341"/>
        <v>7113.3228834286501</v>
      </c>
      <c r="AL425">
        <v>1</v>
      </c>
      <c r="AM425">
        <f t="shared" si="342"/>
        <v>139.54269998261566</v>
      </c>
      <c r="AN425">
        <f t="shared" si="369"/>
        <v>52.0517478713316</v>
      </c>
      <c r="AO425">
        <f t="shared" si="370"/>
        <v>-150.11855335132816</v>
      </c>
      <c r="AQ425">
        <f t="shared" si="343"/>
        <v>2.2461305347744806E-3</v>
      </c>
      <c r="AR425">
        <f t="shared" si="344"/>
        <v>-4.7393354283741544</v>
      </c>
      <c r="AT425">
        <f t="shared" si="365"/>
        <v>-6903.7412032955954</v>
      </c>
      <c r="AU425">
        <f t="shared" si="366"/>
        <v>-1294.8740898482763</v>
      </c>
      <c r="AV425">
        <f t="shared" si="354"/>
        <v>-2.9561855680102229</v>
      </c>
      <c r="AW425">
        <f t="shared" si="355"/>
        <v>-523.10544405817404</v>
      </c>
      <c r="AX425">
        <f t="shared" si="356"/>
        <v>-1931.7929713470724</v>
      </c>
      <c r="AY425">
        <f t="shared" si="364"/>
        <v>-1.8352420341213562</v>
      </c>
      <c r="BA425">
        <f t="shared" si="345"/>
        <v>3.5096668210955122</v>
      </c>
      <c r="BB425">
        <f t="shared" si="357"/>
        <v>10.905317801523342</v>
      </c>
      <c r="BC425">
        <f t="shared" si="358"/>
        <v>-1.1209435338888667</v>
      </c>
      <c r="BD425">
        <f t="shared" si="346"/>
        <v>-244.22533363769998</v>
      </c>
      <c r="BF425">
        <f t="shared" si="347"/>
        <v>-48.613035429868972</v>
      </c>
      <c r="BG425">
        <f t="shared" si="348"/>
        <v>-225.74207801594258</v>
      </c>
      <c r="BH425">
        <f t="shared" si="359"/>
        <v>-45.742078015942582</v>
      </c>
      <c r="BI425">
        <f t="shared" si="360"/>
        <v>-45.742078015942582</v>
      </c>
      <c r="BJ425">
        <f t="shared" si="349"/>
        <v>0</v>
      </c>
      <c r="BK425">
        <f t="shared" si="361"/>
        <v>0</v>
      </c>
      <c r="BM425">
        <f t="shared" si="362"/>
        <v>-59.518353231392318</v>
      </c>
      <c r="BN425">
        <f t="shared" si="350"/>
        <v>-161.51674437824266</v>
      </c>
      <c r="BQ425" s="66">
        <f t="shared" si="363"/>
        <v>27.807278601808481</v>
      </c>
    </row>
    <row r="426" spans="1:69" ht="13" x14ac:dyDescent="0.3">
      <c r="A426">
        <f t="shared" si="319"/>
        <v>1060000</v>
      </c>
      <c r="B426">
        <f t="shared" si="351"/>
        <v>1060</v>
      </c>
      <c r="C426">
        <f t="shared" si="320"/>
        <v>1.053989978508908</v>
      </c>
      <c r="D426">
        <f t="shared" si="321"/>
        <v>0.32145846477893431</v>
      </c>
      <c r="F426">
        <f t="shared" si="322"/>
        <v>6.6260030976088332E-5</v>
      </c>
      <c r="G426">
        <f t="shared" si="323"/>
        <v>2.5378297948827734E-3</v>
      </c>
      <c r="H426">
        <f t="shared" si="324"/>
        <v>-3.1390548202051174</v>
      </c>
      <c r="J426">
        <f t="shared" si="325"/>
        <v>15</v>
      </c>
      <c r="M426">
        <f t="shared" si="326"/>
        <v>1.0362054720481032E-3</v>
      </c>
      <c r="N426">
        <f t="shared" si="327"/>
        <v>-1.5707963250000001</v>
      </c>
      <c r="O426">
        <f t="shared" si="328"/>
        <v>365.03231886204406</v>
      </c>
      <c r="P426">
        <f t="shared" si="329"/>
        <v>1.5680568399080461</v>
      </c>
      <c r="Q426">
        <f t="shared" si="330"/>
        <v>140.20760597865532</v>
      </c>
      <c r="R426">
        <f t="shared" si="331"/>
        <v>1.5636639856394225</v>
      </c>
      <c r="S426">
        <f t="shared" si="332"/>
        <v>0.94667604454010801</v>
      </c>
      <c r="T426">
        <f t="shared" si="333"/>
        <v>-0.32803877636418638</v>
      </c>
      <c r="U426">
        <f t="shared" si="334"/>
        <v>0.18573597303789655</v>
      </c>
      <c r="V426">
        <f t="shared" si="335"/>
        <v>-1.3839755114339347</v>
      </c>
      <c r="X426">
        <f t="shared" si="352"/>
        <v>-40.203488788252727</v>
      </c>
      <c r="Y426">
        <f t="shared" si="336"/>
        <v>-170.09318686871461</v>
      </c>
      <c r="Z426">
        <f t="shared" si="353"/>
        <v>9.9068131312853893</v>
      </c>
      <c r="AC426">
        <v>1</v>
      </c>
      <c r="AD426">
        <f t="shared" si="337"/>
        <v>365.030949117744</v>
      </c>
      <c r="AE426">
        <f t="shared" si="338"/>
        <v>-0.24311705191541572</v>
      </c>
      <c r="AF426">
        <f t="shared" si="339"/>
        <v>4.5955217284199996E-2</v>
      </c>
      <c r="AG426">
        <f t="shared" si="367"/>
        <v>270.05158860094838</v>
      </c>
      <c r="AH426">
        <f t="shared" si="368"/>
        <v>-1450.4152090834268</v>
      </c>
      <c r="AJ426">
        <f t="shared" si="340"/>
        <v>21000</v>
      </c>
      <c r="AK426">
        <f t="shared" si="341"/>
        <v>7147.0353141558007</v>
      </c>
      <c r="AL426">
        <v>1</v>
      </c>
      <c r="AM426">
        <f t="shared" si="342"/>
        <v>140.2040397929598</v>
      </c>
      <c r="AN426">
        <f t="shared" si="369"/>
        <v>52.041623366279268</v>
      </c>
      <c r="AO426">
        <f t="shared" si="370"/>
        <v>-149.41051918024405</v>
      </c>
      <c r="AQ426">
        <f t="shared" si="343"/>
        <v>2.2249906049771704E-3</v>
      </c>
      <c r="AR426">
        <f t="shared" si="344"/>
        <v>-4.7169800825516015</v>
      </c>
      <c r="AT426">
        <f t="shared" si="365"/>
        <v>-6840.9787904289442</v>
      </c>
      <c r="AU426">
        <f t="shared" si="366"/>
        <v>-1277.0551249056191</v>
      </c>
      <c r="AV426">
        <f t="shared" si="354"/>
        <v>-2.9570396270374584</v>
      </c>
      <c r="AW426">
        <f t="shared" si="355"/>
        <v>-517.65968324171388</v>
      </c>
      <c r="AX426">
        <f t="shared" si="356"/>
        <v>-1922.8578062102965</v>
      </c>
      <c r="AY426">
        <f t="shared" si="364"/>
        <v>-1.8337751518689278</v>
      </c>
      <c r="BA426">
        <f t="shared" si="345"/>
        <v>3.4947462240661809</v>
      </c>
      <c r="BB426">
        <f t="shared" si="357"/>
        <v>10.868312886387912</v>
      </c>
      <c r="BC426">
        <f t="shared" si="358"/>
        <v>-1.1232644751685306</v>
      </c>
      <c r="BD426">
        <f t="shared" si="346"/>
        <v>-244.35831377767437</v>
      </c>
      <c r="BF426">
        <f t="shared" si="347"/>
        <v>-48.728099609775413</v>
      </c>
      <c r="BG426">
        <f t="shared" si="348"/>
        <v>-225.79469349950523</v>
      </c>
      <c r="BH426">
        <f t="shared" si="359"/>
        <v>-45.794693499505229</v>
      </c>
      <c r="BI426">
        <f t="shared" si="360"/>
        <v>-45.794693499505229</v>
      </c>
      <c r="BJ426">
        <f t="shared" si="349"/>
        <v>0</v>
      </c>
      <c r="BK426">
        <f t="shared" si="361"/>
        <v>0</v>
      </c>
      <c r="BM426">
        <f t="shared" si="362"/>
        <v>-59.596412496163325</v>
      </c>
      <c r="BN426">
        <f t="shared" si="350"/>
        <v>-161.43637972183089</v>
      </c>
      <c r="BQ426" s="66">
        <f t="shared" si="363"/>
        <v>27.77027368667305</v>
      </c>
    </row>
    <row r="427" spans="1:69" ht="13" x14ac:dyDescent="0.3">
      <c r="A427">
        <f t="shared" si="319"/>
        <v>1065000</v>
      </c>
      <c r="B427">
        <f t="shared" si="351"/>
        <v>1065</v>
      </c>
      <c r="C427">
        <f t="shared" si="320"/>
        <v>1.0544873257950649</v>
      </c>
      <c r="D427">
        <f t="shared" si="321"/>
        <v>0.32287179021566303</v>
      </c>
      <c r="F427">
        <f t="shared" si="322"/>
        <v>6.5639292401363619E-5</v>
      </c>
      <c r="G427">
        <f t="shared" si="323"/>
        <v>2.5259135698658211E-3</v>
      </c>
      <c r="H427">
        <f t="shared" si="324"/>
        <v>-3.1390667364301343</v>
      </c>
      <c r="J427">
        <f t="shared" si="325"/>
        <v>15</v>
      </c>
      <c r="M427">
        <f t="shared" si="326"/>
        <v>1.0313406576253422E-3</v>
      </c>
      <c r="N427">
        <f t="shared" si="327"/>
        <v>-1.5707963250000001</v>
      </c>
      <c r="O427">
        <f t="shared" si="328"/>
        <v>366.75415653095564</v>
      </c>
      <c r="P427">
        <f t="shared" si="329"/>
        <v>1.5680697012849338</v>
      </c>
      <c r="Q427">
        <f t="shared" si="330"/>
        <v>140.86892904676648</v>
      </c>
      <c r="R427">
        <f t="shared" si="331"/>
        <v>1.5636974696815622</v>
      </c>
      <c r="S427">
        <f t="shared" si="332"/>
        <v>0.9462117591061836</v>
      </c>
      <c r="T427">
        <f t="shared" si="333"/>
        <v>-0.32947678220648785</v>
      </c>
      <c r="U427">
        <f t="shared" si="334"/>
        <v>0.1848938510141323</v>
      </c>
      <c r="V427">
        <f t="shared" si="335"/>
        <v>-1.384832476824001</v>
      </c>
      <c r="X427">
        <f t="shared" si="352"/>
        <v>-40.284005613333562</v>
      </c>
      <c r="Y427">
        <f t="shared" si="336"/>
        <v>-170.14172880437684</v>
      </c>
      <c r="Z427">
        <f t="shared" si="353"/>
        <v>9.8582711956231606</v>
      </c>
      <c r="AC427">
        <v>1</v>
      </c>
      <c r="AD427">
        <f t="shared" si="337"/>
        <v>366.75279321735604</v>
      </c>
      <c r="AE427">
        <f t="shared" si="338"/>
        <v>-0.24541601834172516</v>
      </c>
      <c r="AF427">
        <f t="shared" si="339"/>
        <v>4.6171987177050004E-2</v>
      </c>
      <c r="AG427">
        <f t="shared" si="367"/>
        <v>267.60832640858285</v>
      </c>
      <c r="AH427">
        <f t="shared" si="368"/>
        <v>-1444.0654175575194</v>
      </c>
      <c r="AJ427">
        <f t="shared" si="340"/>
        <v>21000</v>
      </c>
      <c r="AK427">
        <f t="shared" si="341"/>
        <v>7180.7477448829504</v>
      </c>
      <c r="AL427">
        <v>1</v>
      </c>
      <c r="AM427">
        <f t="shared" si="342"/>
        <v>140.86537960330395</v>
      </c>
      <c r="AN427">
        <f t="shared" si="369"/>
        <v>52.031641115305817</v>
      </c>
      <c r="AO427">
        <f t="shared" si="370"/>
        <v>-148.70913220748079</v>
      </c>
      <c r="AQ427">
        <f t="shared" si="343"/>
        <v>2.2041477210986088E-3</v>
      </c>
      <c r="AR427">
        <f t="shared" si="344"/>
        <v>-4.6948346459400367</v>
      </c>
      <c r="AT427">
        <f t="shared" si="365"/>
        <v>-6779.0585050701075</v>
      </c>
      <c r="AU427">
        <f t="shared" si="366"/>
        <v>-1259.5597758642716</v>
      </c>
      <c r="AV427">
        <f t="shared" si="354"/>
        <v>-2.9578859455952786</v>
      </c>
      <c r="AW427">
        <f t="shared" si="355"/>
        <v>-512.2912095727155</v>
      </c>
      <c r="AX427">
        <f t="shared" si="356"/>
        <v>-1914.0042084165136</v>
      </c>
      <c r="AY427">
        <f t="shared" si="364"/>
        <v>-1.8323204354958824</v>
      </c>
      <c r="BA427">
        <f t="shared" si="345"/>
        <v>3.4799435655360629</v>
      </c>
      <c r="BB427">
        <f t="shared" si="357"/>
        <v>10.831444020454553</v>
      </c>
      <c r="BC427">
        <f t="shared" si="358"/>
        <v>-1.1255655100993962</v>
      </c>
      <c r="BD427">
        <f t="shared" si="346"/>
        <v>-244.49015336787579</v>
      </c>
      <c r="BF427">
        <f t="shared" si="347"/>
        <v>-48.842625701351594</v>
      </c>
      <c r="BG427">
        <f t="shared" si="348"/>
        <v>-225.84623825641307</v>
      </c>
      <c r="BH427">
        <f t="shared" si="359"/>
        <v>-45.846238256413073</v>
      </c>
      <c r="BI427">
        <f t="shared" si="360"/>
        <v>-45.846238256413073</v>
      </c>
      <c r="BJ427">
        <f t="shared" si="349"/>
        <v>0</v>
      </c>
      <c r="BK427">
        <f t="shared" si="361"/>
        <v>0</v>
      </c>
      <c r="BM427">
        <f t="shared" si="362"/>
        <v>-59.674069721806148</v>
      </c>
      <c r="BN427">
        <f t="shared" si="350"/>
        <v>-161.35608488853731</v>
      </c>
      <c r="BQ427" s="66">
        <f t="shared" si="363"/>
        <v>27.73340482073969</v>
      </c>
    </row>
    <row r="428" spans="1:69" ht="13" x14ac:dyDescent="0.3">
      <c r="A428">
        <f t="shared" ref="A428:A433" si="371">A427+5000</f>
        <v>1070000</v>
      </c>
      <c r="B428">
        <f t="shared" si="351"/>
        <v>1070</v>
      </c>
      <c r="C428">
        <f t="shared" si="320"/>
        <v>1.054986777419431</v>
      </c>
      <c r="D428">
        <f t="shared" si="321"/>
        <v>0.32428378027812704</v>
      </c>
      <c r="F428">
        <f t="shared" si="322"/>
        <v>6.5027236146297028E-5</v>
      </c>
      <c r="G428">
        <f t="shared" si="323"/>
        <v>2.5141087327539414E-3</v>
      </c>
      <c r="H428">
        <f t="shared" si="324"/>
        <v>-3.1390785412672462</v>
      </c>
      <c r="J428">
        <f t="shared" si="325"/>
        <v>15</v>
      </c>
      <c r="M428">
        <f t="shared" si="326"/>
        <v>1.026521308757934E-3</v>
      </c>
      <c r="N428">
        <f t="shared" si="327"/>
        <v>-1.5707963250000001</v>
      </c>
      <c r="O428">
        <f t="shared" si="328"/>
        <v>368.47599425996685</v>
      </c>
      <c r="P428">
        <f t="shared" si="329"/>
        <v>1.5680824424629269</v>
      </c>
      <c r="Q428">
        <f t="shared" si="330"/>
        <v>141.5302522713412</v>
      </c>
      <c r="R428">
        <f t="shared" si="331"/>
        <v>1.5637306408044249</v>
      </c>
      <c r="S428">
        <f t="shared" si="332"/>
        <v>0.94574597606136923</v>
      </c>
      <c r="T428">
        <f t="shared" si="333"/>
        <v>-0.33091337526895354</v>
      </c>
      <c r="U428">
        <f t="shared" si="334"/>
        <v>0.18405919749571348</v>
      </c>
      <c r="V428">
        <f t="shared" si="335"/>
        <v>-1.3856817057539186</v>
      </c>
      <c r="X428">
        <f t="shared" si="352"/>
        <v>-40.364159068899738</v>
      </c>
      <c r="Y428">
        <f t="shared" si="336"/>
        <v>-170.18984147229753</v>
      </c>
      <c r="Z428">
        <f t="shared" si="353"/>
        <v>9.8101585277024697</v>
      </c>
      <c r="AC428">
        <v>1</v>
      </c>
      <c r="AD428">
        <f t="shared" si="337"/>
        <v>368.47463731696803</v>
      </c>
      <c r="AE428">
        <f t="shared" si="338"/>
        <v>-0.2477258034335702</v>
      </c>
      <c r="AF428">
        <f t="shared" si="339"/>
        <v>4.6388757069900005E-2</v>
      </c>
      <c r="AG428">
        <f t="shared" si="367"/>
        <v>265.19768830294225</v>
      </c>
      <c r="AH428">
        <f t="shared" si="368"/>
        <v>-1437.7688607408008</v>
      </c>
      <c r="AJ428">
        <f t="shared" si="340"/>
        <v>21000</v>
      </c>
      <c r="AK428">
        <f t="shared" si="341"/>
        <v>7214.460175610101</v>
      </c>
      <c r="AL428">
        <v>1</v>
      </c>
      <c r="AM428">
        <f t="shared" si="342"/>
        <v>141.52671941364812</v>
      </c>
      <c r="AN428">
        <f t="shared" si="369"/>
        <v>52.021798465900559</v>
      </c>
      <c r="AO428">
        <f t="shared" si="370"/>
        <v>-148.01429926675726</v>
      </c>
      <c r="AQ428">
        <f t="shared" si="343"/>
        <v>2.1835963438736256E-3</v>
      </c>
      <c r="AR428">
        <f t="shared" si="344"/>
        <v>-4.6728961758895586</v>
      </c>
      <c r="AT428">
        <f t="shared" si="365"/>
        <v>-6717.9655264661942</v>
      </c>
      <c r="AU428">
        <f t="shared" si="366"/>
        <v>-1242.3807703532191</v>
      </c>
      <c r="AV428">
        <f t="shared" si="354"/>
        <v>-2.958724627195171</v>
      </c>
      <c r="AW428">
        <f t="shared" si="355"/>
        <v>-506.99856479989148</v>
      </c>
      <c r="AX428">
        <f t="shared" si="356"/>
        <v>-1905.2310745480349</v>
      </c>
      <c r="AY428">
        <f t="shared" si="364"/>
        <v>-1.830877723152559</v>
      </c>
      <c r="BA428">
        <f t="shared" si="345"/>
        <v>3.4652575808206634</v>
      </c>
      <c r="BB428">
        <f t="shared" si="357"/>
        <v>10.794710445746267</v>
      </c>
      <c r="BC428">
        <f t="shared" si="358"/>
        <v>-1.127846904042612</v>
      </c>
      <c r="BD428">
        <f t="shared" si="346"/>
        <v>-244.62086761237811</v>
      </c>
      <c r="BF428">
        <f t="shared" si="347"/>
        <v>-48.956618132098278</v>
      </c>
      <c r="BG428">
        <f t="shared" si="348"/>
        <v>-225.89672779687447</v>
      </c>
      <c r="BH428">
        <f t="shared" si="359"/>
        <v>-45.896727796874472</v>
      </c>
      <c r="BI428">
        <f t="shared" si="360"/>
        <v>-45.896727796874472</v>
      </c>
      <c r="BJ428">
        <f t="shared" si="349"/>
        <v>0</v>
      </c>
      <c r="BK428">
        <f t="shared" si="361"/>
        <v>0</v>
      </c>
      <c r="BM428">
        <f t="shared" si="362"/>
        <v>-59.751328577844546</v>
      </c>
      <c r="BN428">
        <f t="shared" si="350"/>
        <v>-161.27586018449637</v>
      </c>
      <c r="BQ428" s="66">
        <f t="shared" si="363"/>
        <v>27.696671246031404</v>
      </c>
    </row>
    <row r="429" spans="1:69" ht="13" x14ac:dyDescent="0.3">
      <c r="A429">
        <f t="shared" si="371"/>
        <v>1075000</v>
      </c>
      <c r="B429">
        <f t="shared" si="351"/>
        <v>1075</v>
      </c>
      <c r="C429">
        <f t="shared" si="320"/>
        <v>1.0554883303947202</v>
      </c>
      <c r="D429">
        <f t="shared" si="321"/>
        <v>0.32569443123579517</v>
      </c>
      <c r="F429">
        <f t="shared" si="322"/>
        <v>6.4423701038906358E-5</v>
      </c>
      <c r="G429">
        <f t="shared" si="323"/>
        <v>2.5024137289034426E-3</v>
      </c>
      <c r="H429">
        <f t="shared" si="324"/>
        <v>-3.1390902362710968</v>
      </c>
      <c r="J429">
        <f t="shared" si="325"/>
        <v>15</v>
      </c>
      <c r="M429">
        <f t="shared" si="326"/>
        <v>1.021746791042781E-3</v>
      </c>
      <c r="N429">
        <f t="shared" si="327"/>
        <v>-1.5707963250000001</v>
      </c>
      <c r="O429">
        <f t="shared" si="328"/>
        <v>370.19783204823915</v>
      </c>
      <c r="P429">
        <f t="shared" si="329"/>
        <v>1.5680950651192029</v>
      </c>
      <c r="Q429">
        <f t="shared" si="330"/>
        <v>142.19157565019643</v>
      </c>
      <c r="R429">
        <f t="shared" si="331"/>
        <v>1.563763503374036</v>
      </c>
      <c r="S429">
        <f t="shared" si="332"/>
        <v>0.94527870337963205</v>
      </c>
      <c r="T429">
        <f t="shared" si="333"/>
        <v>-0.33234855171162819</v>
      </c>
      <c r="U429">
        <f t="shared" si="334"/>
        <v>0.18323191538110475</v>
      </c>
      <c r="V429">
        <f t="shared" si="335"/>
        <v>-1.3865233013085445</v>
      </c>
      <c r="X429">
        <f t="shared" si="352"/>
        <v>-40.443952377416828</v>
      </c>
      <c r="Y429">
        <f t="shared" si="336"/>
        <v>-170.23753051535897</v>
      </c>
      <c r="Z429">
        <f t="shared" si="353"/>
        <v>9.7624694846410307</v>
      </c>
      <c r="AC429">
        <v>1</v>
      </c>
      <c r="AD429">
        <f t="shared" si="337"/>
        <v>370.19648141658001</v>
      </c>
      <c r="AE429">
        <f t="shared" si="338"/>
        <v>-0.25004640719095078</v>
      </c>
      <c r="AF429">
        <f t="shared" si="339"/>
        <v>4.6605526962749999E-2</v>
      </c>
      <c r="AG429">
        <f t="shared" si="367"/>
        <v>262.81910294534623</v>
      </c>
      <c r="AH429">
        <f t="shared" si="368"/>
        <v>-1431.5249023137696</v>
      </c>
      <c r="AJ429">
        <f t="shared" si="340"/>
        <v>21000</v>
      </c>
      <c r="AK429">
        <f t="shared" si="341"/>
        <v>7248.1726063372507</v>
      </c>
      <c r="AL429">
        <v>1</v>
      </c>
      <c r="AM429">
        <f t="shared" si="342"/>
        <v>142.18805922399224</v>
      </c>
      <c r="AN429">
        <f t="shared" si="369"/>
        <v>52.01209282708917</v>
      </c>
      <c r="AO429">
        <f t="shared" si="370"/>
        <v>-147.32592892468591</v>
      </c>
      <c r="AQ429">
        <f t="shared" si="343"/>
        <v>2.1633310625568279E-3</v>
      </c>
      <c r="AR429">
        <f t="shared" si="344"/>
        <v>-4.6511617844971802</v>
      </c>
      <c r="AT429">
        <f t="shared" si="365"/>
        <v>-6657.6853544686292</v>
      </c>
      <c r="AU429">
        <f t="shared" si="366"/>
        <v>-1225.5110301432237</v>
      </c>
      <c r="AV429">
        <f t="shared" si="354"/>
        <v>-2.9595557735336051</v>
      </c>
      <c r="AW429">
        <f t="shared" si="355"/>
        <v>-501.7803249536172</v>
      </c>
      <c r="AX429">
        <f t="shared" si="356"/>
        <v>-1896.5373208752351</v>
      </c>
      <c r="AY429">
        <f t="shared" si="364"/>
        <v>-1.829446855787378</v>
      </c>
      <c r="BA429">
        <f t="shared" si="345"/>
        <v>3.4506870203908675</v>
      </c>
      <c r="BB429">
        <f t="shared" si="357"/>
        <v>10.758111405584785</v>
      </c>
      <c r="BC429">
        <f t="shared" si="358"/>
        <v>-1.1301089177462271</v>
      </c>
      <c r="BD429">
        <f t="shared" si="346"/>
        <v>-244.75047145094413</v>
      </c>
      <c r="BF429">
        <f t="shared" si="347"/>
        <v>-49.070081277614534</v>
      </c>
      <c r="BG429">
        <f t="shared" si="348"/>
        <v>-225.94617736347044</v>
      </c>
      <c r="BH429">
        <f t="shared" si="359"/>
        <v>-45.94617736347044</v>
      </c>
      <c r="BI429">
        <f t="shared" si="360"/>
        <v>-45.94617736347044</v>
      </c>
      <c r="BJ429">
        <f t="shared" si="349"/>
        <v>0</v>
      </c>
      <c r="BK429">
        <f t="shared" si="361"/>
        <v>0</v>
      </c>
      <c r="BM429">
        <f t="shared" si="362"/>
        <v>-59.828192683199319</v>
      </c>
      <c r="BN429">
        <f t="shared" si="350"/>
        <v>-161.19570591252634</v>
      </c>
      <c r="BQ429" s="66">
        <f t="shared" si="363"/>
        <v>27.660072205869923</v>
      </c>
    </row>
    <row r="430" spans="1:69" ht="13" x14ac:dyDescent="0.3">
      <c r="A430">
        <f t="shared" si="371"/>
        <v>1080000</v>
      </c>
      <c r="B430">
        <f t="shared" si="351"/>
        <v>1080</v>
      </c>
      <c r="C430">
        <f t="shared" si="320"/>
        <v>1.0559919817267651</v>
      </c>
      <c r="D430">
        <f t="shared" si="321"/>
        <v>0.32710373938652676</v>
      </c>
      <c r="F430">
        <f t="shared" si="322"/>
        <v>6.3828529629845432E-5</v>
      </c>
      <c r="G430">
        <f t="shared" si="323"/>
        <v>2.4908270324693819E-3</v>
      </c>
      <c r="H430">
        <f t="shared" si="324"/>
        <v>-3.1391018229675307</v>
      </c>
      <c r="J430">
        <f t="shared" si="325"/>
        <v>15</v>
      </c>
      <c r="M430">
        <f t="shared" si="326"/>
        <v>1.0170164818249902E-3</v>
      </c>
      <c r="N430">
        <f t="shared" si="327"/>
        <v>-1.5707963250000001</v>
      </c>
      <c r="O430">
        <f t="shared" si="328"/>
        <v>371.91966989494944</v>
      </c>
      <c r="P430">
        <f t="shared" si="329"/>
        <v>1.5681075708998808</v>
      </c>
      <c r="Q430">
        <f t="shared" si="330"/>
        <v>142.85289918118943</v>
      </c>
      <c r="R430">
        <f t="shared" si="331"/>
        <v>1.5637960616755755</v>
      </c>
      <c r="S430">
        <f t="shared" si="332"/>
        <v>0.94480994903830262</v>
      </c>
      <c r="T430">
        <f t="shared" si="333"/>
        <v>-0.3337823077254688</v>
      </c>
      <c r="U430">
        <f t="shared" si="334"/>
        <v>0.18241190921174127</v>
      </c>
      <c r="V430">
        <f t="shared" si="335"/>
        <v>-1.387357364771111</v>
      </c>
      <c r="X430">
        <f t="shared" si="352"/>
        <v>-40.523388719334179</v>
      </c>
      <c r="Y430">
        <f t="shared" si="336"/>
        <v>-170.28480147812382</v>
      </c>
      <c r="Z430">
        <f t="shared" si="353"/>
        <v>9.7151985218761752</v>
      </c>
      <c r="AC430">
        <v>1</v>
      </c>
      <c r="AD430">
        <f t="shared" si="337"/>
        <v>371.91832551619206</v>
      </c>
      <c r="AE430">
        <f t="shared" si="338"/>
        <v>-0.2523778296138669</v>
      </c>
      <c r="AF430">
        <f t="shared" si="339"/>
        <v>4.68222968556E-2</v>
      </c>
      <c r="AG430">
        <f t="shared" si="367"/>
        <v>260.47201129458296</v>
      </c>
      <c r="AH430">
        <f t="shared" si="368"/>
        <v>-1425.3329154591356</v>
      </c>
      <c r="AJ430">
        <f t="shared" si="340"/>
        <v>21000</v>
      </c>
      <c r="AK430">
        <f t="shared" si="341"/>
        <v>7281.8850370644013</v>
      </c>
      <c r="AL430">
        <v>1</v>
      </c>
      <c r="AM430">
        <f t="shared" si="342"/>
        <v>142.84939903433639</v>
      </c>
      <c r="AN430">
        <f t="shared" si="369"/>
        <v>52.002521667728502</v>
      </c>
      <c r="AO430">
        <f t="shared" si="370"/>
        <v>-146.64393144067097</v>
      </c>
      <c r="AQ430">
        <f t="shared" si="343"/>
        <v>2.1433465913608986E-3</v>
      </c>
      <c r="AR430">
        <f t="shared" si="344"/>
        <v>-4.6296286373395414</v>
      </c>
      <c r="AT430">
        <f t="shared" si="365"/>
        <v>-6598.2038013547208</v>
      </c>
      <c r="AU430">
        <f t="shared" si="366"/>
        <v>-1208.9436651607334</v>
      </c>
      <c r="AV430">
        <f t="shared" si="354"/>
        <v>-2.9603794845311366</v>
      </c>
      <c r="AW430">
        <f t="shared" si="355"/>
        <v>-496.63509938227509</v>
      </c>
      <c r="AX430">
        <f t="shared" si="356"/>
        <v>-1887.9218829214474</v>
      </c>
      <c r="AY430">
        <f t="shared" si="364"/>
        <v>-1.8280276770882602</v>
      </c>
      <c r="BA430">
        <f t="shared" si="345"/>
        <v>3.4362306497337687</v>
      </c>
      <c r="BB430">
        <f t="shared" si="357"/>
        <v>10.721646144771439</v>
      </c>
      <c r="BC430">
        <f t="shared" si="358"/>
        <v>-1.1323518074428764</v>
      </c>
      <c r="BD430">
        <f t="shared" si="346"/>
        <v>-244.87897956462234</v>
      </c>
      <c r="BF430">
        <f t="shared" si="347"/>
        <v>-49.183019462356199</v>
      </c>
      <c r="BG430">
        <f t="shared" si="348"/>
        <v>-225.99460193679101</v>
      </c>
      <c r="BH430">
        <f t="shared" si="359"/>
        <v>-45.994601936791014</v>
      </c>
      <c r="BI430">
        <f t="shared" si="360"/>
        <v>-45.994601936791014</v>
      </c>
      <c r="BJ430">
        <f t="shared" si="349"/>
        <v>0</v>
      </c>
      <c r="BK430">
        <f t="shared" si="361"/>
        <v>0</v>
      </c>
      <c r="BM430">
        <f t="shared" si="362"/>
        <v>-59.90466560712764</v>
      </c>
      <c r="BN430">
        <f t="shared" si="350"/>
        <v>-161.11562237216867</v>
      </c>
      <c r="BQ430" s="66">
        <f t="shared" si="363"/>
        <v>27.623606945056576</v>
      </c>
    </row>
    <row r="431" spans="1:69" ht="13" x14ac:dyDescent="0.3">
      <c r="A431">
        <f t="shared" si="371"/>
        <v>1085000</v>
      </c>
      <c r="B431">
        <f t="shared" si="351"/>
        <v>1085</v>
      </c>
      <c r="C431">
        <f t="shared" si="320"/>
        <v>1.056497728414594</v>
      </c>
      <c r="D431">
        <f t="shared" si="321"/>
        <v>0.32851170105656186</v>
      </c>
      <c r="F431">
        <f t="shared" si="322"/>
        <v>6.32415680896973E-5</v>
      </c>
      <c r="G431">
        <f t="shared" si="323"/>
        <v>2.4793471457417596E-3</v>
      </c>
      <c r="H431">
        <f t="shared" si="324"/>
        <v>-3.1391133028542586</v>
      </c>
      <c r="J431">
        <f t="shared" si="325"/>
        <v>15</v>
      </c>
      <c r="M431">
        <f t="shared" si="326"/>
        <v>1.0123297699271793E-3</v>
      </c>
      <c r="N431">
        <f t="shared" si="327"/>
        <v>-1.5707963250000001</v>
      </c>
      <c r="O431">
        <f t="shared" si="328"/>
        <v>373.64150779928991</v>
      </c>
      <c r="P431">
        <f t="shared" si="329"/>
        <v>1.5681199614207366</v>
      </c>
      <c r="Q431">
        <f t="shared" si="330"/>
        <v>143.51422286221705</v>
      </c>
      <c r="R431">
        <f t="shared" si="331"/>
        <v>1.5638283199152401</v>
      </c>
      <c r="S431">
        <f t="shared" si="332"/>
        <v>0.94433972101776731</v>
      </c>
      <c r="T431">
        <f t="shared" si="333"/>
        <v>-0.33521463953232733</v>
      </c>
      <c r="U431">
        <f t="shared" si="334"/>
        <v>0.18159908513818365</v>
      </c>
      <c r="V431">
        <f t="shared" si="335"/>
        <v>-1.3881839956619284</v>
      </c>
      <c r="X431">
        <f t="shared" si="352"/>
        <v>-40.602471233799491</v>
      </c>
      <c r="Y431">
        <f t="shared" si="336"/>
        <v>-170.33165980894296</v>
      </c>
      <c r="Z431">
        <f t="shared" si="353"/>
        <v>9.668340191057041</v>
      </c>
      <c r="AC431">
        <v>1</v>
      </c>
      <c r="AD431">
        <f t="shared" si="337"/>
        <v>373.64016961580404</v>
      </c>
      <c r="AE431">
        <f t="shared" si="338"/>
        <v>-0.25472007070231867</v>
      </c>
      <c r="AF431">
        <f t="shared" si="339"/>
        <v>4.7039066748450001E-2</v>
      </c>
      <c r="AG431">
        <f t="shared" si="367"/>
        <v>258.15586629481754</v>
      </c>
      <c r="AH431">
        <f t="shared" si="368"/>
        <v>-1419.1922827005067</v>
      </c>
      <c r="AJ431">
        <f t="shared" si="340"/>
        <v>21000</v>
      </c>
      <c r="AK431">
        <f t="shared" si="341"/>
        <v>7315.5974677915501</v>
      </c>
      <c r="AL431">
        <v>1</v>
      </c>
      <c r="AM431">
        <f t="shared" si="342"/>
        <v>143.51073884468056</v>
      </c>
      <c r="AN431">
        <f t="shared" si="369"/>
        <v>51.993082514856276</v>
      </c>
      <c r="AO431">
        <f t="shared" si="370"/>
        <v>-145.96821872791585</v>
      </c>
      <c r="AQ431">
        <f t="shared" si="343"/>
        <v>2.1236377660095213E-3</v>
      </c>
      <c r="AR431">
        <f t="shared" si="344"/>
        <v>-4.6082939522406612</v>
      </c>
      <c r="AT431">
        <f t="shared" si="365"/>
        <v>-6539.5069838881836</v>
      </c>
      <c r="AU431">
        <f t="shared" si="366"/>
        <v>-1192.6719677106287</v>
      </c>
      <c r="AV431">
        <f t="shared" si="354"/>
        <v>-2.9611958583705187</v>
      </c>
      <c r="AW431">
        <f t="shared" si="355"/>
        <v>-491.56152982008103</v>
      </c>
      <c r="AX431">
        <f t="shared" si="356"/>
        <v>-1879.3837150393197</v>
      </c>
      <c r="AY431">
        <f t="shared" si="364"/>
        <v>-1.8266200334254634</v>
      </c>
      <c r="BA431">
        <f t="shared" si="345"/>
        <v>3.4218872492112493</v>
      </c>
      <c r="BB431">
        <f t="shared" si="357"/>
        <v>10.685313909758525</v>
      </c>
      <c r="BC431">
        <f t="shared" si="358"/>
        <v>-1.1345758249450553</v>
      </c>
      <c r="BD431">
        <f t="shared" si="346"/>
        <v>-245.00640638120603</v>
      </c>
      <c r="BF431">
        <f t="shared" si="347"/>
        <v>-49.295436960382155</v>
      </c>
      <c r="BG431">
        <f t="shared" si="348"/>
        <v>-226.04201624093284</v>
      </c>
      <c r="BH431">
        <f t="shared" si="359"/>
        <v>-46.042016240932838</v>
      </c>
      <c r="BI431">
        <f t="shared" si="360"/>
        <v>-46.042016240932838</v>
      </c>
      <c r="BJ431">
        <f t="shared" si="349"/>
        <v>0</v>
      </c>
      <c r="BK431">
        <f t="shared" si="361"/>
        <v>0</v>
      </c>
      <c r="BM431">
        <f t="shared" si="362"/>
        <v>-59.980750870140668</v>
      </c>
      <c r="BN431">
        <f t="shared" si="350"/>
        <v>-161.03560985972683</v>
      </c>
      <c r="BQ431" s="66">
        <f t="shared" si="363"/>
        <v>27.587274710043662</v>
      </c>
    </row>
    <row r="432" spans="1:69" ht="13" x14ac:dyDescent="0.3">
      <c r="A432">
        <f t="shared" si="371"/>
        <v>1090000</v>
      </c>
      <c r="B432">
        <f t="shared" si="351"/>
        <v>1090</v>
      </c>
      <c r="C432">
        <f t="shared" si="320"/>
        <v>1.0570055674505043</v>
      </c>
      <c r="D432">
        <f t="shared" si="321"/>
        <v>0.32991831260051063</v>
      </c>
      <c r="F432">
        <f t="shared" si="322"/>
        <v>6.2662666109558331E-5</v>
      </c>
      <c r="G432">
        <f t="shared" si="323"/>
        <v>2.4679725984999737E-3</v>
      </c>
      <c r="H432">
        <f t="shared" si="324"/>
        <v>-3.1391246774015</v>
      </c>
      <c r="J432">
        <f t="shared" si="325"/>
        <v>15</v>
      </c>
      <c r="M432">
        <f t="shared" si="326"/>
        <v>1.0076860553862288E-3</v>
      </c>
      <c r="N432">
        <f t="shared" si="327"/>
        <v>-1.5707963250000001</v>
      </c>
      <c r="O432">
        <f t="shared" si="328"/>
        <v>375.36334576046738</v>
      </c>
      <c r="P432">
        <f t="shared" si="329"/>
        <v>1.5681322382678997</v>
      </c>
      <c r="Q432">
        <f t="shared" si="330"/>
        <v>144.17554669121472</v>
      </c>
      <c r="R432">
        <f t="shared" si="331"/>
        <v>1.5638602822220551</v>
      </c>
      <c r="S432">
        <f t="shared" si="332"/>
        <v>0.94386802730116004</v>
      </c>
      <c r="T432">
        <f t="shared" si="333"/>
        <v>-0.33664554338493291</v>
      </c>
      <c r="U432">
        <f t="shared" si="334"/>
        <v>0.18079335088708476</v>
      </c>
      <c r="V432">
        <f t="shared" si="335"/>
        <v>-1.3890032917761064</v>
      </c>
      <c r="X432">
        <f t="shared" si="352"/>
        <v>-40.681203019358719</v>
      </c>
      <c r="Y432">
        <f t="shared" si="336"/>
        <v>-170.37811086200918</v>
      </c>
      <c r="Z432">
        <f t="shared" si="353"/>
        <v>9.62188913799082</v>
      </c>
      <c r="AC432">
        <v>1</v>
      </c>
      <c r="AD432">
        <f t="shared" si="337"/>
        <v>375.36201371541603</v>
      </c>
      <c r="AE432">
        <f t="shared" si="338"/>
        <v>-0.25707313045630598</v>
      </c>
      <c r="AF432">
        <f t="shared" si="339"/>
        <v>4.7255836641300002E-2</v>
      </c>
      <c r="AG432">
        <f t="shared" si="367"/>
        <v>255.87013257257277</v>
      </c>
      <c r="AH432">
        <f t="shared" si="368"/>
        <v>-1413.1023957438558</v>
      </c>
      <c r="AJ432">
        <f t="shared" si="340"/>
        <v>21000</v>
      </c>
      <c r="AK432">
        <f t="shared" si="341"/>
        <v>7349.3098985187007</v>
      </c>
      <c r="AL432">
        <v>1</v>
      </c>
      <c r="AM432">
        <f t="shared" si="342"/>
        <v>144.17207865502471</v>
      </c>
      <c r="AN432">
        <f t="shared" si="369"/>
        <v>51.983772952093737</v>
      </c>
      <c r="AO432">
        <f t="shared" si="370"/>
        <v>-145.29870431550322</v>
      </c>
      <c r="AQ432">
        <f t="shared" si="343"/>
        <v>2.1041995404007365E-3</v>
      </c>
      <c r="AR432">
        <f t="shared" si="344"/>
        <v>-4.5871549980736051</v>
      </c>
      <c r="AT432">
        <f t="shared" si="365"/>
        <v>-6481.5813156108516</v>
      </c>
      <c r="AU432">
        <f t="shared" si="366"/>
        <v>-1176.6894068996965</v>
      </c>
      <c r="AV432">
        <f t="shared" si="354"/>
        <v>-2.9620049915338438</v>
      </c>
      <c r="AW432">
        <f t="shared" si="355"/>
        <v>-486.55828948521946</v>
      </c>
      <c r="AX432">
        <f t="shared" si="356"/>
        <v>-1870.9217899982802</v>
      </c>
      <c r="AY432">
        <f t="shared" si="364"/>
        <v>-1.8252237737957893</v>
      </c>
      <c r="BA432">
        <f t="shared" si="345"/>
        <v>3.407655613916619</v>
      </c>
      <c r="BB432">
        <f t="shared" si="357"/>
        <v>10.649113948811648</v>
      </c>
      <c r="BC432">
        <f t="shared" si="358"/>
        <v>-1.1367812177380545</v>
      </c>
      <c r="BD432">
        <f t="shared" si="346"/>
        <v>-245.13276608055781</v>
      </c>
      <c r="BF432">
        <f t="shared" si="347"/>
        <v>-49.407337996088444</v>
      </c>
      <c r="BG432">
        <f t="shared" si="348"/>
        <v>-226.08843474886149</v>
      </c>
      <c r="BH432">
        <f t="shared" si="359"/>
        <v>-46.088434748861488</v>
      </c>
      <c r="BI432">
        <f t="shared" si="360"/>
        <v>-46.088434748861488</v>
      </c>
      <c r="BJ432">
        <f t="shared" si="349"/>
        <v>0</v>
      </c>
      <c r="BK432">
        <f t="shared" si="361"/>
        <v>0</v>
      </c>
      <c r="BM432">
        <f t="shared" si="362"/>
        <v>-60.05645194490009</v>
      </c>
      <c r="BN432">
        <f t="shared" si="350"/>
        <v>-160.95566866830367</v>
      </c>
      <c r="BQ432" s="66">
        <f t="shared" si="363"/>
        <v>27.551074749096784</v>
      </c>
    </row>
    <row r="433" spans="1:69" ht="13" x14ac:dyDescent="0.3">
      <c r="A433">
        <f t="shared" si="371"/>
        <v>1095000</v>
      </c>
      <c r="B433">
        <f t="shared" si="351"/>
        <v>1095</v>
      </c>
      <c r="C433">
        <f t="shared" si="320"/>
        <v>1.0575154958201405</v>
      </c>
      <c r="D433">
        <f t="shared" si="321"/>
        <v>0.33132357040134158</v>
      </c>
      <c r="F433">
        <f t="shared" si="322"/>
        <v>6.2091676804793117E-5</v>
      </c>
      <c r="G433">
        <f t="shared" si="323"/>
        <v>2.4567019473849842E-3</v>
      </c>
      <c r="H433">
        <f t="shared" si="324"/>
        <v>-3.1391359480526151</v>
      </c>
      <c r="J433">
        <f t="shared" si="325"/>
        <v>15</v>
      </c>
      <c r="M433">
        <f t="shared" si="326"/>
        <v>1.0030847491972507E-3</v>
      </c>
      <c r="N433">
        <f t="shared" si="327"/>
        <v>-1.5707963250000001</v>
      </c>
      <c r="O433">
        <f t="shared" si="328"/>
        <v>377.08518377770332</v>
      </c>
      <c r="P433">
        <f t="shared" si="329"/>
        <v>1.5681444029985294</v>
      </c>
      <c r="Q433">
        <f t="shared" si="330"/>
        <v>144.83687066615551</v>
      </c>
      <c r="R433">
        <f t="shared" si="331"/>
        <v>1.5638919526496358</v>
      </c>
      <c r="S433">
        <f t="shared" si="332"/>
        <v>0.94339487587405868</v>
      </c>
      <c r="T433">
        <f t="shared" si="333"/>
        <v>-0.33807501556687225</v>
      </c>
      <c r="U433">
        <f t="shared" si="334"/>
        <v>0.17999461572894726</v>
      </c>
      <c r="V433">
        <f t="shared" si="335"/>
        <v>-1.3898153492203231</v>
      </c>
      <c r="X433">
        <f t="shared" si="352"/>
        <v>-40.759587134641244</v>
      </c>
      <c r="Y433">
        <f t="shared" si="336"/>
        <v>-170.42415989936018</v>
      </c>
      <c r="Z433">
        <f t="shared" si="353"/>
        <v>9.575840100639823</v>
      </c>
      <c r="AC433">
        <v>1</v>
      </c>
      <c r="AD433">
        <f t="shared" si="337"/>
        <v>377.08385781502807</v>
      </c>
      <c r="AE433">
        <f t="shared" si="338"/>
        <v>-0.25943700887582882</v>
      </c>
      <c r="AF433">
        <f t="shared" si="339"/>
        <v>4.7472606534150003E-2</v>
      </c>
      <c r="AG433">
        <f t="shared" si="367"/>
        <v>253.61428614248177</v>
      </c>
      <c r="AH433">
        <f t="shared" si="368"/>
        <v>-1407.0626553217135</v>
      </c>
      <c r="AJ433">
        <f t="shared" si="340"/>
        <v>21000</v>
      </c>
      <c r="AK433">
        <f t="shared" si="341"/>
        <v>7383.0223292458504</v>
      </c>
      <c r="AL433">
        <v>1</v>
      </c>
      <c r="AM433">
        <f t="shared" si="342"/>
        <v>144.83341846536885</v>
      </c>
      <c r="AN433">
        <f t="shared" si="369"/>
        <v>51.974590618098986</v>
      </c>
      <c r="AO433">
        <f t="shared" si="370"/>
        <v>-144.63530331151293</v>
      </c>
      <c r="AQ433">
        <f t="shared" si="343"/>
        <v>2.0850269833767054E-3</v>
      </c>
      <c r="AR433">
        <f t="shared" si="344"/>
        <v>-4.5662090935949848</v>
      </c>
      <c r="AT433">
        <f t="shared" si="365"/>
        <v>-6424.4134993579364</v>
      </c>
      <c r="AU433">
        <f t="shared" si="366"/>
        <v>-1160.9896232530484</v>
      </c>
      <c r="AV433">
        <f t="shared" si="354"/>
        <v>-2.9628069788387563</v>
      </c>
      <c r="AW433">
        <f t="shared" si="355"/>
        <v>-481.62408220716424</v>
      </c>
      <c r="AX433">
        <f t="shared" si="356"/>
        <v>-1862.5350985827613</v>
      </c>
      <c r="AY433">
        <f t="shared" si="364"/>
        <v>-1.8238387497681328</v>
      </c>
      <c r="BA433">
        <f t="shared" si="345"/>
        <v>3.3935345535295247</v>
      </c>
      <c r="BB433">
        <f t="shared" si="357"/>
        <v>10.613045512163406</v>
      </c>
      <c r="BC433">
        <f t="shared" si="358"/>
        <v>-1.1389682290706236</v>
      </c>
      <c r="BD433">
        <f t="shared" si="346"/>
        <v>-245.25807259980451</v>
      </c>
      <c r="BF433">
        <f t="shared" si="347"/>
        <v>-49.518726744930589</v>
      </c>
      <c r="BG433">
        <f t="shared" si="348"/>
        <v>-226.13387168764271</v>
      </c>
      <c r="BH433">
        <f t="shared" si="359"/>
        <v>-46.13387168764271</v>
      </c>
      <c r="BI433">
        <f t="shared" si="360"/>
        <v>-46.13387168764271</v>
      </c>
      <c r="BJ433">
        <f t="shared" si="349"/>
        <v>0</v>
      </c>
      <c r="BK433">
        <f t="shared" si="361"/>
        <v>0</v>
      </c>
      <c r="BM433">
        <f t="shared" si="362"/>
        <v>-60.131772257093985</v>
      </c>
      <c r="BN433">
        <f t="shared" si="350"/>
        <v>-160.8757990878382</v>
      </c>
      <c r="BQ433" s="66">
        <f t="shared" si="363"/>
        <v>27.515006312448541</v>
      </c>
    </row>
    <row r="434" spans="1:69" ht="13" x14ac:dyDescent="0.3">
      <c r="A434">
        <f>A433+5000</f>
        <v>1100000</v>
      </c>
      <c r="B434">
        <f t="shared" si="351"/>
        <v>1100</v>
      </c>
      <c r="C434">
        <f t="shared" si="320"/>
        <v>1.058027510502568</v>
      </c>
      <c r="D434">
        <f t="shared" si="321"/>
        <v>0.33272747087036825</v>
      </c>
      <c r="F434">
        <f t="shared" si="322"/>
        <v>6.1528456621845327E-5</v>
      </c>
      <c r="G434">
        <f t="shared" si="323"/>
        <v>2.4455337752885969E-3</v>
      </c>
      <c r="H434">
        <f t="shared" si="324"/>
        <v>-3.1391471162247115</v>
      </c>
      <c r="J434">
        <f t="shared" si="325"/>
        <v>15</v>
      </c>
      <c r="M434">
        <f t="shared" si="326"/>
        <v>9.9852527306453593E-4</v>
      </c>
      <c r="N434">
        <f t="shared" si="327"/>
        <v>-1.5707963250000001</v>
      </c>
      <c r="O434">
        <f t="shared" si="328"/>
        <v>378.8070218502333</v>
      </c>
      <c r="P434">
        <f t="shared" si="329"/>
        <v>1.568156457141473</v>
      </c>
      <c r="Q434">
        <f t="shared" si="330"/>
        <v>145.49819478504935</v>
      </c>
      <c r="R434">
        <f t="shared" si="331"/>
        <v>1.5639233351779007</v>
      </c>
      <c r="S434">
        <f t="shared" si="332"/>
        <v>0.94292027472417961</v>
      </c>
      <c r="T434">
        <f t="shared" si="333"/>
        <v>-0.33950305239256856</v>
      </c>
      <c r="U434">
        <f t="shared" si="334"/>
        <v>0.17920279044664961</v>
      </c>
      <c r="V434">
        <f t="shared" si="335"/>
        <v>-1.3906202624486717</v>
      </c>
      <c r="X434">
        <f t="shared" si="352"/>
        <v>-40.837626599031076</v>
      </c>
      <c r="Y434">
        <f t="shared" si="336"/>
        <v>-170.46981209283058</v>
      </c>
      <c r="Z434">
        <f t="shared" si="353"/>
        <v>9.5301879071694202</v>
      </c>
      <c r="AC434">
        <v>1</v>
      </c>
      <c r="AD434">
        <f t="shared" si="337"/>
        <v>378.80570191464005</v>
      </c>
      <c r="AE434">
        <f t="shared" si="338"/>
        <v>-0.26181170596088732</v>
      </c>
      <c r="AF434">
        <f t="shared" si="339"/>
        <v>4.7689376427000003E-2</v>
      </c>
      <c r="AG434">
        <f t="shared" si="367"/>
        <v>251.38781412153349</v>
      </c>
      <c r="AH434">
        <f t="shared" si="368"/>
        <v>-1401.0724710400737</v>
      </c>
      <c r="AJ434">
        <f t="shared" si="340"/>
        <v>21000</v>
      </c>
      <c r="AK434">
        <f t="shared" si="341"/>
        <v>7416.734759973001</v>
      </c>
      <c r="AL434">
        <v>1</v>
      </c>
      <c r="AM434">
        <f t="shared" si="342"/>
        <v>145.494758275713</v>
      </c>
      <c r="AN434">
        <f t="shared" si="369"/>
        <v>51.965533205069654</v>
      </c>
      <c r="AO434">
        <f t="shared" si="370"/>
        <v>-143.97793236714648</v>
      </c>
      <c r="AQ434">
        <f t="shared" si="343"/>
        <v>2.0661152755960172E-3</v>
      </c>
      <c r="AR434">
        <f t="shared" si="344"/>
        <v>-4.5454536063112387</v>
      </c>
      <c r="AT434">
        <f t="shared" si="365"/>
        <v>-6367.9905199896466</v>
      </c>
      <c r="AU434">
        <f t="shared" si="366"/>
        <v>-1145.5664235160568</v>
      </c>
      <c r="AV434">
        <f t="shared" si="354"/>
        <v>-2.963601913473751</v>
      </c>
      <c r="AW434">
        <f t="shared" si="355"/>
        <v>-476.75764158211626</v>
      </c>
      <c r="AX434">
        <f t="shared" si="356"/>
        <v>-1854.2226492008742</v>
      </c>
      <c r="AY434">
        <f t="shared" si="364"/>
        <v>-1.8224648154303349</v>
      </c>
      <c r="BA434">
        <f t="shared" si="345"/>
        <v>3.3795228921693754</v>
      </c>
      <c r="BB434">
        <f t="shared" si="357"/>
        <v>10.577107852158765</v>
      </c>
      <c r="BC434">
        <f t="shared" si="358"/>
        <v>-1.1411370980434161</v>
      </c>
      <c r="BD434">
        <f t="shared" si="346"/>
        <v>-245.3823396384044</v>
      </c>
      <c r="BF434">
        <f t="shared" si="347"/>
        <v>-49.629607334134043</v>
      </c>
      <c r="BG434">
        <f t="shared" si="348"/>
        <v>-226.17834104354574</v>
      </c>
      <c r="BH434">
        <f t="shared" si="359"/>
        <v>-46.178341043545743</v>
      </c>
      <c r="BI434">
        <f t="shared" si="360"/>
        <v>-46.178341043545743</v>
      </c>
      <c r="BJ434">
        <f t="shared" si="349"/>
        <v>0</v>
      </c>
      <c r="BK434">
        <f t="shared" si="361"/>
        <v>0</v>
      </c>
      <c r="BM434">
        <f t="shared" si="362"/>
        <v>-60.206715186292811</v>
      </c>
      <c r="BN434">
        <f t="shared" si="350"/>
        <v>-160.79600140514137</v>
      </c>
      <c r="BQ434" s="66">
        <f t="shared" si="363"/>
        <v>27.4790686524439</v>
      </c>
    </row>
    <row r="435" spans="1:69" ht="13" x14ac:dyDescent="0.3">
      <c r="A435">
        <f t="shared" ref="A435:A472" si="372">A434+5000</f>
        <v>1105000</v>
      </c>
      <c r="B435">
        <f t="shared" si="351"/>
        <v>1105</v>
      </c>
      <c r="C435">
        <f t="shared" si="320"/>
        <v>1.0585416084703496</v>
      </c>
      <c r="D435">
        <f t="shared" si="321"/>
        <v>0.33413001044723484</v>
      </c>
      <c r="F435">
        <f t="shared" si="322"/>
        <v>6.0972865247993898E-5</v>
      </c>
      <c r="G435">
        <f t="shared" si="323"/>
        <v>2.4344666907593401E-3</v>
      </c>
      <c r="H435">
        <f t="shared" si="324"/>
        <v>-3.1391581833092408</v>
      </c>
      <c r="J435">
        <f t="shared" si="325"/>
        <v>15</v>
      </c>
      <c r="M435">
        <f t="shared" si="326"/>
        <v>9.9400705915926634E-4</v>
      </c>
      <c r="N435">
        <f t="shared" si="327"/>
        <v>-1.5707963250000001</v>
      </c>
      <c r="O435">
        <f t="shared" si="328"/>
        <v>380.52885997730669</v>
      </c>
      <c r="P435">
        <f t="shared" si="329"/>
        <v>1.5681684021979068</v>
      </c>
      <c r="Q435">
        <f t="shared" si="330"/>
        <v>146.15951904594229</v>
      </c>
      <c r="R435">
        <f t="shared" si="331"/>
        <v>1.5639544337147402</v>
      </c>
      <c r="S435">
        <f t="shared" si="332"/>
        <v>0.94244423184107717</v>
      </c>
      <c r="T435">
        <f t="shared" si="333"/>
        <v>-0.34092965020725963</v>
      </c>
      <c r="U435">
        <f t="shared" si="334"/>
        <v>0.17841778730472072</v>
      </c>
      <c r="V435">
        <f t="shared" si="335"/>
        <v>-1.391418124297606</v>
      </c>
      <c r="X435">
        <f t="shared" si="352"/>
        <v>-40.915324393324148</v>
      </c>
      <c r="Y435">
        <f t="shared" si="336"/>
        <v>-170.51507252595604</v>
      </c>
      <c r="Z435">
        <f t="shared" si="353"/>
        <v>9.4849274740439569</v>
      </c>
      <c r="AC435">
        <v>1</v>
      </c>
      <c r="AD435">
        <f t="shared" si="337"/>
        <v>380.52754601425204</v>
      </c>
      <c r="AE435">
        <f t="shared" si="338"/>
        <v>-0.26419722171148136</v>
      </c>
      <c r="AF435">
        <f t="shared" si="339"/>
        <v>4.7906146319849997E-2</v>
      </c>
      <c r="AG435">
        <f t="shared" si="367"/>
        <v>249.1902144515341</v>
      </c>
      <c r="AH435">
        <f t="shared" si="368"/>
        <v>-1395.1312612279605</v>
      </c>
      <c r="AJ435">
        <f t="shared" si="340"/>
        <v>21000</v>
      </c>
      <c r="AK435">
        <f t="shared" si="341"/>
        <v>7450.4471907001507</v>
      </c>
      <c r="AL435">
        <v>1</v>
      </c>
      <c r="AM435">
        <f t="shared" si="342"/>
        <v>146.15609808605717</v>
      </c>
      <c r="AN435">
        <f t="shared" si="369"/>
        <v>51.95659845729282</v>
      </c>
      <c r="AO435">
        <f t="shared" si="370"/>
        <v>-143.3265096418244</v>
      </c>
      <c r="AQ435">
        <f t="shared" si="343"/>
        <v>2.0474597065048409E-3</v>
      </c>
      <c r="AR435">
        <f t="shared" si="344"/>
        <v>-4.5248859513756985</v>
      </c>
      <c r="AT435">
        <f t="shared" si="365"/>
        <v>-6312.2996373321139</v>
      </c>
      <c r="AU435">
        <f t="shared" si="366"/>
        <v>-1130.4137756346936</v>
      </c>
      <c r="AV435">
        <f t="shared" si="354"/>
        <v>-2.9643898870325915</v>
      </c>
      <c r="AW435">
        <f t="shared" si="355"/>
        <v>-471.95773015551953</v>
      </c>
      <c r="AX435">
        <f t="shared" si="356"/>
        <v>-1845.9834675032057</v>
      </c>
      <c r="AY435">
        <f t="shared" si="364"/>
        <v>-1.8211018273373023</v>
      </c>
      <c r="BA435">
        <f t="shared" si="345"/>
        <v>3.3656194682475031</v>
      </c>
      <c r="BB435">
        <f t="shared" si="357"/>
        <v>10.541300223392545</v>
      </c>
      <c r="BC435">
        <f t="shared" si="358"/>
        <v>-1.1432880596952892</v>
      </c>
      <c r="BD435">
        <f t="shared" si="346"/>
        <v>-245.50558066309202</v>
      </c>
      <c r="BF435">
        <f t="shared" si="347"/>
        <v>-49.739983843393333</v>
      </c>
      <c r="BG435">
        <f t="shared" si="348"/>
        <v>-226.2218565670228</v>
      </c>
      <c r="BH435">
        <f t="shared" si="359"/>
        <v>-46.221856567022797</v>
      </c>
      <c r="BI435">
        <f t="shared" si="360"/>
        <v>-46.221856567022797</v>
      </c>
      <c r="BJ435">
        <f t="shared" si="349"/>
        <v>0</v>
      </c>
      <c r="BK435">
        <f t="shared" si="361"/>
        <v>0</v>
      </c>
      <c r="BM435">
        <f t="shared" si="362"/>
        <v>-60.281284066785886</v>
      </c>
      <c r="BN435">
        <f t="shared" si="350"/>
        <v>-160.71627590393078</v>
      </c>
      <c r="BQ435" s="66">
        <f t="shared" si="363"/>
        <v>27.443261023677682</v>
      </c>
    </row>
    <row r="436" spans="1:69" ht="13" x14ac:dyDescent="0.3">
      <c r="A436">
        <f t="shared" si="372"/>
        <v>1110000</v>
      </c>
      <c r="B436">
        <f t="shared" si="351"/>
        <v>1110</v>
      </c>
      <c r="C436">
        <f t="shared" si="320"/>
        <v>1.0590577866896205</v>
      </c>
      <c r="D436">
        <f t="shared" si="321"/>
        <v>0.33553118559990136</v>
      </c>
      <c r="F436">
        <f t="shared" si="322"/>
        <v>6.0424765523948908E-5</v>
      </c>
      <c r="G436">
        <f t="shared" si="323"/>
        <v>2.4234993274244018E-3</v>
      </c>
      <c r="H436">
        <f t="shared" si="324"/>
        <v>-3.1391691506725756</v>
      </c>
      <c r="J436">
        <f t="shared" si="325"/>
        <v>15</v>
      </c>
      <c r="M436">
        <f t="shared" si="326"/>
        <v>9.8952954988377421E-4</v>
      </c>
      <c r="N436">
        <f t="shared" si="327"/>
        <v>-1.5707963250000001</v>
      </c>
      <c r="O436">
        <f t="shared" si="328"/>
        <v>382.25069815818654</v>
      </c>
      <c r="P436">
        <f t="shared" si="329"/>
        <v>1.5681802396419595</v>
      </c>
      <c r="Q436">
        <f t="shared" si="330"/>
        <v>146.82084344691546</v>
      </c>
      <c r="R436">
        <f t="shared" si="331"/>
        <v>1.5639852520976369</v>
      </c>
      <c r="S436">
        <f t="shared" si="332"/>
        <v>0.94196675521584161</v>
      </c>
      <c r="T436">
        <f t="shared" si="333"/>
        <v>-0.34235480538697433</v>
      </c>
      <c r="U436">
        <f t="shared" si="334"/>
        <v>0.17763952001934233</v>
      </c>
      <c r="V436">
        <f t="shared" si="335"/>
        <v>-1.3922090260200175</v>
      </c>
      <c r="X436">
        <f t="shared" si="352"/>
        <v>-40.992683460372163</v>
      </c>
      <c r="Y436">
        <f t="shared" si="336"/>
        <v>-170.55994619582921</v>
      </c>
      <c r="Z436">
        <f t="shared" si="353"/>
        <v>9.4400538041707875</v>
      </c>
      <c r="AC436">
        <v>1</v>
      </c>
      <c r="AD436">
        <f t="shared" si="337"/>
        <v>382.24939011386402</v>
      </c>
      <c r="AE436">
        <f t="shared" si="338"/>
        <v>-0.26659355612761093</v>
      </c>
      <c r="AF436">
        <f t="shared" si="339"/>
        <v>4.8122916212700005E-2</v>
      </c>
      <c r="AG436">
        <f t="shared" si="367"/>
        <v>247.02099562951804</v>
      </c>
      <c r="AH436">
        <f t="shared" si="368"/>
        <v>-1389.2384527896279</v>
      </c>
      <c r="AJ436">
        <f t="shared" si="340"/>
        <v>21000</v>
      </c>
      <c r="AK436">
        <f t="shared" si="341"/>
        <v>7484.1596214273013</v>
      </c>
      <c r="AL436">
        <v>1</v>
      </c>
      <c r="AM436">
        <f t="shared" si="342"/>
        <v>146.81743789640129</v>
      </c>
      <c r="AN436">
        <f t="shared" si="369"/>
        <v>51.947784169740466</v>
      </c>
      <c r="AO436">
        <f t="shared" si="370"/>
        <v>-142.68095476922724</v>
      </c>
      <c r="AQ436">
        <f t="shared" si="343"/>
        <v>2.0290556714033618E-3</v>
      </c>
      <c r="AR436">
        <f t="shared" si="344"/>
        <v>-4.5045035905154629</v>
      </c>
      <c r="AT436">
        <f t="shared" si="365"/>
        <v>-6257.3283793208875</v>
      </c>
      <c r="AU436">
        <f t="shared" si="366"/>
        <v>-1115.5258039074329</v>
      </c>
      <c r="AV436">
        <f t="shared" si="354"/>
        <v>-2.9651709895478673</v>
      </c>
      <c r="AW436">
        <f t="shared" si="355"/>
        <v>-467.2231386306745</v>
      </c>
      <c r="AX436">
        <f t="shared" si="356"/>
        <v>-1837.8165960114388</v>
      </c>
      <c r="AY436">
        <f t="shared" si="364"/>
        <v>-1.8197496444603662</v>
      </c>
      <c r="BA436">
        <f t="shared" si="345"/>
        <v>3.3518231343182752</v>
      </c>
      <c r="BB436">
        <f t="shared" si="357"/>
        <v>10.505621882839362</v>
      </c>
      <c r="BC436">
        <f t="shared" si="358"/>
        <v>-1.145421345087501</v>
      </c>
      <c r="BD436">
        <f t="shared" si="346"/>
        <v>-245.62780891270233</v>
      </c>
      <c r="BF436">
        <f t="shared" si="347"/>
        <v>-49.849860305559616</v>
      </c>
      <c r="BG436">
        <f t="shared" si="348"/>
        <v>-226.26443177756718</v>
      </c>
      <c r="BH436">
        <f t="shared" si="359"/>
        <v>-46.264431777567182</v>
      </c>
      <c r="BI436">
        <f t="shared" si="360"/>
        <v>-46.264431777567182</v>
      </c>
      <c r="BJ436">
        <f t="shared" si="349"/>
        <v>0</v>
      </c>
      <c r="BK436">
        <f t="shared" si="361"/>
        <v>0</v>
      </c>
      <c r="BM436">
        <f t="shared" si="362"/>
        <v>-60.35548218839898</v>
      </c>
      <c r="BN436">
        <f t="shared" si="350"/>
        <v>-160.63662286486485</v>
      </c>
      <c r="BQ436" s="66">
        <f t="shared" si="363"/>
        <v>27.407582683124502</v>
      </c>
    </row>
    <row r="437" spans="1:69" ht="13" x14ac:dyDescent="0.3">
      <c r="A437">
        <f t="shared" si="372"/>
        <v>1115000</v>
      </c>
      <c r="B437">
        <f t="shared" si="351"/>
        <v>1115</v>
      </c>
      <c r="C437">
        <f t="shared" si="320"/>
        <v>1.0595760421201632</v>
      </c>
      <c r="D437">
        <f t="shared" si="321"/>
        <v>0.33693099282462613</v>
      </c>
      <c r="F437">
        <f t="shared" si="322"/>
        <v>5.9884023359185129E-5</v>
      </c>
      <c r="G437">
        <f t="shared" si="323"/>
        <v>2.4126303434271294E-3</v>
      </c>
      <c r="H437">
        <f t="shared" si="324"/>
        <v>-3.1391800196565729</v>
      </c>
      <c r="J437">
        <f t="shared" si="325"/>
        <v>15</v>
      </c>
      <c r="M437">
        <f t="shared" si="326"/>
        <v>9.8509219764214302E-4</v>
      </c>
      <c r="N437">
        <f t="shared" si="327"/>
        <v>-1.5707963250000001</v>
      </c>
      <c r="O437">
        <f t="shared" si="328"/>
        <v>383.97253639214881</v>
      </c>
      <c r="P437">
        <f t="shared" si="329"/>
        <v>1.5681919709213179</v>
      </c>
      <c r="Q437">
        <f t="shared" si="330"/>
        <v>147.48216798608448</v>
      </c>
      <c r="R437">
        <f t="shared" si="331"/>
        <v>1.5640157940952457</v>
      </c>
      <c r="S437">
        <f t="shared" si="332"/>
        <v>0.94148785284079972</v>
      </c>
      <c r="T437">
        <f t="shared" si="333"/>
        <v>-0.34377851433850776</v>
      </c>
      <c r="U437">
        <f t="shared" si="334"/>
        <v>0.17686790372906083</v>
      </c>
      <c r="V437">
        <f t="shared" si="335"/>
        <v>-1.3929930573184637</v>
      </c>
      <c r="X437">
        <f t="shared" si="352"/>
        <v>-41.069706705713301</v>
      </c>
      <c r="Y437">
        <f t="shared" si="336"/>
        <v>-170.60443801491061</v>
      </c>
      <c r="Z437">
        <f t="shared" si="353"/>
        <v>9.3955619850893868</v>
      </c>
      <c r="AC437">
        <v>1</v>
      </c>
      <c r="AD437">
        <f t="shared" si="337"/>
        <v>383.97123421347601</v>
      </c>
      <c r="AE437">
        <f t="shared" si="338"/>
        <v>-0.2690007092092761</v>
      </c>
      <c r="AF437">
        <f t="shared" si="339"/>
        <v>4.8339686105549999E-2</v>
      </c>
      <c r="AG437">
        <f t="shared" si="367"/>
        <v>244.87967644585544</v>
      </c>
      <c r="AH437">
        <f t="shared" si="368"/>
        <v>-1383.3934810593514</v>
      </c>
      <c r="AJ437">
        <f t="shared" si="340"/>
        <v>21000</v>
      </c>
      <c r="AK437">
        <f t="shared" si="341"/>
        <v>7517.8720521544501</v>
      </c>
      <c r="AL437">
        <v>1</v>
      </c>
      <c r="AM437">
        <f t="shared" si="342"/>
        <v>147.47877770674546</v>
      </c>
      <c r="AN437">
        <f t="shared" si="369"/>
        <v>51.939088186708958</v>
      </c>
      <c r="AO437">
        <f t="shared" si="370"/>
        <v>-142.0411888242491</v>
      </c>
      <c r="AQ437">
        <f t="shared" si="343"/>
        <v>2.0108986686041006E-3</v>
      </c>
      <c r="AR437">
        <f t="shared" si="344"/>
        <v>-4.4843040309871443</v>
      </c>
      <c r="AT437">
        <f t="shared" si="365"/>
        <v>-6203.0645353404534</v>
      </c>
      <c r="AU437">
        <f t="shared" si="366"/>
        <v>-1100.8967843021951</v>
      </c>
      <c r="AV437">
        <f t="shared" si="354"/>
        <v>-2.9659453095237236</v>
      </c>
      <c r="AW437">
        <f t="shared" si="355"/>
        <v>-462.55268510249385</v>
      </c>
      <c r="AX437">
        <f t="shared" si="356"/>
        <v>-1829.721093756501</v>
      </c>
      <c r="AY437">
        <f t="shared" si="364"/>
        <v>-1.8184081281378388</v>
      </c>
      <c r="BA437">
        <f t="shared" si="345"/>
        <v>3.3381327569293209</v>
      </c>
      <c r="BB437">
        <f t="shared" si="357"/>
        <v>10.470072089976284</v>
      </c>
      <c r="BC437">
        <f t="shared" si="358"/>
        <v>-1.1475371813858848</v>
      </c>
      <c r="BD437">
        <f t="shared" si="346"/>
        <v>-245.74903740287886</v>
      </c>
      <c r="BF437">
        <f t="shared" si="347"/>
        <v>-49.959240707317214</v>
      </c>
      <c r="BG437">
        <f t="shared" si="348"/>
        <v>-226.30607996845472</v>
      </c>
      <c r="BH437">
        <f t="shared" si="359"/>
        <v>-46.306079968454725</v>
      </c>
      <c r="BI437">
        <f t="shared" si="360"/>
        <v>-46.306079968454725</v>
      </c>
      <c r="BJ437">
        <f t="shared" si="349"/>
        <v>0</v>
      </c>
      <c r="BK437">
        <f t="shared" si="361"/>
        <v>0</v>
      </c>
      <c r="BM437">
        <f t="shared" si="362"/>
        <v>-60.429312797293491</v>
      </c>
      <c r="BN437">
        <f t="shared" si="350"/>
        <v>-160.5570425655759</v>
      </c>
      <c r="BQ437" s="66">
        <f t="shared" si="363"/>
        <v>27.372032890261423</v>
      </c>
    </row>
    <row r="438" spans="1:69" ht="13" x14ac:dyDescent="0.3">
      <c r="A438">
        <f t="shared" si="372"/>
        <v>1120000</v>
      </c>
      <c r="B438">
        <f t="shared" si="351"/>
        <v>1120</v>
      </c>
      <c r="C438">
        <f t="shared" si="320"/>
        <v>1.0600963717154828</v>
      </c>
      <c r="D438">
        <f t="shared" si="321"/>
        <v>0.33832942864594873</v>
      </c>
      <c r="F438">
        <f t="shared" si="322"/>
        <v>5.9350507649916162E-5</v>
      </c>
      <c r="G438">
        <f t="shared" si="323"/>
        <v>2.4018584208796035E-3</v>
      </c>
      <c r="H438">
        <f t="shared" si="324"/>
        <v>-3.1391907915791206</v>
      </c>
      <c r="J438">
        <f t="shared" si="325"/>
        <v>15</v>
      </c>
      <c r="M438">
        <f t="shared" si="326"/>
        <v>9.8069446461695499E-4</v>
      </c>
      <c r="N438">
        <f t="shared" si="327"/>
        <v>-1.5707963250000001</v>
      </c>
      <c r="O438">
        <f t="shared" si="328"/>
        <v>385.6943746784828</v>
      </c>
      <c r="P438">
        <f t="shared" si="329"/>
        <v>1.5682035974578179</v>
      </c>
      <c r="Q438">
        <f t="shared" si="330"/>
        <v>148.1434926615986</v>
      </c>
      <c r="R438">
        <f t="shared" si="331"/>
        <v>1.5640460634089286</v>
      </c>
      <c r="S438">
        <f t="shared" si="332"/>
        <v>0.94100753270921955</v>
      </c>
      <c r="T438">
        <f t="shared" si="333"/>
        <v>-0.34520077349939526</v>
      </c>
      <c r="U438">
        <f t="shared" si="334"/>
        <v>0.17610285496618788</v>
      </c>
      <c r="V438">
        <f t="shared" si="335"/>
        <v>-1.3937703063775722</v>
      </c>
      <c r="X438">
        <f t="shared" si="352"/>
        <v>-41.146396998190049</v>
      </c>
      <c r="Y438">
        <f t="shared" si="336"/>
        <v>-170.64855281279407</v>
      </c>
      <c r="Z438">
        <f t="shared" si="353"/>
        <v>9.3514471872059346</v>
      </c>
      <c r="AC438">
        <v>1</v>
      </c>
      <c r="AD438">
        <f t="shared" si="337"/>
        <v>385.69307831308799</v>
      </c>
      <c r="AE438">
        <f t="shared" si="338"/>
        <v>-0.27141868095647687</v>
      </c>
      <c r="AF438">
        <f t="shared" si="339"/>
        <v>4.85564559984E-2</v>
      </c>
      <c r="AG438">
        <f t="shared" si="367"/>
        <v>242.76578572980924</v>
      </c>
      <c r="AH438">
        <f t="shared" si="368"/>
        <v>-1377.5957896587772</v>
      </c>
      <c r="AJ438">
        <f t="shared" si="340"/>
        <v>21000</v>
      </c>
      <c r="AK438">
        <f t="shared" si="341"/>
        <v>7551.5844828816007</v>
      </c>
      <c r="AL438">
        <v>1</v>
      </c>
      <c r="AM438">
        <f t="shared" si="342"/>
        <v>148.14011751708961</v>
      </c>
      <c r="AN438">
        <f t="shared" si="369"/>
        <v>51.930508400501061</v>
      </c>
      <c r="AO438">
        <f t="shared" si="370"/>
        <v>-141.40713429083721</v>
      </c>
      <c r="AQ438">
        <f t="shared" si="343"/>
        <v>1.992984296678831E-3</v>
      </c>
      <c r="AR438">
        <f t="shared" si="344"/>
        <v>-4.4642848245605817</v>
      </c>
      <c r="AT438">
        <f t="shared" si="365"/>
        <v>-6149.4961497535005</v>
      </c>
      <c r="AU438">
        <f t="shared" si="366"/>
        <v>-1086.521139932074</v>
      </c>
      <c r="AV438">
        <f t="shared" si="354"/>
        <v>-2.9667129339677762</v>
      </c>
      <c r="AW438">
        <f t="shared" si="355"/>
        <v>-457.94521431549674</v>
      </c>
      <c r="AX438">
        <f t="shared" si="356"/>
        <v>-1821.6960359259576</v>
      </c>
      <c r="AY438">
        <f t="shared" si="364"/>
        <v>-1.817077142026746</v>
      </c>
      <c r="BA438">
        <f t="shared" si="345"/>
        <v>3.3245472164710801</v>
      </c>
      <c r="BB438">
        <f t="shared" si="357"/>
        <v>10.434650106898609</v>
      </c>
      <c r="BC438">
        <f t="shared" si="358"/>
        <v>-1.1496357919410303</v>
      </c>
      <c r="BD438">
        <f t="shared" si="346"/>
        <v>-245.86927893066769</v>
      </c>
      <c r="BF438">
        <f t="shared" si="347"/>
        <v>-50.068128989849086</v>
      </c>
      <c r="BG438">
        <f t="shared" si="348"/>
        <v>-226.34681421137023</v>
      </c>
      <c r="BH438">
        <f t="shared" si="359"/>
        <v>-46.34681421137023</v>
      </c>
      <c r="BI438">
        <f t="shared" si="360"/>
        <v>-46.34681421137023</v>
      </c>
      <c r="BJ438">
        <f t="shared" si="349"/>
        <v>0</v>
      </c>
      <c r="BK438">
        <f t="shared" si="361"/>
        <v>0</v>
      </c>
      <c r="BM438">
        <f t="shared" si="362"/>
        <v>-60.502779096747695</v>
      </c>
      <c r="BN438">
        <f t="shared" si="350"/>
        <v>-160.47753528070257</v>
      </c>
      <c r="BQ438" s="66">
        <f t="shared" si="363"/>
        <v>27.336610907183744</v>
      </c>
    </row>
    <row r="439" spans="1:69" ht="13" x14ac:dyDescent="0.3">
      <c r="A439">
        <f t="shared" si="372"/>
        <v>1125000</v>
      </c>
      <c r="B439">
        <f t="shared" si="351"/>
        <v>1125</v>
      </c>
      <c r="C439">
        <f t="shared" si="320"/>
        <v>1.0606187724228822</v>
      </c>
      <c r="D439">
        <f t="shared" si="321"/>
        <v>0.33972648961667051</v>
      </c>
      <c r="F439">
        <f t="shared" si="322"/>
        <v>5.8824090199614899E-5</v>
      </c>
      <c r="G439">
        <f t="shared" si="323"/>
        <v>2.3911822653298097E-3</v>
      </c>
      <c r="H439">
        <f t="shared" si="324"/>
        <v>-3.1392014677346705</v>
      </c>
      <c r="J439">
        <f t="shared" si="325"/>
        <v>15</v>
      </c>
      <c r="M439">
        <f t="shared" si="326"/>
        <v>9.7633582255199055E-4</v>
      </c>
      <c r="N439">
        <f t="shared" si="327"/>
        <v>-1.5707963250000001</v>
      </c>
      <c r="O439">
        <f t="shared" si="328"/>
        <v>387.41621301649002</v>
      </c>
      <c r="P439">
        <f t="shared" si="329"/>
        <v>1.5682151206480186</v>
      </c>
      <c r="Q439">
        <f t="shared" si="330"/>
        <v>148.80481747164001</v>
      </c>
      <c r="R439">
        <f t="shared" si="331"/>
        <v>1.564076063674251</v>
      </c>
      <c r="S439">
        <f t="shared" si="332"/>
        <v>0.94052580281501141</v>
      </c>
      <c r="T439">
        <f t="shared" si="333"/>
        <v>-0.34662157933788518</v>
      </c>
      <c r="U439">
        <f t="shared" si="334"/>
        <v>0.17534429162887352</v>
      </c>
      <c r="V439">
        <f t="shared" si="335"/>
        <v>-1.3945408598956481</v>
      </c>
      <c r="X439">
        <f t="shared" si="352"/>
        <v>-41.222757170554587</v>
      </c>
      <c r="Y439">
        <f t="shared" si="336"/>
        <v>-170.69229533792912</v>
      </c>
      <c r="Z439">
        <f t="shared" si="353"/>
        <v>9.3077046620708757</v>
      </c>
      <c r="AC439">
        <v>1</v>
      </c>
      <c r="AD439">
        <f t="shared" si="337"/>
        <v>387.41492241270004</v>
      </c>
      <c r="AE439">
        <f t="shared" si="338"/>
        <v>-0.27384747136921322</v>
      </c>
      <c r="AF439">
        <f t="shared" si="339"/>
        <v>4.8773225891250001E-2</v>
      </c>
      <c r="AG439">
        <f t="shared" si="367"/>
        <v>240.67886210230375</v>
      </c>
      <c r="AH439">
        <f t="shared" si="368"/>
        <v>-1371.8448303567939</v>
      </c>
      <c r="AJ439">
        <f t="shared" si="340"/>
        <v>21000</v>
      </c>
      <c r="AK439">
        <f t="shared" si="341"/>
        <v>7585.2969136087504</v>
      </c>
      <c r="AL439">
        <v>1</v>
      </c>
      <c r="AM439">
        <f t="shared" si="342"/>
        <v>148.80145732743375</v>
      </c>
      <c r="AN439">
        <f t="shared" si="369"/>
        <v>51.92204275014867</v>
      </c>
      <c r="AO439">
        <f t="shared" si="370"/>
        <v>-140.77871503068781</v>
      </c>
      <c r="AQ439">
        <f t="shared" si="343"/>
        <v>1.9753082517909625E-3</v>
      </c>
      <c r="AR439">
        <f t="shared" si="344"/>
        <v>-4.4444435665296655</v>
      </c>
      <c r="AT439">
        <f t="shared" si="365"/>
        <v>-6096.6115156138903</v>
      </c>
      <c r="AU439">
        <f t="shared" si="366"/>
        <v>-1072.393436683845</v>
      </c>
      <c r="AV439">
        <f t="shared" si="354"/>
        <v>-2.9674739484222421</v>
      </c>
      <c r="AW439">
        <f t="shared" si="355"/>
        <v>-453.39959694516585</v>
      </c>
      <c r="AX439">
        <f t="shared" si="356"/>
        <v>-1813.7405135203792</v>
      </c>
      <c r="AY439">
        <f t="shared" si="364"/>
        <v>-1.815756552055696</v>
      </c>
      <c r="BA439">
        <f t="shared" si="345"/>
        <v>3.311065407025831</v>
      </c>
      <c r="BB439">
        <f t="shared" si="357"/>
        <v>10.399355198429035</v>
      </c>
      <c r="BC439">
        <f t="shared" si="358"/>
        <v>-1.1517173963665461</v>
      </c>
      <c r="BD439">
        <f t="shared" si="346"/>
        <v>-245.98854607900176</v>
      </c>
      <c r="BF439">
        <f t="shared" si="347"/>
        <v>-50.176529049491521</v>
      </c>
      <c r="BG439">
        <f t="shared" si="348"/>
        <v>-226.38664736092321</v>
      </c>
      <c r="BH439">
        <f t="shared" si="359"/>
        <v>-46.386647360923206</v>
      </c>
      <c r="BI439">
        <f t="shared" si="360"/>
        <v>-46.386647360923206</v>
      </c>
      <c r="BJ439">
        <f t="shared" si="349"/>
        <v>0</v>
      </c>
      <c r="BK439">
        <f t="shared" si="361"/>
        <v>0</v>
      </c>
      <c r="BM439">
        <f t="shared" si="362"/>
        <v>-60.575884247920548</v>
      </c>
      <c r="BN439">
        <f t="shared" si="350"/>
        <v>-160.39810128192144</v>
      </c>
      <c r="BQ439" s="66">
        <f t="shared" si="363"/>
        <v>27.30131599871417</v>
      </c>
    </row>
    <row r="440" spans="1:69" ht="13" x14ac:dyDescent="0.3">
      <c r="A440">
        <f t="shared" si="372"/>
        <v>1130000</v>
      </c>
      <c r="B440">
        <f t="shared" si="351"/>
        <v>1130</v>
      </c>
      <c r="C440">
        <f t="shared" si="320"/>
        <v>1.0611432411835364</v>
      </c>
      <c r="D440">
        <f t="shared" si="321"/>
        <v>0.34112217231783482</v>
      </c>
      <c r="F440">
        <f t="shared" si="322"/>
        <v>5.830464564199074E-5</v>
      </c>
      <c r="G440">
        <f t="shared" si="323"/>
        <v>2.3806006052429687E-3</v>
      </c>
      <c r="H440">
        <f t="shared" si="324"/>
        <v>-3.1392120493947573</v>
      </c>
      <c r="J440">
        <f t="shared" si="325"/>
        <v>15</v>
      </c>
      <c r="M440">
        <f t="shared" si="326"/>
        <v>9.7201575254069849E-4</v>
      </c>
      <c r="N440">
        <f t="shared" si="327"/>
        <v>-1.5707963250000001</v>
      </c>
      <c r="O440">
        <f t="shared" si="328"/>
        <v>389.1380514054847</v>
      </c>
      <c r="P440">
        <f t="shared" si="329"/>
        <v>1.5682265418637611</v>
      </c>
      <c r="Q440">
        <f t="shared" si="330"/>
        <v>149.46614241442293</v>
      </c>
      <c r="R440">
        <f t="shared" si="331"/>
        <v>1.5641057984624367</v>
      </c>
      <c r="S440">
        <f t="shared" si="332"/>
        <v>0.94004267115243612</v>
      </c>
      <c r="T440">
        <f t="shared" si="333"/>
        <v>-0.34804092835291023</v>
      </c>
      <c r="U440">
        <f t="shared" si="334"/>
        <v>0.17459213295383205</v>
      </c>
      <c r="V440">
        <f t="shared" si="335"/>
        <v>-1.3953048031155033</v>
      </c>
      <c r="X440">
        <f t="shared" si="352"/>
        <v>-41.298790020061844</v>
      </c>
      <c r="Y440">
        <f t="shared" si="336"/>
        <v>-170.73567025930137</v>
      </c>
      <c r="Z440">
        <f t="shared" si="353"/>
        <v>9.2643297406986278</v>
      </c>
      <c r="AC440">
        <v>1</v>
      </c>
      <c r="AD440">
        <f t="shared" si="337"/>
        <v>389.13676651231202</v>
      </c>
      <c r="AE440">
        <f t="shared" si="338"/>
        <v>-0.27628708044748512</v>
      </c>
      <c r="AF440">
        <f t="shared" si="339"/>
        <v>4.8989995784100002E-2</v>
      </c>
      <c r="AG440">
        <f t="shared" si="367"/>
        <v>238.61845373567499</v>
      </c>
      <c r="AH440">
        <f t="shared" si="368"/>
        <v>-1366.1400629318807</v>
      </c>
      <c r="AJ440">
        <f t="shared" si="340"/>
        <v>21000</v>
      </c>
      <c r="AK440">
        <f t="shared" si="341"/>
        <v>7619.009344335901</v>
      </c>
      <c r="AL440">
        <v>1</v>
      </c>
      <c r="AM440">
        <f t="shared" si="342"/>
        <v>149.4627971377779</v>
      </c>
      <c r="AN440">
        <f t="shared" si="369"/>
        <v>51.913689220175073</v>
      </c>
      <c r="AO440">
        <f t="shared" si="370"/>
        <v>-140.15585625277336</v>
      </c>
      <c r="AQ440">
        <f t="shared" si="343"/>
        <v>1.95786632511036E-3</v>
      </c>
      <c r="AR440">
        <f t="shared" si="344"/>
        <v>-4.4247778947494139</v>
      </c>
      <c r="AT440">
        <f t="shared" si="365"/>
        <v>-6044.3991685574401</v>
      </c>
      <c r="AU440">
        <f t="shared" si="366"/>
        <v>-1058.508378993499</v>
      </c>
      <c r="AV440">
        <f t="shared" si="354"/>
        <v>-2.9682284369943064</v>
      </c>
      <c r="AW440">
        <f t="shared" si="355"/>
        <v>-448.91472890183007</v>
      </c>
      <c r="AX440">
        <f t="shared" si="356"/>
        <v>-1805.8536330184083</v>
      </c>
      <c r="AY440">
        <f t="shared" si="364"/>
        <v>-1.8144462263788601</v>
      </c>
      <c r="BA440">
        <f t="shared" si="345"/>
        <v>3.2976862362163541</v>
      </c>
      <c r="BB440">
        <f t="shared" si="357"/>
        <v>10.364186632220493</v>
      </c>
      <c r="BC440">
        <f t="shared" si="358"/>
        <v>-1.1537822106154463</v>
      </c>
      <c r="BD440">
        <f t="shared" si="346"/>
        <v>-246.10685122107742</v>
      </c>
      <c r="BF440">
        <f t="shared" si="347"/>
        <v>-50.284444738378092</v>
      </c>
      <c r="BG440">
        <f t="shared" si="348"/>
        <v>-226.42559205905522</v>
      </c>
      <c r="BH440">
        <f t="shared" si="359"/>
        <v>-46.425592059055219</v>
      </c>
      <c r="BI440">
        <f t="shared" si="360"/>
        <v>-46.425592059055219</v>
      </c>
      <c r="BJ440">
        <f t="shared" si="349"/>
        <v>0</v>
      </c>
      <c r="BK440">
        <f t="shared" si="361"/>
        <v>0</v>
      </c>
      <c r="BM440">
        <f t="shared" si="362"/>
        <v>-60.648631370598594</v>
      </c>
      <c r="BN440">
        <f t="shared" si="350"/>
        <v>-160.31874083797783</v>
      </c>
      <c r="BQ440" s="66">
        <f t="shared" si="363"/>
        <v>27.26614743250563</v>
      </c>
    </row>
    <row r="441" spans="1:69" ht="13" x14ac:dyDescent="0.3">
      <c r="A441">
        <f t="shared" si="372"/>
        <v>1135000</v>
      </c>
      <c r="B441">
        <f t="shared" si="351"/>
        <v>1135</v>
      </c>
      <c r="C441">
        <f t="shared" si="320"/>
        <v>1.0616697749325681</v>
      </c>
      <c r="D441">
        <f t="shared" si="321"/>
        <v>0.34251647335870589</v>
      </c>
      <c r="F441">
        <f t="shared" si="322"/>
        <v>5.7792051366337241E-5</v>
      </c>
      <c r="G441">
        <f t="shared" si="323"/>
        <v>2.3701121914965805E-3</v>
      </c>
      <c r="H441">
        <f t="shared" si="324"/>
        <v>-3.1392225378085037</v>
      </c>
      <c r="J441">
        <f t="shared" si="325"/>
        <v>15</v>
      </c>
      <c r="M441">
        <f t="shared" si="326"/>
        <v>9.6773374482025487E-4</v>
      </c>
      <c r="N441">
        <f t="shared" si="327"/>
        <v>-1.5707963250000001</v>
      </c>
      <c r="O441">
        <f t="shared" si="328"/>
        <v>390.85988984479286</v>
      </c>
      <c r="P441">
        <f t="shared" si="329"/>
        <v>1.5682378624527136</v>
      </c>
      <c r="Q441">
        <f t="shared" si="330"/>
        <v>150.12746748819322</v>
      </c>
      <c r="R441">
        <f t="shared" si="331"/>
        <v>1.5641352712817851</v>
      </c>
      <c r="S441">
        <f t="shared" si="332"/>
        <v>0.93955814571581064</v>
      </c>
      <c r="T441">
        <f t="shared" si="333"/>
        <v>-0.34945881707405774</v>
      </c>
      <c r="U441">
        <f t="shared" si="334"/>
        <v>0.17384629948970456</v>
      </c>
      <c r="V441">
        <f t="shared" si="335"/>
        <v>-1.3960622198545289</v>
      </c>
      <c r="X441">
        <f t="shared" si="352"/>
        <v>-41.374498309050665</v>
      </c>
      <c r="Y441">
        <f t="shared" si="336"/>
        <v>-170.77868216807147</v>
      </c>
      <c r="Z441">
        <f t="shared" si="353"/>
        <v>9.2213178319285305</v>
      </c>
      <c r="AC441">
        <v>1</v>
      </c>
      <c r="AD441">
        <f t="shared" si="337"/>
        <v>390.85861061192401</v>
      </c>
      <c r="AE441">
        <f t="shared" si="338"/>
        <v>-0.27873750819129262</v>
      </c>
      <c r="AF441">
        <f t="shared" si="339"/>
        <v>4.9206765676950003E-2</v>
      </c>
      <c r="AG441">
        <f t="shared" si="367"/>
        <v>236.58411812018221</v>
      </c>
      <c r="AH441">
        <f t="shared" si="368"/>
        <v>-1360.480955036903</v>
      </c>
      <c r="AJ441">
        <f t="shared" si="340"/>
        <v>21000</v>
      </c>
      <c r="AK441">
        <f t="shared" si="341"/>
        <v>7652.7217750630498</v>
      </c>
      <c r="AL441">
        <v>1</v>
      </c>
      <c r="AM441">
        <f t="shared" si="342"/>
        <v>150.12413694812204</v>
      </c>
      <c r="AN441">
        <f t="shared" si="369"/>
        <v>51.905445839395377</v>
      </c>
      <c r="AO441">
        <f t="shared" si="370"/>
        <v>-139.53848448367484</v>
      </c>
      <c r="AQ441">
        <f t="shared" si="343"/>
        <v>1.9406544003077101E-3</v>
      </c>
      <c r="AR441">
        <f t="shared" si="344"/>
        <v>-4.4052854886985022</v>
      </c>
      <c r="AT441">
        <f t="shared" si="365"/>
        <v>-5992.8478808648752</v>
      </c>
      <c r="AU441">
        <f t="shared" si="366"/>
        <v>-1044.8608057632982</v>
      </c>
      <c r="AV441">
        <f t="shared" si="354"/>
        <v>-2.9689764823857443</v>
      </c>
      <c r="AW441">
        <f t="shared" si="355"/>
        <v>-444.48953065627063</v>
      </c>
      <c r="AX441">
        <f t="shared" si="356"/>
        <v>-1798.0345160502802</v>
      </c>
      <c r="AY441">
        <f t="shared" si="364"/>
        <v>-1.8131460353310345</v>
      </c>
      <c r="BA441">
        <f t="shared" si="345"/>
        <v>3.2844086250543723</v>
      </c>
      <c r="BB441">
        <f t="shared" si="357"/>
        <v>10.329143678852946</v>
      </c>
      <c r="BC441">
        <f t="shared" si="358"/>
        <v>-1.1558304470547098</v>
      </c>
      <c r="BD441">
        <f t="shared" si="346"/>
        <v>-246.2242065246262</v>
      </c>
      <c r="BF441">
        <f t="shared" si="347"/>
        <v>-50.391879865073264</v>
      </c>
      <c r="BG441">
        <f t="shared" si="348"/>
        <v>-226.46366073934229</v>
      </c>
      <c r="BH441">
        <f t="shared" si="359"/>
        <v>-46.463660739342288</v>
      </c>
      <c r="BI441">
        <f t="shared" si="360"/>
        <v>-46.463660739342288</v>
      </c>
      <c r="BJ441">
        <f t="shared" si="349"/>
        <v>0</v>
      </c>
      <c r="BK441">
        <f t="shared" si="361"/>
        <v>0</v>
      </c>
      <c r="BM441">
        <f t="shared" si="362"/>
        <v>-60.721023543926208</v>
      </c>
      <c r="BN441">
        <f t="shared" si="350"/>
        <v>-160.23945421471609</v>
      </c>
      <c r="BQ441" s="66">
        <f t="shared" si="363"/>
        <v>27.231104479138082</v>
      </c>
    </row>
    <row r="442" spans="1:69" ht="13" x14ac:dyDescent="0.3">
      <c r="A442">
        <f t="shared" si="372"/>
        <v>1140000</v>
      </c>
      <c r="B442">
        <f t="shared" si="351"/>
        <v>1140</v>
      </c>
      <c r="C442">
        <f t="shared" si="320"/>
        <v>1.0621983705991214</v>
      </c>
      <c r="D442">
        <f t="shared" si="321"/>
        <v>0.34390938937674587</v>
      </c>
      <c r="F442">
        <f t="shared" si="322"/>
        <v>5.7286187445166722E-5</v>
      </c>
      <c r="G442">
        <f t="shared" si="323"/>
        <v>2.3597157968887547E-3</v>
      </c>
      <c r="H442">
        <f t="shared" si="324"/>
        <v>-3.1392329342031116</v>
      </c>
      <c r="J442">
        <f t="shared" si="325"/>
        <v>15</v>
      </c>
      <c r="M442">
        <f t="shared" si="326"/>
        <v>9.6348929857104342E-4</v>
      </c>
      <c r="N442">
        <f t="shared" si="327"/>
        <v>-1.5707963250000001</v>
      </c>
      <c r="O442">
        <f t="shared" si="328"/>
        <v>392.58172833375266</v>
      </c>
      <c r="P442">
        <f t="shared" si="329"/>
        <v>1.5682490837389016</v>
      </c>
      <c r="Q442">
        <f t="shared" si="330"/>
        <v>150.7887926912274</v>
      </c>
      <c r="R442">
        <f t="shared" si="331"/>
        <v>1.5641644855790511</v>
      </c>
      <c r="S442">
        <f t="shared" si="332"/>
        <v>0.93907223449921828</v>
      </c>
      <c r="T442">
        <f t="shared" si="333"/>
        <v>-0.35087524206153858</v>
      </c>
      <c r="U442">
        <f t="shared" si="334"/>
        <v>0.17310671307104131</v>
      </c>
      <c r="V442">
        <f t="shared" si="335"/>
        <v>-1.3968131925340366</v>
      </c>
      <c r="X442">
        <f t="shared" si="352"/>
        <v>-41.449884765513346</v>
      </c>
      <c r="Y442">
        <f t="shared" si="336"/>
        <v>-170.82133557917442</v>
      </c>
      <c r="Z442">
        <f t="shared" si="353"/>
        <v>9.1786644208255836</v>
      </c>
      <c r="AC442">
        <v>1</v>
      </c>
      <c r="AD442">
        <f t="shared" si="337"/>
        <v>392.58045471153605</v>
      </c>
      <c r="AE442">
        <f t="shared" si="338"/>
        <v>-0.2811987546006357</v>
      </c>
      <c r="AF442">
        <f t="shared" si="339"/>
        <v>4.9423535569800003E-2</v>
      </c>
      <c r="AG442">
        <f t="shared" si="367"/>
        <v>234.57542183706812</v>
      </c>
      <c r="AH442">
        <f t="shared" si="368"/>
        <v>-1354.8669820663195</v>
      </c>
      <c r="AJ442">
        <f t="shared" si="340"/>
        <v>21000</v>
      </c>
      <c r="AK442">
        <f t="shared" si="341"/>
        <v>7686.4342057902013</v>
      </c>
      <c r="AL442">
        <v>1</v>
      </c>
      <c r="AM442">
        <f t="shared" si="342"/>
        <v>150.78547675846622</v>
      </c>
      <c r="AN442">
        <f t="shared" si="369"/>
        <v>51.897310679753659</v>
      </c>
      <c r="AO442">
        <f t="shared" si="370"/>
        <v>-138.92652753869456</v>
      </c>
      <c r="AQ442">
        <f t="shared" si="343"/>
        <v>1.9236684511256441E-3</v>
      </c>
      <c r="AR442">
        <f t="shared" si="344"/>
        <v>-4.3859640685664685</v>
      </c>
      <c r="AT442">
        <f t="shared" si="365"/>
        <v>-5941.9466556915695</v>
      </c>
      <c r="AU442">
        <f t="shared" si="366"/>
        <v>-1031.4456864150757</v>
      </c>
      <c r="AV442">
        <f t="shared" si="354"/>
        <v>-2.9697181659218241</v>
      </c>
      <c r="AW442">
        <f t="shared" si="355"/>
        <v>-440.12294658627758</v>
      </c>
      <c r="AX442">
        <f t="shared" si="356"/>
        <v>-1790.2822990795512</v>
      </c>
      <c r="AY442">
        <f t="shared" si="364"/>
        <v>-1.8118558513837535</v>
      </c>
      <c r="BA442">
        <f t="shared" si="345"/>
        <v>3.2712315077889245</v>
      </c>
      <c r="BB442">
        <f t="shared" si="357"/>
        <v>10.294225611924414</v>
      </c>
      <c r="BC442">
        <f t="shared" si="358"/>
        <v>-1.1578623145380706</v>
      </c>
      <c r="BD442">
        <f t="shared" si="346"/>
        <v>-246.34062395608566</v>
      </c>
      <c r="BF442">
        <f t="shared" si="347"/>
        <v>-50.498838195195546</v>
      </c>
      <c r="BG442">
        <f t="shared" si="348"/>
        <v>-226.50086563119456</v>
      </c>
      <c r="BH442">
        <f t="shared" si="359"/>
        <v>-46.500865631194557</v>
      </c>
      <c r="BI442">
        <f t="shared" si="360"/>
        <v>-46.500865631194557</v>
      </c>
      <c r="BJ442">
        <f t="shared" si="349"/>
        <v>0</v>
      </c>
      <c r="BK442">
        <f t="shared" si="361"/>
        <v>0</v>
      </c>
      <c r="BM442">
        <f t="shared" si="362"/>
        <v>-60.793063807119964</v>
      </c>
      <c r="BN442">
        <f t="shared" si="350"/>
        <v>-160.16024167510889</v>
      </c>
      <c r="BQ442" s="66">
        <f t="shared" si="363"/>
        <v>27.196186412209549</v>
      </c>
    </row>
    <row r="443" spans="1:69" ht="13" x14ac:dyDescent="0.3">
      <c r="A443">
        <f t="shared" si="372"/>
        <v>1145000</v>
      </c>
      <c r="B443">
        <f t="shared" si="351"/>
        <v>1145</v>
      </c>
      <c r="C443">
        <f t="shared" si="320"/>
        <v>1.0627290251064359</v>
      </c>
      <c r="D443">
        <f t="shared" si="321"/>
        <v>0.34530091703759208</v>
      </c>
      <c r="F443">
        <f t="shared" si="322"/>
        <v>5.6786936564052631E-5</v>
      </c>
      <c r="G443">
        <f t="shared" si="323"/>
        <v>2.3494102156594388E-3</v>
      </c>
      <c r="H443">
        <f t="shared" si="324"/>
        <v>-3.1392432397843408</v>
      </c>
      <c r="J443">
        <f t="shared" si="325"/>
        <v>15</v>
      </c>
      <c r="M443">
        <f t="shared" si="326"/>
        <v>9.5928192172138821E-4</v>
      </c>
      <c r="N443">
        <f t="shared" si="327"/>
        <v>-1.5707963250000001</v>
      </c>
      <c r="O443">
        <f t="shared" si="328"/>
        <v>394.30356687171354</v>
      </c>
      <c r="P443">
        <f t="shared" si="329"/>
        <v>1.5682602070232232</v>
      </c>
      <c r="Q443">
        <f t="shared" si="330"/>
        <v>151.45011802183217</v>
      </c>
      <c r="R443">
        <f t="shared" si="331"/>
        <v>1.5641934447407888</v>
      </c>
      <c r="S443">
        <f t="shared" si="332"/>
        <v>0.93858494549621807</v>
      </c>
      <c r="T443">
        <f t="shared" si="333"/>
        <v>-0.35229019990615501</v>
      </c>
      <c r="U443">
        <f t="shared" si="334"/>
        <v>0.17237329679288649</v>
      </c>
      <c r="V443">
        <f t="shared" si="335"/>
        <v>-1.3975578022078852</v>
      </c>
      <c r="X443">
        <f t="shared" si="352"/>
        <v>-41.524952083653766</v>
      </c>
      <c r="Y443">
        <f t="shared" si="336"/>
        <v>-170.86363493288022</v>
      </c>
      <c r="Z443">
        <f t="shared" si="353"/>
        <v>9.1363650671197831</v>
      </c>
      <c r="AC443">
        <v>1</v>
      </c>
      <c r="AD443">
        <f t="shared" si="337"/>
        <v>394.30229881114803</v>
      </c>
      <c r="AE443">
        <f t="shared" si="338"/>
        <v>-0.28367081967551427</v>
      </c>
      <c r="AF443">
        <f t="shared" si="339"/>
        <v>4.9640305462649997E-2</v>
      </c>
      <c r="AG443">
        <f t="shared" si="367"/>
        <v>232.59194033795887</v>
      </c>
      <c r="AH443">
        <f t="shared" si="368"/>
        <v>-1349.2976270257518</v>
      </c>
      <c r="AJ443">
        <f t="shared" si="340"/>
        <v>21000</v>
      </c>
      <c r="AK443">
        <f t="shared" si="341"/>
        <v>7720.1466365173501</v>
      </c>
      <c r="AL443">
        <v>1</v>
      </c>
      <c r="AM443">
        <f t="shared" si="342"/>
        <v>151.44681656881033</v>
      </c>
      <c r="AN443">
        <f t="shared" si="369"/>
        <v>51.889281855195399</v>
      </c>
      <c r="AO443">
        <f t="shared" si="370"/>
        <v>-138.31991449372572</v>
      </c>
      <c r="AQ443">
        <f t="shared" si="343"/>
        <v>1.9069045390239434E-3</v>
      </c>
      <c r="AR443">
        <f t="shared" si="344"/>
        <v>-4.3668113943648299</v>
      </c>
      <c r="AT443">
        <f t="shared" si="365"/>
        <v>-5891.6847214587087</v>
      </c>
      <c r="AU443">
        <f t="shared" si="366"/>
        <v>-1018.2581170746931</v>
      </c>
      <c r="AV443">
        <f t="shared" si="354"/>
        <v>-2.9704535675795047</v>
      </c>
      <c r="AW443">
        <f t="shared" si="355"/>
        <v>-435.81394434341706</v>
      </c>
      <c r="AX443">
        <f t="shared" si="356"/>
        <v>-1782.5961330927796</v>
      </c>
      <c r="AY443">
        <f t="shared" si="364"/>
        <v>-1.8105755491024296</v>
      </c>
      <c r="BA443">
        <f t="shared" si="345"/>
        <v>3.2581538317547798</v>
      </c>
      <c r="BB443">
        <f t="shared" si="357"/>
        <v>10.2594317081365</v>
      </c>
      <c r="BC443">
        <f t="shared" si="358"/>
        <v>-1.1598780184770752</v>
      </c>
      <c r="BD443">
        <f t="shared" si="346"/>
        <v>-246.45611528467049</v>
      </c>
      <c r="BF443">
        <f t="shared" si="347"/>
        <v>-50.605323452030603</v>
      </c>
      <c r="BG443">
        <f t="shared" si="348"/>
        <v>-226.53721876395662</v>
      </c>
      <c r="BH443">
        <f t="shared" si="359"/>
        <v>-46.537218763956616</v>
      </c>
      <c r="BI443">
        <f t="shared" si="360"/>
        <v>-46.537218763956616</v>
      </c>
      <c r="BJ443">
        <f t="shared" si="349"/>
        <v>0</v>
      </c>
      <c r="BK443">
        <f t="shared" si="361"/>
        <v>0</v>
      </c>
      <c r="BM443">
        <f t="shared" si="362"/>
        <v>-60.864755160167093</v>
      </c>
      <c r="BN443">
        <f t="shared" si="350"/>
        <v>-160.08110347928613</v>
      </c>
      <c r="BQ443" s="66">
        <f t="shared" si="363"/>
        <v>27.161392508421635</v>
      </c>
    </row>
    <row r="444" spans="1:69" ht="13" x14ac:dyDescent="0.3">
      <c r="A444">
        <f t="shared" si="372"/>
        <v>1150000</v>
      </c>
      <c r="B444">
        <f t="shared" si="351"/>
        <v>1150</v>
      </c>
      <c r="C444">
        <f t="shared" si="320"/>
        <v>1.0632617353719227</v>
      </c>
      <c r="D444">
        <f t="shared" si="321"/>
        <v>0.34669105303503178</v>
      </c>
      <c r="F444">
        <f t="shared" si="322"/>
        <v>5.6294183953602649E-5</v>
      </c>
      <c r="G444">
        <f t="shared" si="323"/>
        <v>2.3391942630241348E-3</v>
      </c>
      <c r="H444">
        <f t="shared" si="324"/>
        <v>-3.1392534557369762</v>
      </c>
      <c r="J444">
        <f t="shared" si="325"/>
        <v>15</v>
      </c>
      <c r="M444">
        <f t="shared" si="326"/>
        <v>9.5511113075738216E-4</v>
      </c>
      <c r="N444">
        <f t="shared" si="327"/>
        <v>-1.5707963250000001</v>
      </c>
      <c r="O444">
        <f t="shared" si="328"/>
        <v>396.02540545803635</v>
      </c>
      <c r="P444">
        <f t="shared" si="329"/>
        <v>1.5682712335839526</v>
      </c>
      <c r="Q444">
        <f t="shared" si="330"/>
        <v>152.1114434783436</v>
      </c>
      <c r="R444">
        <f t="shared" si="331"/>
        <v>1.5642221520946598</v>
      </c>
      <c r="S444">
        <f t="shared" si="332"/>
        <v>0.93809628669955836</v>
      </c>
      <c r="T444">
        <f t="shared" si="333"/>
        <v>-0.35370368722926676</v>
      </c>
      <c r="U444">
        <f t="shared" si="334"/>
        <v>0.1716459749859513</v>
      </c>
      <c r="V444">
        <f t="shared" si="335"/>
        <v>-1.3982961285904143</v>
      </c>
      <c r="X444">
        <f t="shared" si="352"/>
        <v>-41.599702924434354</v>
      </c>
      <c r="Y444">
        <f t="shared" si="336"/>
        <v>-170.90558459631691</v>
      </c>
      <c r="Z444">
        <f t="shared" si="353"/>
        <v>9.0944154036830867</v>
      </c>
      <c r="AC444">
        <v>1</v>
      </c>
      <c r="AD444">
        <f t="shared" si="337"/>
        <v>396.02414291076002</v>
      </c>
      <c r="AE444">
        <f t="shared" si="338"/>
        <v>-0.28615370341592855</v>
      </c>
      <c r="AF444">
        <f t="shared" si="339"/>
        <v>4.9857075355499998E-2</v>
      </c>
      <c r="AG444">
        <f t="shared" si="367"/>
        <v>230.63325773040697</v>
      </c>
      <c r="AH444">
        <f t="shared" si="368"/>
        <v>-1343.7723804038885</v>
      </c>
      <c r="AJ444">
        <f t="shared" si="340"/>
        <v>21000</v>
      </c>
      <c r="AK444">
        <f t="shared" si="341"/>
        <v>7753.8590672445007</v>
      </c>
      <c r="AL444">
        <v>1</v>
      </c>
      <c r="AM444">
        <f t="shared" si="342"/>
        <v>152.10815637915451</v>
      </c>
      <c r="AN444">
        <f t="shared" si="369"/>
        <v>51.881357520574412</v>
      </c>
      <c r="AO444">
        <f t="shared" si="370"/>
        <v>-137.71857565785498</v>
      </c>
      <c r="AQ444">
        <f t="shared" si="343"/>
        <v>1.8903588108962551E-3</v>
      </c>
      <c r="AR444">
        <f t="shared" si="344"/>
        <v>-4.3478252650613864</v>
      </c>
      <c r="AT444">
        <f t="shared" si="365"/>
        <v>-5842.05152640087</v>
      </c>
      <c r="AU444">
        <f t="shared" si="366"/>
        <v>-1005.2933168828132</v>
      </c>
      <c r="AV444">
        <f t="shared" si="354"/>
        <v>-2.9711827660149557</v>
      </c>
      <c r="AW444">
        <f t="shared" si="355"/>
        <v>-431.56151423929344</v>
      </c>
      <c r="AX444">
        <f t="shared" si="356"/>
        <v>-1774.975183296945</v>
      </c>
      <c r="AY444">
        <f t="shared" si="364"/>
        <v>-1.8093050051044897</v>
      </c>
      <c r="BA444">
        <f t="shared" si="345"/>
        <v>3.2451745572210191</v>
      </c>
      <c r="BB444">
        <f t="shared" si="357"/>
        <v>10.224761247374586</v>
      </c>
      <c r="BC444">
        <f t="shared" si="358"/>
        <v>-1.161877760910466</v>
      </c>
      <c r="BD444">
        <f t="shared" si="346"/>
        <v>-246.57069208634795</v>
      </c>
      <c r="BF444">
        <f t="shared" si="347"/>
        <v>-50.71133931713436</v>
      </c>
      <c r="BG444">
        <f t="shared" si="348"/>
        <v>-226.57273197091095</v>
      </c>
      <c r="BH444">
        <f t="shared" si="359"/>
        <v>-46.572731970910951</v>
      </c>
      <c r="BI444">
        <f t="shared" si="360"/>
        <v>-46.572731970910951</v>
      </c>
      <c r="BJ444">
        <f t="shared" si="349"/>
        <v>0</v>
      </c>
      <c r="BK444">
        <f t="shared" si="361"/>
        <v>0</v>
      </c>
      <c r="BM444">
        <f t="shared" si="362"/>
        <v>-60.936100564508934</v>
      </c>
      <c r="BN444">
        <f t="shared" si="350"/>
        <v>-160.002039884563</v>
      </c>
      <c r="BQ444" s="66">
        <f t="shared" si="363"/>
        <v>27.126722047659722</v>
      </c>
    </row>
    <row r="445" spans="1:69" ht="13" x14ac:dyDescent="0.3">
      <c r="A445">
        <f t="shared" si="372"/>
        <v>1155000</v>
      </c>
      <c r="B445">
        <f t="shared" si="351"/>
        <v>1155</v>
      </c>
      <c r="C445">
        <f t="shared" si="320"/>
        <v>1.0637964983072365</v>
      </c>
      <c r="D445">
        <f t="shared" si="321"/>
        <v>0.34807979409097706</v>
      </c>
      <c r="F445">
        <f t="shared" si="322"/>
        <v>5.5807817323489083E-5</v>
      </c>
      <c r="G445">
        <f t="shared" si="323"/>
        <v>2.3290667747197292E-3</v>
      </c>
      <c r="H445">
        <f t="shared" si="324"/>
        <v>-3.1392635832252807</v>
      </c>
      <c r="J445">
        <f t="shared" si="325"/>
        <v>15</v>
      </c>
      <c r="M445">
        <f t="shared" si="326"/>
        <v>9.5097645053765327E-4</v>
      </c>
      <c r="N445">
        <f t="shared" si="327"/>
        <v>-1.5707963250000001</v>
      </c>
      <c r="O445">
        <f t="shared" si="328"/>
        <v>397.74724409209301</v>
      </c>
      <c r="P445">
        <f t="shared" si="329"/>
        <v>1.56828216467723</v>
      </c>
      <c r="Q445">
        <f t="shared" si="330"/>
        <v>152.77276905912666</v>
      </c>
      <c r="R445">
        <f t="shared" si="331"/>
        <v>1.5642506109107082</v>
      </c>
      <c r="S445">
        <f t="shared" si="332"/>
        <v>0.93760626610088982</v>
      </c>
      <c r="T445">
        <f t="shared" si="333"/>
        <v>-0.35511570068275683</v>
      </c>
      <c r="U445">
        <f t="shared" si="334"/>
        <v>0.17092467319235849</v>
      </c>
      <c r="V445">
        <f t="shared" si="335"/>
        <v>-1.3990282500837032</v>
      </c>
      <c r="X445">
        <f t="shared" si="352"/>
        <v>-41.674139916112281</v>
      </c>
      <c r="Y445">
        <f t="shared" si="336"/>
        <v>-170.9471888649563</v>
      </c>
      <c r="Z445">
        <f t="shared" si="353"/>
        <v>9.0528111350436973</v>
      </c>
      <c r="AC445">
        <v>1</v>
      </c>
      <c r="AD445">
        <f t="shared" si="337"/>
        <v>397.74598701037206</v>
      </c>
      <c r="AE445">
        <f t="shared" si="338"/>
        <v>-0.28864740582187826</v>
      </c>
      <c r="AF445">
        <f t="shared" si="339"/>
        <v>5.0073845248349999E-2</v>
      </c>
      <c r="AG445">
        <f t="shared" si="367"/>
        <v>228.69896656938627</v>
      </c>
      <c r="AH445">
        <f t="shared" si="368"/>
        <v>-1338.2907400466911</v>
      </c>
      <c r="AJ445">
        <f t="shared" si="340"/>
        <v>21000</v>
      </c>
      <c r="AK445">
        <f t="shared" si="341"/>
        <v>7787.5714979716504</v>
      </c>
      <c r="AL445">
        <v>1</v>
      </c>
      <c r="AM445">
        <f t="shared" si="342"/>
        <v>152.76949618949865</v>
      </c>
      <c r="AN445">
        <f t="shared" si="369"/>
        <v>51.873535870592661</v>
      </c>
      <c r="AO445">
        <f t="shared" si="370"/>
        <v>-137.12244254667758</v>
      </c>
      <c r="AQ445">
        <f t="shared" si="343"/>
        <v>1.8740274968558504E-3</v>
      </c>
      <c r="AR445">
        <f t="shared" si="344"/>
        <v>-4.3290035177370143</v>
      </c>
      <c r="AT445">
        <f t="shared" si="365"/>
        <v>-5793.036733265144</v>
      </c>
      <c r="AU445">
        <f t="shared" si="366"/>
        <v>-992.54662442732808</v>
      </c>
      <c r="AV445">
        <f t="shared" si="354"/>
        <v>-2.9719058385904082</v>
      </c>
      <c r="AW445">
        <f t="shared" si="355"/>
        <v>-427.36466865063159</v>
      </c>
      <c r="AX445">
        <f t="shared" si="356"/>
        <v>-1767.4186288243829</v>
      </c>
      <c r="AY445">
        <f t="shared" si="364"/>
        <v>-1.8080440980184851</v>
      </c>
      <c r="BA445">
        <f t="shared" si="345"/>
        <v>3.2322926572398991</v>
      </c>
      <c r="BB445">
        <f t="shared" si="357"/>
        <v>10.190213512783057</v>
      </c>
      <c r="BC445">
        <f t="shared" si="358"/>
        <v>-1.1638617405719232</v>
      </c>
      <c r="BD445">
        <f t="shared" si="346"/>
        <v>-246.68436574771914</v>
      </c>
      <c r="BF445">
        <f t="shared" si="347"/>
        <v>-50.816889430926288</v>
      </c>
      <c r="BG445">
        <f t="shared" si="348"/>
        <v>-226.60741689318655</v>
      </c>
      <c r="BH445">
        <f t="shared" si="359"/>
        <v>-46.607416893186553</v>
      </c>
      <c r="BI445">
        <f t="shared" si="360"/>
        <v>-46.607416893186553</v>
      </c>
      <c r="BJ445">
        <f t="shared" si="349"/>
        <v>0</v>
      </c>
      <c r="BK445">
        <f t="shared" si="361"/>
        <v>0</v>
      </c>
      <c r="BM445">
        <f t="shared" si="362"/>
        <v>-61.007102943709349</v>
      </c>
      <c r="BN445">
        <f t="shared" si="350"/>
        <v>-159.92305114546744</v>
      </c>
      <c r="BQ445" s="66">
        <f t="shared" si="363"/>
        <v>27.092174313068192</v>
      </c>
    </row>
    <row r="446" spans="1:69" ht="13" x14ac:dyDescent="0.3">
      <c r="A446">
        <f t="shared" si="372"/>
        <v>1160000</v>
      </c>
      <c r="B446">
        <f t="shared" si="351"/>
        <v>1160</v>
      </c>
      <c r="C446">
        <f t="shared" si="320"/>
        <v>1.0643333108183515</v>
      </c>
      <c r="D446">
        <f t="shared" si="321"/>
        <v>0.34946713695543752</v>
      </c>
      <c r="F446">
        <f t="shared" si="322"/>
        <v>5.5327726798465731E-5</v>
      </c>
      <c r="G446">
        <f t="shared" si="323"/>
        <v>2.3190266065620832E-3</v>
      </c>
      <c r="H446">
        <f t="shared" si="324"/>
        <v>-3.139273623393438</v>
      </c>
      <c r="J446">
        <f t="shared" si="325"/>
        <v>15</v>
      </c>
      <c r="M446">
        <f t="shared" si="326"/>
        <v>9.4687741411292195E-4</v>
      </c>
      <c r="N446">
        <f t="shared" si="327"/>
        <v>-1.5707963250000001</v>
      </c>
      <c r="O446">
        <f t="shared" si="328"/>
        <v>399.46908277326639</v>
      </c>
      <c r="P446">
        <f t="shared" si="329"/>
        <v>1.5682930015375376</v>
      </c>
      <c r="Q446">
        <f t="shared" si="330"/>
        <v>153.4340947625744</v>
      </c>
      <c r="R446">
        <f t="shared" si="331"/>
        <v>1.5642788244026018</v>
      </c>
      <c r="S446">
        <f t="shared" si="332"/>
        <v>0.93711489169048146</v>
      </c>
      <c r="T446">
        <f t="shared" si="333"/>
        <v>-0.35652623694899527</v>
      </c>
      <c r="U446">
        <f t="shared" si="334"/>
        <v>0.17020931814194395</v>
      </c>
      <c r="V446">
        <f t="shared" si="335"/>
        <v>-1.3997542438041761</v>
      </c>
      <c r="X446">
        <f t="shared" si="352"/>
        <v>-41.748265654765063</v>
      </c>
      <c r="Y446">
        <f t="shared" si="336"/>
        <v>-170.98845196406535</v>
      </c>
      <c r="Z446">
        <f t="shared" si="353"/>
        <v>9.011548035934652</v>
      </c>
      <c r="AC446">
        <v>1</v>
      </c>
      <c r="AD446">
        <f t="shared" si="337"/>
        <v>399.46783110998405</v>
      </c>
      <c r="AE446">
        <f t="shared" si="338"/>
        <v>-0.29115192689336361</v>
      </c>
      <c r="AF446">
        <f t="shared" si="339"/>
        <v>5.02906151412E-2</v>
      </c>
      <c r="AG446">
        <f t="shared" si="367"/>
        <v>226.7886676545487</v>
      </c>
      <c r="AH446">
        <f t="shared" si="368"/>
        <v>-1332.8522110338433</v>
      </c>
      <c r="AJ446">
        <f t="shared" si="340"/>
        <v>21000</v>
      </c>
      <c r="AK446">
        <f t="shared" si="341"/>
        <v>7821.283928698801</v>
      </c>
      <c r="AL446">
        <v>1</v>
      </c>
      <c r="AM446">
        <f t="shared" si="342"/>
        <v>153.4308359998428</v>
      </c>
      <c r="AN446">
        <f t="shared" si="369"/>
        <v>51.865815138772085</v>
      </c>
      <c r="AO446">
        <f t="shared" si="370"/>
        <v>-136.53144785630116</v>
      </c>
      <c r="AQ446">
        <f t="shared" si="343"/>
        <v>1.8579069080880447E-3</v>
      </c>
      <c r="AR446">
        <f t="shared" si="344"/>
        <v>-4.3103440267642634</v>
      </c>
      <c r="AT446">
        <f t="shared" si="365"/>
        <v>-5744.6302141569568</v>
      </c>
      <c r="AU446">
        <f t="shared" si="366"/>
        <v>-980.01349429294987</v>
      </c>
      <c r="AV446">
        <f t="shared" si="354"/>
        <v>-2.9726228614003669</v>
      </c>
      <c r="AW446">
        <f t="shared" si="355"/>
        <v>-423.22244144251249</v>
      </c>
      <c r="AX446">
        <f t="shared" si="356"/>
        <v>-1759.9256624449952</v>
      </c>
      <c r="AY446">
        <f t="shared" si="364"/>
        <v>-1.8067927084441497</v>
      </c>
      <c r="BA446">
        <f t="shared" si="345"/>
        <v>3.2195071174960956</v>
      </c>
      <c r="BB446">
        <f t="shared" si="357"/>
        <v>10.155787790835651</v>
      </c>
      <c r="BC446">
        <f t="shared" si="358"/>
        <v>-1.1658301529562172</v>
      </c>
      <c r="BD446">
        <f t="shared" si="346"/>
        <v>-246.79714746980932</v>
      </c>
      <c r="BF446">
        <f t="shared" si="347"/>
        <v>-50.921977393273067</v>
      </c>
      <c r="BG446">
        <f t="shared" si="348"/>
        <v>-226.64128498357644</v>
      </c>
      <c r="BH446">
        <f t="shared" si="359"/>
        <v>-46.64128498357644</v>
      </c>
      <c r="BI446">
        <f t="shared" si="360"/>
        <v>-46.64128498357644</v>
      </c>
      <c r="BJ446">
        <f t="shared" si="349"/>
        <v>0</v>
      </c>
      <c r="BK446">
        <f t="shared" si="361"/>
        <v>0</v>
      </c>
      <c r="BM446">
        <f t="shared" si="362"/>
        <v>-61.077765184108721</v>
      </c>
      <c r="BN446">
        <f t="shared" si="350"/>
        <v>-159.84413751376712</v>
      </c>
      <c r="BQ446" s="66">
        <f t="shared" si="363"/>
        <v>27.057748591120788</v>
      </c>
    </row>
    <row r="447" spans="1:69" ht="13" x14ac:dyDescent="0.3">
      <c r="A447">
        <f t="shared" si="372"/>
        <v>1165000</v>
      </c>
      <c r="B447">
        <f t="shared" si="351"/>
        <v>1165</v>
      </c>
      <c r="C447">
        <f t="shared" si="320"/>
        <v>1.0648721698056336</v>
      </c>
      <c r="D447">
        <f t="shared" si="321"/>
        <v>0.35085307840649255</v>
      </c>
      <c r="F447">
        <f t="shared" si="322"/>
        <v>5.4853804856303124E-5</v>
      </c>
      <c r="G447">
        <f t="shared" si="323"/>
        <v>2.3090726340150068E-3</v>
      </c>
      <c r="H447">
        <f t="shared" si="324"/>
        <v>-3.1392835773659851</v>
      </c>
      <c r="J447">
        <f t="shared" si="325"/>
        <v>15</v>
      </c>
      <c r="M447">
        <f t="shared" si="326"/>
        <v>9.4281356255020556E-4</v>
      </c>
      <c r="N447">
        <f t="shared" si="327"/>
        <v>-1.5707963250000001</v>
      </c>
      <c r="O447">
        <f t="shared" si="328"/>
        <v>401.19092150094968</v>
      </c>
      <c r="P447">
        <f t="shared" si="329"/>
        <v>1.5683037453781656</v>
      </c>
      <c r="Q447">
        <f t="shared" si="330"/>
        <v>154.09542058710755</v>
      </c>
      <c r="R447">
        <f t="shared" si="331"/>
        <v>1.5643067957288423</v>
      </c>
      <c r="S447">
        <f t="shared" si="332"/>
        <v>0.93662217145693794</v>
      </c>
      <c r="T447">
        <f t="shared" si="333"/>
        <v>-0.35793529274080216</v>
      </c>
      <c r="U447">
        <f t="shared" si="334"/>
        <v>0.16949983772910121</v>
      </c>
      <c r="V447">
        <f t="shared" si="335"/>
        <v>-1.4004741856085667</v>
      </c>
      <c r="X447">
        <f t="shared" si="352"/>
        <v>-41.822082704805666</v>
      </c>
      <c r="Y447">
        <f t="shared" si="336"/>
        <v>-171.02937805012164</v>
      </c>
      <c r="Z447">
        <f t="shared" si="353"/>
        <v>8.9706219498783639</v>
      </c>
      <c r="AC447">
        <v>1</v>
      </c>
      <c r="AD447">
        <f t="shared" si="337"/>
        <v>401.18967520959603</v>
      </c>
      <c r="AE447">
        <f t="shared" si="338"/>
        <v>-0.29366726663038456</v>
      </c>
      <c r="AF447">
        <f t="shared" si="339"/>
        <v>5.0507385034050008E-2</v>
      </c>
      <c r="AG447">
        <f t="shared" si="367"/>
        <v>224.9019698330703</v>
      </c>
      <c r="AH447">
        <f t="shared" si="368"/>
        <v>-1327.4563055574363</v>
      </c>
      <c r="AJ447">
        <f t="shared" si="340"/>
        <v>21000</v>
      </c>
      <c r="AK447">
        <f t="shared" si="341"/>
        <v>7854.9963594259498</v>
      </c>
      <c r="AL447">
        <v>1</v>
      </c>
      <c r="AM447">
        <f t="shared" si="342"/>
        <v>154.09217581018694</v>
      </c>
      <c r="AN447">
        <f t="shared" si="369"/>
        <v>51.858193596457049</v>
      </c>
      <c r="AO447">
        <f t="shared" si="370"/>
        <v>-135.94552543801953</v>
      </c>
      <c r="AQ447">
        <f t="shared" si="343"/>
        <v>1.8419934347669998E-3</v>
      </c>
      <c r="AR447">
        <f t="shared" si="344"/>
        <v>-4.2918447030071096</v>
      </c>
      <c r="AT447">
        <f t="shared" si="365"/>
        <v>-5696.8220455281707</v>
      </c>
      <c r="AU447">
        <f t="shared" si="366"/>
        <v>-967.68949372370435</v>
      </c>
      <c r="AV447">
        <f t="shared" si="354"/>
        <v>-2.9733339092971898</v>
      </c>
      <c r="AW447">
        <f t="shared" si="355"/>
        <v>-419.13388740913808</v>
      </c>
      <c r="AX447">
        <f t="shared" si="356"/>
        <v>-1752.4954902855616</v>
      </c>
      <c r="AY447">
        <f t="shared" si="364"/>
        <v>-1.8055507189133779</v>
      </c>
      <c r="BA447">
        <f t="shared" si="345"/>
        <v>3.2068169361564278</v>
      </c>
      <c r="BB447">
        <f t="shared" si="357"/>
        <v>10.121483371401228</v>
      </c>
      <c r="BC447">
        <f t="shared" si="358"/>
        <v>-1.1677831903838118</v>
      </c>
      <c r="BD447">
        <f t="shared" si="346"/>
        <v>-246.90904827176945</v>
      </c>
      <c r="BF447">
        <f t="shared" si="347"/>
        <v>-51.026606764062691</v>
      </c>
      <c r="BG447">
        <f t="shared" si="348"/>
        <v>-226.67434751026511</v>
      </c>
      <c r="BH447">
        <f t="shared" si="359"/>
        <v>-46.674347510265108</v>
      </c>
      <c r="BI447">
        <f t="shared" si="360"/>
        <v>-46.674347510265108</v>
      </c>
      <c r="BJ447">
        <f t="shared" si="349"/>
        <v>0</v>
      </c>
      <c r="BK447">
        <f t="shared" si="361"/>
        <v>0</v>
      </c>
      <c r="BM447">
        <f t="shared" si="362"/>
        <v>-61.148090135463917</v>
      </c>
      <c r="BN447">
        <f t="shared" si="350"/>
        <v>-159.76529923849566</v>
      </c>
      <c r="BQ447" s="66">
        <f t="shared" si="363"/>
        <v>27.023444171686364</v>
      </c>
    </row>
    <row r="448" spans="1:69" ht="13" x14ac:dyDescent="0.3">
      <c r="A448">
        <f t="shared" si="372"/>
        <v>1170000</v>
      </c>
      <c r="B448">
        <f t="shared" si="351"/>
        <v>1170</v>
      </c>
      <c r="C448">
        <f t="shared" si="320"/>
        <v>1.0654130721639155</v>
      </c>
      <c r="D448">
        <f t="shared" si="321"/>
        <v>0.35223761525026248</v>
      </c>
      <c r="F448">
        <f t="shared" si="322"/>
        <v>5.4385946267576539E-5</v>
      </c>
      <c r="G448">
        <f t="shared" si="323"/>
        <v>2.2992037517703024E-3</v>
      </c>
      <c r="H448">
        <f t="shared" si="324"/>
        <v>-3.1392934462482298</v>
      </c>
      <c r="J448">
        <f t="shared" si="325"/>
        <v>15</v>
      </c>
      <c r="M448">
        <f t="shared" si="326"/>
        <v>9.3878444476152949E-4</v>
      </c>
      <c r="N448">
        <f t="shared" si="327"/>
        <v>-1.5707963250000001</v>
      </c>
      <c r="O448">
        <f t="shared" si="328"/>
        <v>402.91276027454666</v>
      </c>
      <c r="P448">
        <f t="shared" si="329"/>
        <v>1.568314397391664</v>
      </c>
      <c r="Q448">
        <f t="shared" si="330"/>
        <v>154.75674653117377</v>
      </c>
      <c r="R448">
        <f t="shared" si="331"/>
        <v>1.5643345279939436</v>
      </c>
      <c r="S448">
        <f t="shared" si="332"/>
        <v>0.93612811338691893</v>
      </c>
      <c r="T448">
        <f t="shared" si="333"/>
        <v>-0.3593428648014092</v>
      </c>
      <c r="U448">
        <f t="shared" si="334"/>
        <v>0.16879616099015401</v>
      </c>
      <c r="V448">
        <f t="shared" si="335"/>
        <v>-1.4011881501192673</v>
      </c>
      <c r="X448">
        <f t="shared" si="352"/>
        <v>-41.895593599487725</v>
      </c>
      <c r="Y448">
        <f t="shared" si="336"/>
        <v>-171.06997121219598</v>
      </c>
      <c r="Z448">
        <f t="shared" si="353"/>
        <v>8.9300287878040194</v>
      </c>
      <c r="AC448">
        <v>1</v>
      </c>
      <c r="AD448">
        <f t="shared" si="337"/>
        <v>402.91151930920802</v>
      </c>
      <c r="AE448">
        <f t="shared" si="338"/>
        <v>-0.29619342503294105</v>
      </c>
      <c r="AF448">
        <f t="shared" si="339"/>
        <v>5.0724154926900009E-2</v>
      </c>
      <c r="AG448">
        <f t="shared" si="367"/>
        <v>223.03848980790818</v>
      </c>
      <c r="AH448">
        <f t="shared" si="368"/>
        <v>-1322.102542802827</v>
      </c>
      <c r="AJ448">
        <f t="shared" si="340"/>
        <v>21000</v>
      </c>
      <c r="AK448">
        <f t="shared" si="341"/>
        <v>7888.7087901531004</v>
      </c>
      <c r="AL448">
        <v>1</v>
      </c>
      <c r="AM448">
        <f t="shared" si="342"/>
        <v>154.75351562053112</v>
      </c>
      <c r="AN448">
        <f t="shared" si="369"/>
        <v>51.850669551846892</v>
      </c>
      <c r="AO448">
        <f t="shared" si="370"/>
        <v>-135.36461027363546</v>
      </c>
      <c r="AQ448">
        <f t="shared" si="343"/>
        <v>1.8262835440347096E-3</v>
      </c>
      <c r="AR448">
        <f t="shared" si="344"/>
        <v>-4.2735034930412201</v>
      </c>
      <c r="AT448">
        <f t="shared" si="365"/>
        <v>-5649.6025033029373</v>
      </c>
      <c r="AU448">
        <f t="shared" si="366"/>
        <v>-955.57029939418146</v>
      </c>
      <c r="AV448">
        <f t="shared" si="354"/>
        <v>-2.9740390559160614</v>
      </c>
      <c r="AW448">
        <f t="shared" si="355"/>
        <v>-415.09808173151595</v>
      </c>
      <c r="AX448">
        <f t="shared" si="356"/>
        <v>-1745.1273315559229</v>
      </c>
      <c r="AY448">
        <f t="shared" si="364"/>
        <v>-1.8043180138521024</v>
      </c>
      <c r="BA448">
        <f t="shared" si="345"/>
        <v>3.1942211237201499</v>
      </c>
      <c r="BB448">
        <f t="shared" si="357"/>
        <v>10.087299547805138</v>
      </c>
      <c r="BC448">
        <f t="shared" si="358"/>
        <v>-1.169721042063959</v>
      </c>
      <c r="BD448">
        <f t="shared" si="346"/>
        <v>-247.02007899449109</v>
      </c>
      <c r="BF448">
        <f t="shared" si="347"/>
        <v>-51.130781063769319</v>
      </c>
      <c r="BG448">
        <f t="shared" si="348"/>
        <v>-226.70661556046952</v>
      </c>
      <c r="BH448">
        <f t="shared" si="359"/>
        <v>-46.706615560469515</v>
      </c>
      <c r="BI448">
        <f t="shared" si="360"/>
        <v>-46.706615560469515</v>
      </c>
      <c r="BJ448">
        <f t="shared" si="349"/>
        <v>0</v>
      </c>
      <c r="BK448">
        <f t="shared" si="361"/>
        <v>0</v>
      </c>
      <c r="BM448">
        <f t="shared" si="362"/>
        <v>-61.218080611574457</v>
      </c>
      <c r="BN448">
        <f t="shared" si="350"/>
        <v>-159.68653656597843</v>
      </c>
      <c r="BQ448" s="66">
        <f t="shared" si="363"/>
        <v>26.989260348090273</v>
      </c>
    </row>
    <row r="449" spans="1:69" ht="13" x14ac:dyDescent="0.3">
      <c r="A449">
        <f t="shared" si="372"/>
        <v>1175000</v>
      </c>
      <c r="B449">
        <f t="shared" si="351"/>
        <v>1175</v>
      </c>
      <c r="C449">
        <f t="shared" si="320"/>
        <v>1.0659560147825684</v>
      </c>
      <c r="D449">
        <f t="shared" si="321"/>
        <v>0.35362074432087842</v>
      </c>
      <c r="F449">
        <f t="shared" si="322"/>
        <v>5.3924048037244227E-5</v>
      </c>
      <c r="G449">
        <f t="shared" si="323"/>
        <v>2.2894188733385197E-3</v>
      </c>
      <c r="H449">
        <f t="shared" si="324"/>
        <v>-3.1393032311266618</v>
      </c>
      <c r="J449">
        <f t="shared" si="325"/>
        <v>15</v>
      </c>
      <c r="M449">
        <f t="shared" si="326"/>
        <v>9.3478961733701234E-4</v>
      </c>
      <c r="N449">
        <f t="shared" si="327"/>
        <v>-1.5707963250000001</v>
      </c>
      <c r="O449">
        <f t="shared" si="328"/>
        <v>404.63459909347125</v>
      </c>
      <c r="P449">
        <f t="shared" si="329"/>
        <v>1.5683249587502845</v>
      </c>
      <c r="Q449">
        <f t="shared" si="330"/>
        <v>155.41807259324722</v>
      </c>
      <c r="R449">
        <f t="shared" si="331"/>
        <v>1.5643620242495804</v>
      </c>
      <c r="S449">
        <f t="shared" si="332"/>
        <v>0.93563272546485943</v>
      </c>
      <c r="T449">
        <f t="shared" si="333"/>
        <v>-0.36074894990442047</v>
      </c>
      <c r="U449">
        <f t="shared" si="334"/>
        <v>0.16809821808124412</v>
      </c>
      <c r="V449">
        <f t="shared" si="335"/>
        <v>-1.4018962107490709</v>
      </c>
      <c r="X449">
        <f t="shared" si="352"/>
        <v>-41.968800841400636</v>
      </c>
      <c r="Y449">
        <f t="shared" si="336"/>
        <v>-171.11023547330163</v>
      </c>
      <c r="Z449">
        <f t="shared" si="353"/>
        <v>8.8897645266983716</v>
      </c>
      <c r="AC449">
        <v>1</v>
      </c>
      <c r="AD449">
        <f t="shared" si="337"/>
        <v>404.63336340882</v>
      </c>
      <c r="AE449">
        <f t="shared" si="338"/>
        <v>-0.29873040210103308</v>
      </c>
      <c r="AF449">
        <f t="shared" si="339"/>
        <v>5.0940924819750003E-2</v>
      </c>
      <c r="AG449">
        <f t="shared" si="367"/>
        <v>221.19785195130427</v>
      </c>
      <c r="AH449">
        <f t="shared" si="368"/>
        <v>-1316.7904488316492</v>
      </c>
      <c r="AJ449">
        <f t="shared" si="340"/>
        <v>21000</v>
      </c>
      <c r="AK449">
        <f t="shared" si="341"/>
        <v>7922.4212208802501</v>
      </c>
      <c r="AL449">
        <v>1</v>
      </c>
      <c r="AM449">
        <f t="shared" si="342"/>
        <v>155.41485543087526</v>
      </c>
      <c r="AN449">
        <f t="shared" si="369"/>
        <v>51.843241349056967</v>
      </c>
      <c r="AO449">
        <f t="shared" si="370"/>
        <v>-134.78863845141348</v>
      </c>
      <c r="AQ449">
        <f t="shared" si="343"/>
        <v>1.8107737780400583E-3</v>
      </c>
      <c r="AR449">
        <f t="shared" si="344"/>
        <v>-4.2553183783941373</v>
      </c>
      <c r="AT449">
        <f t="shared" si="365"/>
        <v>-5602.96205813711</v>
      </c>
      <c r="AU449">
        <f t="shared" si="366"/>
        <v>-943.65169428560853</v>
      </c>
      <c r="AV449">
        <f t="shared" si="354"/>
        <v>-2.9747383736993709</v>
      </c>
      <c r="AW449">
        <f t="shared" si="355"/>
        <v>-411.11411945148387</v>
      </c>
      <c r="AX449">
        <f t="shared" si="356"/>
        <v>-1737.8204182818506</v>
      </c>
      <c r="AY449">
        <f t="shared" si="364"/>
        <v>-1.803094479543049</v>
      </c>
      <c r="BA449">
        <f t="shared" si="345"/>
        <v>3.1817187028698886</v>
      </c>
      <c r="BB449">
        <f t="shared" si="357"/>
        <v>10.053235616886372</v>
      </c>
      <c r="BC449">
        <f t="shared" si="358"/>
        <v>-1.1716438941563219</v>
      </c>
      <c r="BD449">
        <f t="shared" si="346"/>
        <v>-247.13025030413726</v>
      </c>
      <c r="BF449">
        <f t="shared" si="347"/>
        <v>-51.234503774008928</v>
      </c>
      <c r="BG449">
        <f t="shared" si="348"/>
        <v>-226.73810004399482</v>
      </c>
      <c r="BH449">
        <f t="shared" si="359"/>
        <v>-46.73810004399482</v>
      </c>
      <c r="BI449">
        <f t="shared" si="360"/>
        <v>-46.73810004399482</v>
      </c>
      <c r="BJ449">
        <f t="shared" si="349"/>
        <v>0</v>
      </c>
      <c r="BK449">
        <f t="shared" si="361"/>
        <v>0</v>
      </c>
      <c r="BM449">
        <f t="shared" si="362"/>
        <v>-61.287739390895304</v>
      </c>
      <c r="BN449">
        <f t="shared" si="350"/>
        <v>-159.60784973985756</v>
      </c>
      <c r="BQ449" s="66">
        <f t="shared" si="363"/>
        <v>26.955196417171511</v>
      </c>
    </row>
    <row r="450" spans="1:69" ht="13" x14ac:dyDescent="0.3">
      <c r="A450">
        <f t="shared" si="372"/>
        <v>1180000</v>
      </c>
      <c r="B450">
        <f t="shared" si="351"/>
        <v>1180</v>
      </c>
      <c r="C450">
        <f t="shared" si="320"/>
        <v>1.0665009945455783</v>
      </c>
      <c r="D450">
        <f t="shared" si="321"/>
        <v>0.35500246248045131</v>
      </c>
      <c r="F450">
        <f t="shared" si="322"/>
        <v>5.3468009347954814E-5</v>
      </c>
      <c r="G450">
        <f t="shared" si="323"/>
        <v>2.2797169306501362E-3</v>
      </c>
      <c r="H450">
        <f t="shared" si="324"/>
        <v>-3.1393129330693501</v>
      </c>
      <c r="J450">
        <f t="shared" si="325"/>
        <v>15</v>
      </c>
      <c r="M450">
        <f t="shared" si="326"/>
        <v>9.3082864438219449E-4</v>
      </c>
      <c r="N450">
        <f t="shared" si="327"/>
        <v>-1.5707963250000001</v>
      </c>
      <c r="O450">
        <f t="shared" si="328"/>
        <v>406.35643795714725</v>
      </c>
      <c r="P450">
        <f t="shared" si="329"/>
        <v>1.5683354306064101</v>
      </c>
      <c r="Q450">
        <f t="shared" si="330"/>
        <v>156.07939877182778</v>
      </c>
      <c r="R450">
        <f t="shared" si="331"/>
        <v>1.5643892874957077</v>
      </c>
      <c r="S450">
        <f t="shared" si="332"/>
        <v>0.93513601567269278</v>
      </c>
      <c r="T450">
        <f t="shared" si="333"/>
        <v>-0.36215354485377149</v>
      </c>
      <c r="U450">
        <f t="shared" si="334"/>
        <v>0.16740594025672029</v>
      </c>
      <c r="V450">
        <f t="shared" si="335"/>
        <v>-1.4025984397253299</v>
      </c>
      <c r="X450">
        <f t="shared" si="352"/>
        <v>-42.041706902955241</v>
      </c>
      <c r="Y450">
        <f t="shared" si="336"/>
        <v>-171.15017479171235</v>
      </c>
      <c r="Z450">
        <f t="shared" si="353"/>
        <v>8.8498252082876547</v>
      </c>
      <c r="AC450">
        <v>1</v>
      </c>
      <c r="AD450">
        <f t="shared" si="337"/>
        <v>406.35520750843204</v>
      </c>
      <c r="AE450">
        <f t="shared" si="338"/>
        <v>-0.3012781978346607</v>
      </c>
      <c r="AF450">
        <f t="shared" si="339"/>
        <v>5.1157694712600003E-2</v>
      </c>
      <c r="AG450">
        <f t="shared" si="367"/>
        <v>219.3796881233736</v>
      </c>
      <c r="AH450">
        <f t="shared" si="368"/>
        <v>-1311.519556466933</v>
      </c>
      <c r="AJ450">
        <f t="shared" si="340"/>
        <v>21000</v>
      </c>
      <c r="AK450">
        <f t="shared" si="341"/>
        <v>7956.1336516074007</v>
      </c>
      <c r="AL450">
        <v>1</v>
      </c>
      <c r="AM450">
        <f t="shared" si="342"/>
        <v>156.07619524121941</v>
      </c>
      <c r="AN450">
        <f t="shared" si="369"/>
        <v>51.835907367207518</v>
      </c>
      <c r="AO450">
        <f t="shared" si="370"/>
        <v>-134.21754714264347</v>
      </c>
      <c r="AQ450">
        <f t="shared" si="343"/>
        <v>1.7954607520359179E-3</v>
      </c>
      <c r="AR450">
        <f t="shared" si="344"/>
        <v>-4.2372873748047661</v>
      </c>
      <c r="AT450">
        <f t="shared" si="365"/>
        <v>-5556.8913708070622</v>
      </c>
      <c r="AU450">
        <f t="shared" si="366"/>
        <v>-931.92956466294197</v>
      </c>
      <c r="AV450">
        <f t="shared" si="354"/>
        <v>-2.9754319339205133</v>
      </c>
      <c r="AW450">
        <f t="shared" si="355"/>
        <v>-407.18111496150783</v>
      </c>
      <c r="AX450">
        <f t="shared" si="356"/>
        <v>-1730.5739950444156</v>
      </c>
      <c r="AY450">
        <f t="shared" si="364"/>
        <v>-1.8018800040893419</v>
      </c>
      <c r="BA450">
        <f t="shared" si="345"/>
        <v>3.1693087083233116</v>
      </c>
      <c r="BB450">
        <f t="shared" si="357"/>
        <v>10.019290879050704</v>
      </c>
      <c r="BC450">
        <f t="shared" si="358"/>
        <v>-1.1735519298311714</v>
      </c>
      <c r="BD450">
        <f t="shared" si="346"/>
        <v>-247.23957269559145</v>
      </c>
      <c r="BF450">
        <f t="shared" si="347"/>
        <v>-51.337778338085926</v>
      </c>
      <c r="BG450">
        <f t="shared" si="348"/>
        <v>-226.76881169670821</v>
      </c>
      <c r="BH450">
        <f t="shared" si="359"/>
        <v>-46.768811696708212</v>
      </c>
      <c r="BI450">
        <f t="shared" si="360"/>
        <v>-46.768811696708212</v>
      </c>
      <c r="BJ450">
        <f t="shared" si="349"/>
        <v>0</v>
      </c>
      <c r="BK450">
        <f t="shared" si="361"/>
        <v>0</v>
      </c>
      <c r="BM450">
        <f t="shared" si="362"/>
        <v>-61.357069217136619</v>
      </c>
      <c r="BN450">
        <f t="shared" si="350"/>
        <v>-159.52923900111679</v>
      </c>
      <c r="BQ450" s="66">
        <f t="shared" si="363"/>
        <v>26.921251679335843</v>
      </c>
    </row>
    <row r="451" spans="1:69" ht="13" x14ac:dyDescent="0.3">
      <c r="A451">
        <f t="shared" si="372"/>
        <v>1185000</v>
      </c>
      <c r="B451">
        <f t="shared" si="351"/>
        <v>1185</v>
      </c>
      <c r="C451">
        <f t="shared" si="320"/>
        <v>1.0670480083316165</v>
      </c>
      <c r="D451">
        <f t="shared" si="321"/>
        <v>0.35638276661903934</v>
      </c>
      <c r="F451">
        <f t="shared" si="322"/>
        <v>5.3017731505026017E-5</v>
      </c>
      <c r="G451">
        <f t="shared" si="323"/>
        <v>2.2700968736668226E-3</v>
      </c>
      <c r="H451">
        <f t="shared" si="324"/>
        <v>-3.1393225531263336</v>
      </c>
      <c r="J451">
        <f t="shared" si="325"/>
        <v>15</v>
      </c>
      <c r="M451">
        <f t="shared" si="326"/>
        <v>9.2690109735948478E-4</v>
      </c>
      <c r="N451">
        <f t="shared" si="327"/>
        <v>-1.5707963250000001</v>
      </c>
      <c r="O451">
        <f t="shared" si="328"/>
        <v>408.07827686500815</v>
      </c>
      <c r="P451">
        <f t="shared" si="329"/>
        <v>1.5683458140929747</v>
      </c>
      <c r="Q451">
        <f t="shared" si="330"/>
        <v>156.74072506544087</v>
      </c>
      <c r="R451">
        <f t="shared" si="331"/>
        <v>1.5644163206816522</v>
      </c>
      <c r="S451">
        <f t="shared" si="332"/>
        <v>0.93463799198957453</v>
      </c>
      <c r="T451">
        <f t="shared" si="333"/>
        <v>-0.36355664648368785</v>
      </c>
      <c r="U451">
        <f t="shared" si="334"/>
        <v>0.16671925984801597</v>
      </c>
      <c r="V451">
        <f t="shared" si="335"/>
        <v>-1.4032949081135428</v>
      </c>
      <c r="X451">
        <f t="shared" si="352"/>
        <v>-42.114314226859847</v>
      </c>
      <c r="Y451">
        <f t="shared" si="336"/>
        <v>-171.18979306224873</v>
      </c>
      <c r="Z451">
        <f t="shared" si="353"/>
        <v>8.8102069377512748</v>
      </c>
      <c r="AC451">
        <v>1</v>
      </c>
      <c r="AD451">
        <f t="shared" si="337"/>
        <v>408.07705160804403</v>
      </c>
      <c r="AE451">
        <f t="shared" si="338"/>
        <v>-0.30383681223382392</v>
      </c>
      <c r="AF451">
        <f t="shared" si="339"/>
        <v>5.1374464605450004E-2</v>
      </c>
      <c r="AG451">
        <f t="shared" si="367"/>
        <v>217.5836374956217</v>
      </c>
      <c r="AH451">
        <f t="shared" si="368"/>
        <v>-1306.2894051802991</v>
      </c>
      <c r="AJ451">
        <f t="shared" si="340"/>
        <v>21000</v>
      </c>
      <c r="AK451">
        <f t="shared" si="341"/>
        <v>7989.8460823345504</v>
      </c>
      <c r="AL451">
        <v>1</v>
      </c>
      <c r="AM451">
        <f t="shared" si="342"/>
        <v>156.73753505156355</v>
      </c>
      <c r="AN451">
        <f t="shared" si="369"/>
        <v>51.828666019539462</v>
      </c>
      <c r="AO451">
        <f t="shared" si="370"/>
        <v>-133.65127457879774</v>
      </c>
      <c r="AQ451">
        <f t="shared" si="343"/>
        <v>1.7803411525323305E-3</v>
      </c>
      <c r="AR451">
        <f t="shared" si="344"/>
        <v>-4.2194085315016236</v>
      </c>
      <c r="AT451">
        <f t="shared" si="365"/>
        <v>-5511.3812877239843</v>
      </c>
      <c r="AU451">
        <f t="shared" si="366"/>
        <v>-920.39989714934234</v>
      </c>
      <c r="AV451">
        <f t="shared" si="354"/>
        <v>-2.9761198067071311</v>
      </c>
      <c r="AW451">
        <f t="shared" si="355"/>
        <v>-403.29820150972148</v>
      </c>
      <c r="AX451">
        <f t="shared" si="356"/>
        <v>-1723.3873187256663</v>
      </c>
      <c r="AY451">
        <f t="shared" si="364"/>
        <v>-1.8006744773789414</v>
      </c>
      <c r="BA451">
        <f t="shared" si="345"/>
        <v>3.1569901866856003</v>
      </c>
      <c r="BB451">
        <f t="shared" si="357"/>
        <v>9.9854646383200087</v>
      </c>
      <c r="BC451">
        <f t="shared" si="358"/>
        <v>-1.1754453293281897</v>
      </c>
      <c r="BD451">
        <f t="shared" si="346"/>
        <v>-247.34805649582677</v>
      </c>
      <c r="BF451">
        <f t="shared" si="347"/>
        <v>-51.440608161530847</v>
      </c>
      <c r="BG451">
        <f t="shared" si="348"/>
        <v>-226.79876108393208</v>
      </c>
      <c r="BH451">
        <f t="shared" si="359"/>
        <v>-46.798761083932078</v>
      </c>
      <c r="BI451">
        <f t="shared" si="360"/>
        <v>-46.798761083932078</v>
      </c>
      <c r="BJ451">
        <f t="shared" si="349"/>
        <v>0</v>
      </c>
      <c r="BK451">
        <f t="shared" si="361"/>
        <v>0</v>
      </c>
      <c r="BM451">
        <f t="shared" si="362"/>
        <v>-61.426072799850857</v>
      </c>
      <c r="BN451">
        <f t="shared" si="350"/>
        <v>-159.45070458810531</v>
      </c>
      <c r="BQ451" s="66">
        <f t="shared" si="363"/>
        <v>26.887425438605142</v>
      </c>
    </row>
    <row r="452" spans="1:69" ht="13" x14ac:dyDescent="0.3">
      <c r="A452">
        <f t="shared" si="372"/>
        <v>1190000</v>
      </c>
      <c r="B452">
        <f t="shared" si="351"/>
        <v>1190</v>
      </c>
      <c r="C452">
        <f t="shared" si="320"/>
        <v>1.0675970530141137</v>
      </c>
      <c r="D452">
        <f t="shared" si="321"/>
        <v>0.35776165365461526</v>
      </c>
      <c r="F452">
        <f t="shared" si="322"/>
        <v>5.2573117883038319E-5</v>
      </c>
      <c r="G452">
        <f t="shared" si="323"/>
        <v>2.2605576700025212E-3</v>
      </c>
      <c r="H452">
        <f t="shared" si="324"/>
        <v>-3.1393320923299979</v>
      </c>
      <c r="J452">
        <f t="shared" si="325"/>
        <v>15</v>
      </c>
      <c r="M452">
        <f t="shared" si="326"/>
        <v>9.2300655493360458E-4</v>
      </c>
      <c r="N452">
        <f t="shared" si="327"/>
        <v>-1.5707963250000001</v>
      </c>
      <c r="O452">
        <f t="shared" si="328"/>
        <v>409.80011581649694</v>
      </c>
      <c r="P452">
        <f t="shared" si="329"/>
        <v>1.5683561103238715</v>
      </c>
      <c r="Q452">
        <f t="shared" si="330"/>
        <v>157.40205147263643</v>
      </c>
      <c r="R452">
        <f t="shared" si="331"/>
        <v>1.5644431267071746</v>
      </c>
      <c r="S452">
        <f t="shared" si="332"/>
        <v>0.93413866239160881</v>
      </c>
      <c r="T452">
        <f t="shared" si="333"/>
        <v>-0.36495825165864171</v>
      </c>
      <c r="U452">
        <f t="shared" si="334"/>
        <v>0.16603811024300327</v>
      </c>
      <c r="V452">
        <f t="shared" si="335"/>
        <v>-1.4039856858403867</v>
      </c>
      <c r="X452">
        <f t="shared" si="352"/>
        <v>-42.186625226587246</v>
      </c>
      <c r="Y452">
        <f t="shared" si="336"/>
        <v>-171.22909411753483</v>
      </c>
      <c r="Z452">
        <f t="shared" si="353"/>
        <v>8.770905882465172</v>
      </c>
      <c r="AC452">
        <v>1</v>
      </c>
      <c r="AD452">
        <f t="shared" si="337"/>
        <v>409.79889570765602</v>
      </c>
      <c r="AE452">
        <f t="shared" si="338"/>
        <v>-0.30640624529852273</v>
      </c>
      <c r="AF452">
        <f t="shared" si="339"/>
        <v>5.1591234498299998E-2</v>
      </c>
      <c r="AG452">
        <f t="shared" si="367"/>
        <v>215.80934637924042</v>
      </c>
      <c r="AH452">
        <f t="shared" si="368"/>
        <v>-1301.0995409811962</v>
      </c>
      <c r="AJ452">
        <f t="shared" si="340"/>
        <v>21000</v>
      </c>
      <c r="AK452">
        <f t="shared" si="341"/>
        <v>8023.558513061701</v>
      </c>
      <c r="AL452">
        <v>1</v>
      </c>
      <c r="AM452">
        <f t="shared" si="342"/>
        <v>157.3988748619077</v>
      </c>
      <c r="AN452">
        <f t="shared" si="369"/>
        <v>51.821515752556152</v>
      </c>
      <c r="AO452">
        <f t="shared" si="370"/>
        <v>-133.08976002926394</v>
      </c>
      <c r="AQ452">
        <f t="shared" si="343"/>
        <v>1.7654117355038954E-3</v>
      </c>
      <c r="AR452">
        <f t="shared" si="344"/>
        <v>-4.2016799304992709</v>
      </c>
      <c r="AT452">
        <f t="shared" si="365"/>
        <v>-5466.4228365697763</v>
      </c>
      <c r="AU452">
        <f t="shared" si="366"/>
        <v>-909.058775894527</v>
      </c>
      <c r="AV452">
        <f t="shared" si="354"/>
        <v>-2.9768020610638071</v>
      </c>
      <c r="AW452">
        <f t="shared" si="355"/>
        <v>-399.46453071968614</v>
      </c>
      <c r="AX452">
        <f t="shared" si="356"/>
        <v>-1716.2596582604492</v>
      </c>
      <c r="AY452">
        <f t="shared" si="364"/>
        <v>-1.7994777910498903</v>
      </c>
      <c r="BA452">
        <f t="shared" si="345"/>
        <v>3.1447621963027648</v>
      </c>
      <c r="BB452">
        <f t="shared" si="357"/>
        <v>9.9517562023778616</v>
      </c>
      <c r="BC452">
        <f t="shared" si="358"/>
        <v>-1.1773242700139168</v>
      </c>
      <c r="BD452">
        <f t="shared" si="346"/>
        <v>-247.45571186719735</v>
      </c>
      <c r="BF452">
        <f t="shared" si="347"/>
        <v>-51.542996612629523</v>
      </c>
      <c r="BG452">
        <f t="shared" si="348"/>
        <v>-226.82795860375907</v>
      </c>
      <c r="BH452">
        <f t="shared" si="359"/>
        <v>-46.827958603759072</v>
      </c>
      <c r="BI452">
        <f t="shared" si="360"/>
        <v>-46.827958603759072</v>
      </c>
      <c r="BJ452">
        <f t="shared" si="349"/>
        <v>0</v>
      </c>
      <c r="BK452">
        <f t="shared" si="361"/>
        <v>0</v>
      </c>
      <c r="BM452">
        <f t="shared" si="362"/>
        <v>-61.494752815007381</v>
      </c>
      <c r="BN452">
        <f t="shared" si="350"/>
        <v>-159.37224673656172</v>
      </c>
      <c r="BQ452" s="66">
        <f t="shared" si="363"/>
        <v>26.853717002663</v>
      </c>
    </row>
    <row r="453" spans="1:69" ht="13" x14ac:dyDescent="0.3">
      <c r="A453">
        <f t="shared" si="372"/>
        <v>1195000</v>
      </c>
      <c r="B453">
        <f t="shared" si="351"/>
        <v>1195</v>
      </c>
      <c r="C453">
        <f t="shared" si="320"/>
        <v>1.0681481254613334</v>
      </c>
      <c r="D453">
        <f t="shared" si="321"/>
        <v>0.35913912053303171</v>
      </c>
      <c r="F453">
        <f t="shared" si="322"/>
        <v>5.2134073873989865E-5</v>
      </c>
      <c r="G453">
        <f t="shared" si="323"/>
        <v>2.2510983045540382E-3</v>
      </c>
      <c r="H453">
        <f t="shared" si="324"/>
        <v>-3.1393415516954462</v>
      </c>
      <c r="J453">
        <f t="shared" si="325"/>
        <v>15</v>
      </c>
      <c r="M453">
        <f t="shared" si="326"/>
        <v>9.1914460282091167E-4</v>
      </c>
      <c r="N453">
        <f t="shared" si="327"/>
        <v>-1.5707963250000001</v>
      </c>
      <c r="O453">
        <f t="shared" si="328"/>
        <v>411.52195481106617</v>
      </c>
      <c r="P453">
        <f t="shared" si="329"/>
        <v>1.5683663203943512</v>
      </c>
      <c r="Q453">
        <f t="shared" si="330"/>
        <v>158.06337799198886</v>
      </c>
      <c r="R453">
        <f t="shared" si="331"/>
        <v>1.5644697084235082</v>
      </c>
      <c r="S453">
        <f t="shared" si="332"/>
        <v>0.93363803485157615</v>
      </c>
      <c r="T453">
        <f t="shared" si="333"/>
        <v>-0.36635835727330851</v>
      </c>
      <c r="U453">
        <f t="shared" si="334"/>
        <v>0.16536242586581026</v>
      </c>
      <c r="V453">
        <f t="shared" si="335"/>
        <v>-1.4046708417162097</v>
      </c>
      <c r="X453">
        <f t="shared" si="352"/>
        <v>-42.258642286832568</v>
      </c>
      <c r="Y453">
        <f t="shared" si="336"/>
        <v>-171.26808172922517</v>
      </c>
      <c r="Z453">
        <f t="shared" si="353"/>
        <v>8.7319182707748269</v>
      </c>
      <c r="AC453">
        <v>1</v>
      </c>
      <c r="AD453">
        <f t="shared" si="337"/>
        <v>411.520739807268</v>
      </c>
      <c r="AE453">
        <f t="shared" si="338"/>
        <v>-0.30898649702875708</v>
      </c>
      <c r="AF453">
        <f t="shared" si="339"/>
        <v>5.1808004391149999E-2</v>
      </c>
      <c r="AG453">
        <f t="shared" si="367"/>
        <v>214.05646805803624</v>
      </c>
      <c r="AH453">
        <f t="shared" si="368"/>
        <v>-1295.9495163081365</v>
      </c>
      <c r="AJ453">
        <f t="shared" si="340"/>
        <v>21000</v>
      </c>
      <c r="AK453">
        <f t="shared" si="341"/>
        <v>8057.2709437888498</v>
      </c>
      <c r="AL453">
        <v>1</v>
      </c>
      <c r="AM453">
        <f t="shared" si="342"/>
        <v>158.06021467225185</v>
      </c>
      <c r="AN453">
        <f t="shared" si="369"/>
        <v>51.814455045190073</v>
      </c>
      <c r="AO453">
        <f t="shared" si="370"/>
        <v>-132.53294377963638</v>
      </c>
      <c r="AQ453">
        <f t="shared" si="343"/>
        <v>1.7506693246495467E-3</v>
      </c>
      <c r="AR453">
        <f t="shared" si="344"/>
        <v>-4.1840996859124164</v>
      </c>
      <c r="AT453">
        <f t="shared" si="365"/>
        <v>-5422.00722205085</v>
      </c>
      <c r="AU453">
        <f t="shared" si="366"/>
        <v>-897.9023798336458</v>
      </c>
      <c r="AV453">
        <f t="shared" si="354"/>
        <v>-2.9774787648942271</v>
      </c>
      <c r="AW453">
        <f t="shared" si="355"/>
        <v>-395.67927212436911</v>
      </c>
      <c r="AX453">
        <f t="shared" si="356"/>
        <v>-1709.1902943941807</v>
      </c>
      <c r="AY453">
        <f t="shared" si="364"/>
        <v>-1.7982898384563502</v>
      </c>
      <c r="BA453">
        <f t="shared" si="345"/>
        <v>3.132623807115916</v>
      </c>
      <c r="BB453">
        <f t="shared" si="357"/>
        <v>9.9181648826117215</v>
      </c>
      <c r="BC453">
        <f t="shared" si="358"/>
        <v>-1.179188926437877</v>
      </c>
      <c r="BD453">
        <f t="shared" si="346"/>
        <v>-247.56254881065433</v>
      </c>
      <c r="BF453">
        <f t="shared" si="347"/>
        <v>-51.644947022943356</v>
      </c>
      <c r="BG453">
        <f t="shared" si="348"/>
        <v>-226.8564144902912</v>
      </c>
      <c r="BH453">
        <f t="shared" si="359"/>
        <v>-46.856414490291201</v>
      </c>
      <c r="BI453">
        <f t="shared" si="360"/>
        <v>-46.856414490291201</v>
      </c>
      <c r="BJ453">
        <f t="shared" si="349"/>
        <v>0</v>
      </c>
      <c r="BK453">
        <f t="shared" si="361"/>
        <v>0</v>
      </c>
      <c r="BM453">
        <f t="shared" si="362"/>
        <v>-61.563111905555076</v>
      </c>
      <c r="BN453">
        <f t="shared" si="350"/>
        <v>-159.29386567963689</v>
      </c>
      <c r="BQ453" s="66">
        <f t="shared" si="363"/>
        <v>26.820125682896858</v>
      </c>
    </row>
    <row r="454" spans="1:69" ht="13" x14ac:dyDescent="0.3">
      <c r="A454">
        <f t="shared" si="372"/>
        <v>1200000</v>
      </c>
      <c r="B454">
        <f t="shared" si="351"/>
        <v>1200</v>
      </c>
      <c r="C454">
        <f t="shared" si="320"/>
        <v>1.0687012225364441</v>
      </c>
      <c r="D454">
        <f t="shared" si="321"/>
        <v>0.3605151642279863</v>
      </c>
      <c r="F454">
        <f t="shared" si="322"/>
        <v>5.17005068369605E-5</v>
      </c>
      <c r="G454">
        <f t="shared" si="323"/>
        <v>2.2417177791408693E-3</v>
      </c>
      <c r="H454">
        <f t="shared" si="324"/>
        <v>-3.1393509322208595</v>
      </c>
      <c r="J454">
        <f t="shared" si="325"/>
        <v>15</v>
      </c>
      <c r="M454">
        <f t="shared" si="326"/>
        <v>9.1531483364249116E-4</v>
      </c>
      <c r="N454">
        <f t="shared" si="327"/>
        <v>-1.5707963250000001</v>
      </c>
      <c r="O454">
        <f t="shared" si="328"/>
        <v>413.24379384817723</v>
      </c>
      <c r="P454">
        <f t="shared" si="329"/>
        <v>1.5683764453814106</v>
      </c>
      <c r="Q454">
        <f t="shared" si="330"/>
        <v>158.72470462209623</v>
      </c>
      <c r="R454">
        <f t="shared" si="331"/>
        <v>1.5644960686343685</v>
      </c>
      <c r="S454">
        <f t="shared" si="332"/>
        <v>0.93313611733866331</v>
      </c>
      <c r="T454">
        <f t="shared" si="333"/>
        <v>-0.36775696025252108</v>
      </c>
      <c r="U454">
        <f t="shared" si="334"/>
        <v>0.16469214215709108</v>
      </c>
      <c r="V454">
        <f t="shared" si="335"/>
        <v>-1.4053504434569974</v>
      </c>
      <c r="X454">
        <f t="shared" si="352"/>
        <v>-42.3303677639624</v>
      </c>
      <c r="Y454">
        <f t="shared" si="336"/>
        <v>-171.3067596092034</v>
      </c>
      <c r="Z454">
        <f t="shared" si="353"/>
        <v>8.6932403907966034</v>
      </c>
      <c r="AC454">
        <v>1</v>
      </c>
      <c r="AD454">
        <f t="shared" si="337"/>
        <v>413.24258390687999</v>
      </c>
      <c r="AE454">
        <f t="shared" si="338"/>
        <v>-0.31157756742452702</v>
      </c>
      <c r="AF454">
        <f t="shared" si="339"/>
        <v>5.2024774284E-2</v>
      </c>
      <c r="AG454">
        <f t="shared" si="367"/>
        <v>212.32466262585143</v>
      </c>
      <c r="AH454">
        <f t="shared" si="368"/>
        <v>-1290.838889921904</v>
      </c>
      <c r="AJ454">
        <f t="shared" si="340"/>
        <v>21000</v>
      </c>
      <c r="AK454">
        <f t="shared" si="341"/>
        <v>8090.9833745160004</v>
      </c>
      <c r="AL454">
        <v>1</v>
      </c>
      <c r="AM454">
        <f t="shared" si="342"/>
        <v>158.72155448259599</v>
      </c>
      <c r="AN454">
        <f t="shared" si="369"/>
        <v>51.807482407993987</v>
      </c>
      <c r="AO454">
        <f t="shared" si="370"/>
        <v>-131.9807671105502</v>
      </c>
      <c r="AQ454">
        <f t="shared" si="343"/>
        <v>1.7361108097029845E-3</v>
      </c>
      <c r="AR454">
        <f t="shared" si="344"/>
        <v>-4.1666659432871622</v>
      </c>
      <c r="AT454">
        <f t="shared" si="365"/>
        <v>-5378.1258217662526</v>
      </c>
      <c r="AU454">
        <f t="shared" si="366"/>
        <v>-886.92698003345015</v>
      </c>
      <c r="AV454">
        <f t="shared" si="354"/>
        <v>-2.9781499850228261</v>
      </c>
      <c r="AW454">
        <f t="shared" si="355"/>
        <v>-391.94161271386781</v>
      </c>
      <c r="AX454">
        <f t="shared" si="356"/>
        <v>-1702.1785194464333</v>
      </c>
      <c r="AY454">
        <f t="shared" si="364"/>
        <v>-1.7971105146354056</v>
      </c>
      <c r="BA454">
        <f t="shared" si="345"/>
        <v>3.1205741005164755</v>
      </c>
      <c r="BB454">
        <f t="shared" si="357"/>
        <v>9.8846899941516622</v>
      </c>
      <c r="BC454">
        <f t="shared" si="358"/>
        <v>-1.1810394703874205</v>
      </c>
      <c r="BD454">
        <f t="shared" si="346"/>
        <v>-247.66857716888779</v>
      </c>
      <c r="BF454">
        <f t="shared" si="347"/>
        <v>-51.746462687821534</v>
      </c>
      <c r="BG454">
        <f t="shared" si="348"/>
        <v>-226.88413881680452</v>
      </c>
      <c r="BH454">
        <f t="shared" si="359"/>
        <v>-46.884138816804523</v>
      </c>
      <c r="BI454">
        <f t="shared" si="360"/>
        <v>-46.884138816804523</v>
      </c>
      <c r="BJ454">
        <f t="shared" si="349"/>
        <v>0</v>
      </c>
      <c r="BK454">
        <f t="shared" si="361"/>
        <v>0</v>
      </c>
      <c r="BM454">
        <f t="shared" si="362"/>
        <v>-61.631152681973198</v>
      </c>
      <c r="BN454">
        <f t="shared" si="350"/>
        <v>-159.21556164791676</v>
      </c>
      <c r="BQ454" s="66">
        <f t="shared" si="363"/>
        <v>26.786650794436795</v>
      </c>
    </row>
    <row r="455" spans="1:69" ht="13" x14ac:dyDescent="0.3">
      <c r="A455">
        <f t="shared" si="372"/>
        <v>1205000</v>
      </c>
      <c r="B455">
        <f t="shared" si="351"/>
        <v>1205</v>
      </c>
      <c r="C455">
        <f t="shared" si="320"/>
        <v>1.0692563410975913</v>
      </c>
      <c r="D455">
        <f t="shared" si="321"/>
        <v>0.36188978174098496</v>
      </c>
      <c r="F455">
        <f t="shared" si="322"/>
        <v>5.1272326049235008E-5</v>
      </c>
      <c r="G455">
        <f t="shared" si="323"/>
        <v>2.2324151121540067E-3</v>
      </c>
      <c r="H455">
        <f t="shared" si="324"/>
        <v>-3.139360234887846</v>
      </c>
      <c r="J455">
        <f t="shared" si="325"/>
        <v>15</v>
      </c>
      <c r="M455">
        <f t="shared" si="326"/>
        <v>9.115168467809041E-4</v>
      </c>
      <c r="N455">
        <f t="shared" si="327"/>
        <v>-1.5707963250000001</v>
      </c>
      <c r="O455">
        <f t="shared" si="328"/>
        <v>414.96563292730053</v>
      </c>
      <c r="P455">
        <f t="shared" si="329"/>
        <v>1.568386486344171</v>
      </c>
      <c r="Q455">
        <f t="shared" si="330"/>
        <v>159.38603136157991</v>
      </c>
      <c r="R455">
        <f t="shared" si="331"/>
        <v>1.5645222100969391</v>
      </c>
      <c r="S455">
        <f t="shared" si="332"/>
        <v>0.93263291781819357</v>
      </c>
      <c r="T455">
        <f t="shared" si="333"/>
        <v>-0.3691540575512236</v>
      </c>
      <c r="U455">
        <f t="shared" si="334"/>
        <v>0.1640271955547358</v>
      </c>
      <c r="V455">
        <f t="shared" si="335"/>
        <v>-1.406024557705829</v>
      </c>
      <c r="X455">
        <f t="shared" si="352"/>
        <v>-42.401803986455334</v>
      </c>
      <c r="Y455">
        <f t="shared" si="336"/>
        <v>-171.34513141075263</v>
      </c>
      <c r="Z455">
        <f t="shared" si="353"/>
        <v>8.6548685892473713</v>
      </c>
      <c r="AC455">
        <v>1</v>
      </c>
      <c r="AD455">
        <f t="shared" si="337"/>
        <v>414.96442800649203</v>
      </c>
      <c r="AE455">
        <f t="shared" si="338"/>
        <v>-0.31417945648583256</v>
      </c>
      <c r="AF455">
        <f t="shared" si="339"/>
        <v>5.2241544176849994E-2</v>
      </c>
      <c r="AG455">
        <f t="shared" si="367"/>
        <v>210.61359682834109</v>
      </c>
      <c r="AH455">
        <f t="shared" si="368"/>
        <v>-1285.7672268006961</v>
      </c>
      <c r="AJ455">
        <f t="shared" si="340"/>
        <v>21000</v>
      </c>
      <c r="AK455">
        <f t="shared" si="341"/>
        <v>8124.6958052431501</v>
      </c>
      <c r="AL455">
        <v>1</v>
      </c>
      <c r="AM455">
        <f t="shared" si="342"/>
        <v>159.38289429294016</v>
      </c>
      <c r="AN455">
        <f t="shared" si="369"/>
        <v>51.800596382355302</v>
      </c>
      <c r="AO455">
        <f t="shared" si="370"/>
        <v>-131.43317227704242</v>
      </c>
      <c r="AQ455">
        <f t="shared" si="343"/>
        <v>1.7217331447920757E-3</v>
      </c>
      <c r="AR455">
        <f t="shared" si="344"/>
        <v>-4.1493768789489023</v>
      </c>
      <c r="AT455">
        <f t="shared" si="365"/>
        <v>-5334.7701821866549</v>
      </c>
      <c r="AU455">
        <f t="shared" si="366"/>
        <v>-876.12893712265441</v>
      </c>
      <c r="AV455">
        <f t="shared" si="354"/>
        <v>-2.9788157872159289</v>
      </c>
      <c r="AW455">
        <f t="shared" si="355"/>
        <v>-388.25075649641303</v>
      </c>
      <c r="AX455">
        <f t="shared" si="356"/>
        <v>-1695.2236370801422</v>
      </c>
      <c r="AY455">
        <f t="shared" si="364"/>
        <v>-1.7959397162746187</v>
      </c>
      <c r="BA455">
        <f t="shared" si="345"/>
        <v>3.1086121692024551</v>
      </c>
      <c r="BB455">
        <f t="shared" si="357"/>
        <v>9.8513308559060047</v>
      </c>
      <c r="BC455">
        <f t="shared" si="358"/>
        <v>-1.1828760709413102</v>
      </c>
      <c r="BD455">
        <f t="shared" si="346"/>
        <v>-247.77380662939731</v>
      </c>
      <c r="BF455">
        <f t="shared" si="347"/>
        <v>-51.847546866904636</v>
      </c>
      <c r="BG455">
        <f t="shared" si="348"/>
        <v>-226.9111414988416</v>
      </c>
      <c r="BH455">
        <f t="shared" si="359"/>
        <v>-46.911141498841602</v>
      </c>
      <c r="BI455">
        <f t="shared" si="360"/>
        <v>-46.911141498841602</v>
      </c>
      <c r="BJ455">
        <f t="shared" si="349"/>
        <v>0</v>
      </c>
      <c r="BK455">
        <f t="shared" si="361"/>
        <v>0</v>
      </c>
      <c r="BM455">
        <f t="shared" si="362"/>
        <v>-61.698877722810643</v>
      </c>
      <c r="BN455">
        <f t="shared" si="350"/>
        <v>-159.13733486944432</v>
      </c>
      <c r="BQ455" s="66">
        <f t="shared" si="363"/>
        <v>26.753291656191141</v>
      </c>
    </row>
    <row r="456" spans="1:69" ht="13" x14ac:dyDescent="0.3">
      <c r="A456">
        <f t="shared" si="372"/>
        <v>1210000</v>
      </c>
      <c r="B456">
        <f t="shared" si="351"/>
        <v>1210</v>
      </c>
      <c r="C456">
        <f t="shared" si="320"/>
        <v>1.0698134779979718</v>
      </c>
      <c r="D456">
        <f t="shared" si="321"/>
        <v>0.36326297010130487</v>
      </c>
      <c r="F456">
        <f t="shared" si="322"/>
        <v>5.0849442658837381E-5</v>
      </c>
      <c r="G456">
        <f t="shared" si="323"/>
        <v>2.2231893382134442E-3</v>
      </c>
      <c r="H456">
        <f t="shared" si="324"/>
        <v>-3.1393694606617868</v>
      </c>
      <c r="J456">
        <f t="shared" si="325"/>
        <v>15</v>
      </c>
      <c r="M456">
        <f t="shared" si="326"/>
        <v>9.0775024824048711E-4</v>
      </c>
      <c r="N456">
        <f t="shared" si="327"/>
        <v>-1.5707963250000001</v>
      </c>
      <c r="O456">
        <f t="shared" si="328"/>
        <v>416.68747204791526</v>
      </c>
      <c r="P456">
        <f t="shared" si="329"/>
        <v>1.5683964443242482</v>
      </c>
      <c r="Q456">
        <f t="shared" si="330"/>
        <v>160.04735820908408</v>
      </c>
      <c r="R456">
        <f t="shared" si="331"/>
        <v>1.5645481355228341</v>
      </c>
      <c r="S456">
        <f t="shared" si="332"/>
        <v>0.93212844425136143</v>
      </c>
      <c r="T456">
        <f t="shared" si="333"/>
        <v>-0.37054964615442437</v>
      </c>
      <c r="U456">
        <f t="shared" si="334"/>
        <v>0.16336752347501021</v>
      </c>
      <c r="V456">
        <f t="shared" si="335"/>
        <v>-1.4066932500538354</v>
      </c>
      <c r="X456">
        <f t="shared" si="352"/>
        <v>-42.472953255334041</v>
      </c>
      <c r="Y456">
        <f t="shared" si="336"/>
        <v>-171.38320072969952</v>
      </c>
      <c r="Z456">
        <f t="shared" si="353"/>
        <v>8.6167992703004757</v>
      </c>
      <c r="AC456">
        <v>1</v>
      </c>
      <c r="AD456">
        <f t="shared" si="337"/>
        <v>416.68627210610401</v>
      </c>
      <c r="AE456">
        <f t="shared" si="338"/>
        <v>-0.31679216421267364</v>
      </c>
      <c r="AF456">
        <f t="shared" si="339"/>
        <v>5.2458314069700009E-2</v>
      </c>
      <c r="AG456">
        <f t="shared" si="367"/>
        <v>208.92294390897638</v>
      </c>
      <c r="AH456">
        <f t="shared" si="368"/>
        <v>-1280.7340980371669</v>
      </c>
      <c r="AJ456">
        <f t="shared" si="340"/>
        <v>21000</v>
      </c>
      <c r="AK456">
        <f t="shared" si="341"/>
        <v>8158.4082359703007</v>
      </c>
      <c r="AL456">
        <v>1</v>
      </c>
      <c r="AM456">
        <f t="shared" si="342"/>
        <v>160.04423410328431</v>
      </c>
      <c r="AN456">
        <f t="shared" si="369"/>
        <v>51.793795539733331</v>
      </c>
      <c r="AO456">
        <f t="shared" si="370"/>
        <v>-130.89010248842436</v>
      </c>
      <c r="AQ456">
        <f t="shared" si="343"/>
        <v>1.7075333468456139E-3</v>
      </c>
      <c r="AR456">
        <f t="shared" si="344"/>
        <v>-4.132230699366386</v>
      </c>
      <c r="AT456">
        <f t="shared" si="365"/>
        <v>-5291.9320147408534</v>
      </c>
      <c r="AU456">
        <f t="shared" si="366"/>
        <v>-865.50469880351432</v>
      </c>
      <c r="AV456">
        <f t="shared" si="354"/>
        <v>-2.9794762362024043</v>
      </c>
      <c r="AW456">
        <f t="shared" si="355"/>
        <v>-384.60592407220872</v>
      </c>
      <c r="AX456">
        <f t="shared" si="356"/>
        <v>-1688.3249620763081</v>
      </c>
      <c r="AY456">
        <f t="shared" si="364"/>
        <v>-1.7947773416803119</v>
      </c>
      <c r="BA456">
        <f t="shared" si="345"/>
        <v>3.096737117035786</v>
      </c>
      <c r="BB456">
        <f t="shared" si="357"/>
        <v>9.818086790593842</v>
      </c>
      <c r="BC456">
        <f t="shared" si="358"/>
        <v>-1.1846988945220924</v>
      </c>
      <c r="BD456">
        <f t="shared" si="346"/>
        <v>-247.87824672749238</v>
      </c>
      <c r="BF456">
        <f t="shared" si="347"/>
        <v>-51.948202784620321</v>
      </c>
      <c r="BG456">
        <f t="shared" si="348"/>
        <v>-226.93743229723412</v>
      </c>
      <c r="BH456">
        <f t="shared" si="359"/>
        <v>-46.937432297234125</v>
      </c>
      <c r="BI456">
        <f t="shared" si="360"/>
        <v>-46.937432297234125</v>
      </c>
      <c r="BJ456">
        <f t="shared" si="349"/>
        <v>0</v>
      </c>
      <c r="BK456">
        <f t="shared" si="361"/>
        <v>0</v>
      </c>
      <c r="BM456">
        <f t="shared" si="362"/>
        <v>-61.766289575214167</v>
      </c>
      <c r="BN456">
        <f t="shared" si="350"/>
        <v>-159.05918556974174</v>
      </c>
      <c r="BQ456" s="66">
        <f t="shared" si="363"/>
        <v>26.720047590878981</v>
      </c>
    </row>
    <row r="457" spans="1:69" ht="13" x14ac:dyDescent="0.3">
      <c r="A457">
        <f t="shared" si="372"/>
        <v>1215000</v>
      </c>
      <c r="B457">
        <f t="shared" si="351"/>
        <v>1215</v>
      </c>
      <c r="C457">
        <f t="shared" ref="C457:C520" si="373">SQRT((A457/Fesr)^2+1)</f>
        <v>1.0703726300859033</v>
      </c>
      <c r="D457">
        <f t="shared" ref="D457:D520" si="374">ATAN(A457/Fesr)</f>
        <v>0.36463472636595601</v>
      </c>
      <c r="F457">
        <f t="shared" ref="F457:F520" si="375">(Ro/(Ro+Rdcr))/SQRT((A457/(Q*Fo))^2+(1-(A457^2/Fo^2))^2)</f>
        <v>5.0431769638429795E-5</v>
      </c>
      <c r="G457">
        <f t="shared" ref="G457:G520" si="376">-ATAN(A457*Fo/(Q*(Fo^2-A457^2)))</f>
        <v>2.2140395078341516E-3</v>
      </c>
      <c r="H457">
        <f t="shared" ref="H457:H520" si="377">IF(G457&gt;0,G457-Pi,G457)</f>
        <v>-3.1393786104921659</v>
      </c>
      <c r="J457">
        <f t="shared" ref="J457:J520" si="378">Vin/Vramp</f>
        <v>15</v>
      </c>
      <c r="M457">
        <f t="shared" ref="M457:M520" si="379">1/(2*Pi*_Rfb1*(Cc1ea_u+Cc2ea_u)*A457)</f>
        <v>9.0401465051110231E-4</v>
      </c>
      <c r="N457">
        <f t="shared" ref="N457:N520" si="380">-Pi/2</f>
        <v>-1.5707963250000001</v>
      </c>
      <c r="O457">
        <f t="shared" ref="O457:O520" si="381">SQRT(1+(A457/Fz1_u)^2)</f>
        <v>418.40931120950927</v>
      </c>
      <c r="P457">
        <f t="shared" ref="P457:P520" si="382">ATAN2(Fz1_u,A457)</f>
        <v>1.5684063203461116</v>
      </c>
      <c r="Q457">
        <f t="shared" ref="Q457:Q520" si="383">SQRT(1+(A457/Fz2_u)^2)</f>
        <v>160.70868516327519</v>
      </c>
      <c r="R457">
        <f t="shared" ref="R457:R520" si="384">ATAN2(Fz2_u,A457)</f>
        <v>1.5645738475790341</v>
      </c>
      <c r="S457">
        <f t="shared" ref="S457:S520" si="385">1/SQRT(1+(A457/Fp1_u)^2)</f>
        <v>0.93162270459496688</v>
      </c>
      <c r="T457">
        <f t="shared" ref="T457:T520" si="386">-ATAN2(Fp1_u,A457)</f>
        <v>-0.37194372307714724</v>
      </c>
      <c r="U457">
        <f t="shared" ref="U457:U520" si="387">1/SQRT(1+(A457/Fp2_u)^2)</f>
        <v>0.16271306429411383</v>
      </c>
      <c r="V457">
        <f t="shared" ref="V457:V520" si="388">-ATAN2(Fp2_u,A457)</f>
        <v>-1.4073565850606722</v>
      </c>
      <c r="X457">
        <f t="shared" si="352"/>
        <v>-42.543817844589185</v>
      </c>
      <c r="Y457">
        <f t="shared" ref="Y457:Y520" si="389">(180/Pi)*(D457+H457+N457+P457+R457+T457+V457)</f>
        <v>-171.42097110553115</v>
      </c>
      <c r="Z457">
        <f t="shared" si="353"/>
        <v>8.5790288944688484</v>
      </c>
      <c r="AC457">
        <v>1</v>
      </c>
      <c r="AD457">
        <f t="shared" ref="AD457:AD520" si="390">Rcea1_u*Cc1ea_u*A457*2*Pi</f>
        <v>418.408116205716</v>
      </c>
      <c r="AE457">
        <f t="shared" ref="AE457:AE520" si="391">-Rcea1_u*Cc1ea_u*Cc2ea_u*(A457*2*Pi)^2</f>
        <v>-0.31941569060505032</v>
      </c>
      <c r="AF457">
        <f t="shared" ref="AF457:AF520" si="392">(Cc2ea_u+Cc1ea_u)*A457*2*Pi</f>
        <v>5.2675083962550003E-2</v>
      </c>
      <c r="AG457">
        <f t="shared" si="367"/>
        <v>207.2523834591444</v>
      </c>
      <c r="AH457">
        <f t="shared" si="368"/>
        <v>-1275.739080737332</v>
      </c>
      <c r="AJ457">
        <f t="shared" ref="AJ457:AJ520" si="393">_Rfb1</f>
        <v>21000</v>
      </c>
      <c r="AK457">
        <f t="shared" ref="AK457:AK520" si="394">_Rfb1*Rcea2_u*Cc3ea_u*A457*2*Pi</f>
        <v>8192.1206666974504</v>
      </c>
      <c r="AL457">
        <v>1</v>
      </c>
      <c r="AM457">
        <f t="shared" ref="AM457:AM520" si="395">(_Rfb1+Rcea2_u)*Cc3ea_u*A457*2*Pi</f>
        <v>160.70557391362846</v>
      </c>
      <c r="AN457">
        <f t="shared" si="369"/>
        <v>51.787078480918353</v>
      </c>
      <c r="AO457">
        <f t="shared" si="370"/>
        <v>-130.351501888651</v>
      </c>
      <c r="AQ457">
        <f t="shared" ref="AQ457:AQ520" si="396">Eadcg/(1+(Eadcg*A457/GBP)^2)</f>
        <v>1.6935084940458782E-3</v>
      </c>
      <c r="AR457">
        <f t="shared" ref="AR457:AR520" si="397">-(A457*Eadcg*Eadcg/GBP)/(1+(Eadcg*A457/GBP)^2)</f>
        <v>-4.1152256405314835</v>
      </c>
      <c r="AT457">
        <f t="shared" si="365"/>
        <v>-5249.6031920065334</v>
      </c>
      <c r="AU457">
        <f t="shared" si="366"/>
        <v>-855.05079744174907</v>
      </c>
      <c r="AV457">
        <f t="shared" si="354"/>
        <v>-2.9801313956938396</v>
      </c>
      <c r="AW457">
        <f t="shared" si="355"/>
        <v>-381.00635221968076</v>
      </c>
      <c r="AX457">
        <f t="shared" si="356"/>
        <v>-1681.4818201140151</v>
      </c>
      <c r="AY457">
        <f t="shared" si="364"/>
        <v>-1.7936232907465641</v>
      </c>
      <c r="BA457">
        <f t="shared" ref="BA457:BA520" si="398">SQRT(AT457^2+AU457^2)/SQRT(AW457^2+AX457^2)</f>
        <v>3.0849480589007801</v>
      </c>
      <c r="BB457">
        <f t="shared" si="357"/>
        <v>9.7849571247746709</v>
      </c>
      <c r="BC457">
        <f t="shared" si="358"/>
        <v>-1.1865081049472754</v>
      </c>
      <c r="BD457">
        <f t="shared" ref="BD457:BD520" si="399">BC457*180/Pi-180</f>
        <v>-247.98190684922488</v>
      </c>
      <c r="BF457">
        <f t="shared" ref="BF457:BF520" si="400">20*LOG(BA457*J457*F457*C457)</f>
        <v>-52.0484336306709</v>
      </c>
      <c r="BG457">
        <f t="shared" ref="BG457:BG520" si="401">(180/Pi)*(D457+H457+BC457)</f>
        <v>-226.96302082105623</v>
      </c>
      <c r="BH457">
        <f t="shared" si="359"/>
        <v>-46.963020821056233</v>
      </c>
      <c r="BI457">
        <f t="shared" si="360"/>
        <v>-46.963020821056233</v>
      </c>
      <c r="BJ457">
        <f t="shared" ref="BJ457:BJ520" si="402">SUM((BF458&lt;0)*(BF457&gt;0))*A457</f>
        <v>0</v>
      </c>
      <c r="BK457">
        <f t="shared" si="361"/>
        <v>0</v>
      </c>
      <c r="BM457">
        <f t="shared" si="362"/>
        <v>-61.833390755445564</v>
      </c>
      <c r="BN457">
        <f t="shared" ref="BN457:BN520" si="403">(H457+D457)*180/Pi</f>
        <v>-158.98111397183138</v>
      </c>
      <c r="BQ457" s="66">
        <f t="shared" si="363"/>
        <v>26.686917925059809</v>
      </c>
    </row>
    <row r="458" spans="1:69" ht="13" x14ac:dyDescent="0.3">
      <c r="A458">
        <f t="shared" si="372"/>
        <v>1220000</v>
      </c>
      <c r="B458">
        <f t="shared" ref="B458:B521" si="404">A458/1000</f>
        <v>1220</v>
      </c>
      <c r="C458">
        <f t="shared" si="373"/>
        <v>1.0709337942048986</v>
      </c>
      <c r="D458">
        <f t="shared" si="374"/>
        <v>0.36600504761964192</v>
      </c>
      <c r="F458">
        <f t="shared" si="375"/>
        <v>5.0019221740531579E-5</v>
      </c>
      <c r="G458">
        <f t="shared" si="376"/>
        <v>2.2049646871002563E-3</v>
      </c>
      <c r="H458">
        <f t="shared" si="377"/>
        <v>-3.1393876853128999</v>
      </c>
      <c r="J458">
        <f t="shared" si="378"/>
        <v>15</v>
      </c>
      <c r="M458">
        <f t="shared" si="379"/>
        <v>9.0030967243523712E-4</v>
      </c>
      <c r="N458">
        <f t="shared" si="380"/>
        <v>-1.5707963250000001</v>
      </c>
      <c r="O458">
        <f t="shared" si="381"/>
        <v>420.13115041157863</v>
      </c>
      <c r="P458">
        <f t="shared" si="382"/>
        <v>1.5684161154174365</v>
      </c>
      <c r="Q458">
        <f t="shared" si="383"/>
        <v>161.37001222284152</v>
      </c>
      <c r="R458">
        <f t="shared" si="384"/>
        <v>1.5645993488888017</v>
      </c>
      <c r="S458">
        <f t="shared" si="385"/>
        <v>0.93111570680115219</v>
      </c>
      <c r="T458">
        <f t="shared" si="386"/>
        <v>-0.3733362853643819</v>
      </c>
      <c r="U458">
        <f t="shared" si="387"/>
        <v>0.16206375733014575</v>
      </c>
      <c r="V458">
        <f t="shared" si="388"/>
        <v>-1.4080146262745228</v>
      </c>
      <c r="X458">
        <f t="shared" ref="X458:X521" si="405">20*LOG(C458*J458*O458*Q458*F458*M458*S458*U458)</f>
        <v>-42.614400001595271</v>
      </c>
      <c r="Y458">
        <f t="shared" si="389"/>
        <v>-171.45844602248681</v>
      </c>
      <c r="Z458">
        <f t="shared" ref="Z458:Z521" si="406">Y458+180</f>
        <v>8.541553977513189</v>
      </c>
      <c r="AC458">
        <v>1</v>
      </c>
      <c r="AD458">
        <f t="shared" si="390"/>
        <v>420.12996030532798</v>
      </c>
      <c r="AE458">
        <f t="shared" si="391"/>
        <v>-0.32205003566296253</v>
      </c>
      <c r="AF458">
        <f t="shared" si="392"/>
        <v>5.2891853855400003E-2</v>
      </c>
      <c r="AG458">
        <f t="shared" si="367"/>
        <v>205.60160127222545</v>
      </c>
      <c r="AH458">
        <f t="shared" si="368"/>
        <v>-1270.7817579213136</v>
      </c>
      <c r="AJ458">
        <f t="shared" si="393"/>
        <v>21000</v>
      </c>
      <c r="AK458">
        <f t="shared" si="394"/>
        <v>8225.8330974246001</v>
      </c>
      <c r="AL458">
        <v>1</v>
      </c>
      <c r="AM458">
        <f t="shared" si="395"/>
        <v>161.3669137239726</v>
      </c>
      <c r="AN458">
        <f t="shared" si="369"/>
        <v>51.780443835311829</v>
      </c>
      <c r="AO458">
        <f t="shared" si="370"/>
        <v>-129.81731553717276</v>
      </c>
      <c r="AQ458">
        <f t="shared" si="396"/>
        <v>1.6796557243254965E-3</v>
      </c>
      <c r="AR458">
        <f t="shared" si="397"/>
        <v>-4.0983599673542113</v>
      </c>
      <c r="AT458">
        <f t="shared" si="365"/>
        <v>-5207.7757440022142</v>
      </c>
      <c r="AU458">
        <f t="shared" si="366"/>
        <v>-844.76384773207246</v>
      </c>
      <c r="AV458">
        <f t="shared" ref="AV458:AV521" si="407">ATAN2(AT458,AU458)</f>
        <v>-2.9807813284042517</v>
      </c>
      <c r="AW458">
        <f t="shared" ref="AW458:AW521" si="408">AG458-AH458*AO458/_Rfb2+AG458*AN458/_Rfb2+AN458-AO458*AR458+AQ458*AN458</f>
        <v>-377.45129349372371</v>
      </c>
      <c r="AX458">
        <f t="shared" ref="AX458:AX521" si="409">AH458+AH458*AN458/_Rfb2+AG458*AO458/_Rfb2+AO458+AO458*AQ458+AN458*AR458</f>
        <v>-1674.6935475556454</v>
      </c>
      <c r="AY458">
        <f t="shared" si="364"/>
        <v>-1.7924774649249</v>
      </c>
      <c r="BA458">
        <f t="shared" si="398"/>
        <v>3.0732441205637477</v>
      </c>
      <c r="BB458">
        <f t="shared" ref="BB458:BB521" si="410">20*LOG(BA458)</f>
        <v>9.7519411888752376</v>
      </c>
      <c r="BC458">
        <f t="shared" ref="BC458:BC521" si="411">AV458-AY458</f>
        <v>-1.1883038634793517</v>
      </c>
      <c r="BD458">
        <f t="shared" si="399"/>
        <v>-248.08479623425504</v>
      </c>
      <c r="BF458">
        <f t="shared" si="400"/>
        <v>-52.148242560513069</v>
      </c>
      <c r="BG458">
        <f t="shared" si="401"/>
        <v>-226.98791653051188</v>
      </c>
      <c r="BH458">
        <f t="shared" ref="BH458:BH521" si="412">IF(BG458&gt;180,BG458-180,BG458+180)</f>
        <v>-46.987916530511882</v>
      </c>
      <c r="BI458">
        <f t="shared" ref="BI458:BI521" si="413">IF(BH458&gt;180,BH458-360,BH458)</f>
        <v>-46.987916530511882</v>
      </c>
      <c r="BJ458">
        <f t="shared" si="402"/>
        <v>0</v>
      </c>
      <c r="BK458">
        <f t="shared" ref="BK458:BK521" si="414">IF(BJ458&gt;0,BI458,0)</f>
        <v>0</v>
      </c>
      <c r="BM458">
        <f t="shared" ref="BM458:BM521" si="415">20*LOG(J458*F458*C458)</f>
        <v>-61.900183749388304</v>
      </c>
      <c r="BN458">
        <f t="shared" si="403"/>
        <v>-158.90312029625687</v>
      </c>
      <c r="BQ458" s="66">
        <f t="shared" ref="BQ458:BQ521" si="416">20*LOG(BA458*7)</f>
        <v>26.653901989160374</v>
      </c>
    </row>
    <row r="459" spans="1:69" ht="13" x14ac:dyDescent="0.3">
      <c r="A459">
        <f t="shared" si="372"/>
        <v>1225000</v>
      </c>
      <c r="B459">
        <f t="shared" si="404"/>
        <v>1225</v>
      </c>
      <c r="C459">
        <f t="shared" si="373"/>
        <v>1.0714969671937369</v>
      </c>
      <c r="D459">
        <f t="shared" si="374"/>
        <v>0.36737393097471954</v>
      </c>
      <c r="F459">
        <f t="shared" si="375"/>
        <v>4.9611715454015263E-5</v>
      </c>
      <c r="G459">
        <f t="shared" si="376"/>
        <v>2.1959639573472189E-3</v>
      </c>
      <c r="H459">
        <f t="shared" si="377"/>
        <v>-3.139396686042653</v>
      </c>
      <c r="J459">
        <f t="shared" si="378"/>
        <v>15</v>
      </c>
      <c r="M459">
        <f t="shared" si="379"/>
        <v>8.966349390783588E-4</v>
      </c>
      <c r="N459">
        <f t="shared" si="380"/>
        <v>-1.5707963250000001</v>
      </c>
      <c r="O459">
        <f t="shared" si="381"/>
        <v>421.85298965362779</v>
      </c>
      <c r="P459">
        <f t="shared" si="382"/>
        <v>1.568425830529447</v>
      </c>
      <c r="Q459">
        <f t="shared" si="383"/>
        <v>162.03133938649287</v>
      </c>
      <c r="R459">
        <f t="shared" si="384"/>
        <v>1.564624642032574</v>
      </c>
      <c r="S459">
        <f t="shared" si="385"/>
        <v>0.93060745881714046</v>
      </c>
      <c r="T459">
        <f t="shared" si="386"/>
        <v>-0.37472733009103343</v>
      </c>
      <c r="U459">
        <f t="shared" si="387"/>
        <v>0.16141954282546842</v>
      </c>
      <c r="V459">
        <f t="shared" si="388"/>
        <v>-1.4086674362516409</v>
      </c>
      <c r="X459">
        <f t="shared" si="405"/>
        <v>-42.684701947518619</v>
      </c>
      <c r="Y459">
        <f t="shared" si="389"/>
        <v>-171.49562891062453</v>
      </c>
      <c r="Z459">
        <f t="shared" si="406"/>
        <v>8.5043710893754678</v>
      </c>
      <c r="AC459">
        <v>1</v>
      </c>
      <c r="AD459">
        <f t="shared" si="390"/>
        <v>421.85180440494008</v>
      </c>
      <c r="AE459">
        <f t="shared" si="391"/>
        <v>-0.32469519938641034</v>
      </c>
      <c r="AF459">
        <f t="shared" si="392"/>
        <v>5.3108623748250004E-2</v>
      </c>
      <c r="AG459">
        <f t="shared" si="367"/>
        <v>203.97028920152565</v>
      </c>
      <c r="AH459">
        <f t="shared" si="368"/>
        <v>-1265.8617184258781</v>
      </c>
      <c r="AJ459">
        <f t="shared" si="393"/>
        <v>21000</v>
      </c>
      <c r="AK459">
        <f t="shared" si="394"/>
        <v>8259.5455281517497</v>
      </c>
      <c r="AL459">
        <v>1</v>
      </c>
      <c r="AM459">
        <f t="shared" si="395"/>
        <v>162.02825353431678</v>
      </c>
      <c r="AN459">
        <f t="shared" si="369"/>
        <v>51.773890260227319</v>
      </c>
      <c r="AO459">
        <f t="shared" si="370"/>
        <v>-129.28748939025652</v>
      </c>
      <c r="AQ459">
        <f t="shared" si="396"/>
        <v>1.6659722339071664E-3</v>
      </c>
      <c r="AR459">
        <f t="shared" si="397"/>
        <v>-4.0816319730725574</v>
      </c>
      <c r="AT459">
        <f t="shared" si="365"/>
        <v>-5166.4418545772833</v>
      </c>
      <c r="AU459">
        <f t="shared" si="366"/>
        <v>-834.6405444366668</v>
      </c>
      <c r="AV459">
        <f t="shared" si="407"/>
        <v>-2.9814260960693475</v>
      </c>
      <c r="AW459">
        <f t="shared" si="408"/>
        <v>-373.9400158355495</v>
      </c>
      <c r="AX459">
        <f t="shared" si="409"/>
        <v>-1667.9594912371267</v>
      </c>
      <c r="AY459">
        <f t="shared" ref="AY459:AY522" si="417">ATAN2(AW459,AX459)</f>
        <v>-1.7913397671946547</v>
      </c>
      <c r="BA459">
        <f t="shared" si="398"/>
        <v>3.0616244385338049</v>
      </c>
      <c r="BB459">
        <f t="shared" si="410"/>
        <v>9.7190383172137391</v>
      </c>
      <c r="BC459">
        <f t="shared" si="411"/>
        <v>-1.1900863288746928</v>
      </c>
      <c r="BD459">
        <f t="shared" si="399"/>
        <v>-248.18692397865289</v>
      </c>
      <c r="BF459">
        <f t="shared" si="400"/>
        <v>-52.247632695829921</v>
      </c>
      <c r="BG459">
        <f t="shared" si="401"/>
        <v>-227.01212873975643</v>
      </c>
      <c r="BH459">
        <f t="shared" si="412"/>
        <v>-47.012128739756434</v>
      </c>
      <c r="BI459">
        <f t="shared" si="413"/>
        <v>-47.012128739756434</v>
      </c>
      <c r="BJ459">
        <f t="shared" si="402"/>
        <v>0</v>
      </c>
      <c r="BK459">
        <f t="shared" si="414"/>
        <v>0</v>
      </c>
      <c r="BM459">
        <f t="shared" si="415"/>
        <v>-61.966671013043651</v>
      </c>
      <c r="BN459">
        <f t="shared" si="403"/>
        <v>-158.82520476110358</v>
      </c>
      <c r="BQ459" s="66">
        <f t="shared" si="416"/>
        <v>26.620999117498876</v>
      </c>
    </row>
    <row r="460" spans="1:69" ht="13" x14ac:dyDescent="0.3">
      <c r="A460">
        <f t="shared" si="372"/>
        <v>1230000</v>
      </c>
      <c r="B460">
        <f t="shared" si="404"/>
        <v>1230</v>
      </c>
      <c r="C460">
        <f t="shared" si="373"/>
        <v>1.0720621458865345</v>
      </c>
      <c r="D460">
        <f t="shared" si="374"/>
        <v>0.36874137357115749</v>
      </c>
      <c r="F460">
        <f t="shared" si="375"/>
        <v>4.920916896183802E-5</v>
      </c>
      <c r="G460">
        <f t="shared" si="376"/>
        <v>2.1870364148517513E-3</v>
      </c>
      <c r="H460">
        <f t="shared" si="377"/>
        <v>-3.1394056135851485</v>
      </c>
      <c r="J460">
        <f t="shared" si="378"/>
        <v>15</v>
      </c>
      <c r="M460">
        <f t="shared" si="379"/>
        <v>8.9299008160243051E-4</v>
      </c>
      <c r="N460">
        <f t="shared" si="380"/>
        <v>-1.5707963250000001</v>
      </c>
      <c r="O460">
        <f t="shared" si="381"/>
        <v>423.57482893516914</v>
      </c>
      <c r="P460">
        <f t="shared" si="382"/>
        <v>1.5684354666572489</v>
      </c>
      <c r="Q460">
        <f t="shared" si="383"/>
        <v>162.69266665295993</v>
      </c>
      <c r="R460">
        <f t="shared" si="384"/>
        <v>1.5646497295488317</v>
      </c>
      <c r="S460">
        <f t="shared" si="385"/>
        <v>0.93009796858497629</v>
      </c>
      <c r="T460">
        <f t="shared" si="386"/>
        <v>-0.37611685436187042</v>
      </c>
      <c r="U460">
        <f t="shared" si="387"/>
        <v>0.16078036192945883</v>
      </c>
      <c r="V460">
        <f t="shared" si="388"/>
        <v>-1.4093150765754476</v>
      </c>
      <c r="X460">
        <f t="shared" si="405"/>
        <v>-42.754725877717746</v>
      </c>
      <c r="Y460">
        <f t="shared" si="389"/>
        <v>-171.53252314686341</v>
      </c>
      <c r="Z460">
        <f t="shared" si="406"/>
        <v>8.4674768531365885</v>
      </c>
      <c r="AC460">
        <v>1</v>
      </c>
      <c r="AD460">
        <f t="shared" si="390"/>
        <v>423.57364850455207</v>
      </c>
      <c r="AE460">
        <f t="shared" si="391"/>
        <v>-0.32735118177539374</v>
      </c>
      <c r="AF460">
        <f t="shared" si="392"/>
        <v>5.3325393641100005E-2</v>
      </c>
      <c r="AG460">
        <f t="shared" si="367"/>
        <v>202.35814502195231</v>
      </c>
      <c r="AH460">
        <f t="shared" si="368"/>
        <v>-1260.9785568087466</v>
      </c>
      <c r="AJ460">
        <f t="shared" si="393"/>
        <v>21000</v>
      </c>
      <c r="AK460">
        <f t="shared" si="394"/>
        <v>8293.2579588789013</v>
      </c>
      <c r="AL460">
        <v>1</v>
      </c>
      <c r="AM460">
        <f t="shared" si="395"/>
        <v>162.68959334466089</v>
      </c>
      <c r="AN460">
        <f t="shared" si="369"/>
        <v>51.767416440211136</v>
      </c>
      <c r="AO460">
        <f t="shared" si="370"/>
        <v>-128.76197028276155</v>
      </c>
      <c r="AQ460">
        <f t="shared" si="396"/>
        <v>1.6524552758848444E-3</v>
      </c>
      <c r="AR460">
        <f t="shared" si="397"/>
        <v>-4.0650399786767171</v>
      </c>
      <c r="AT460">
        <f t="shared" si="365"/>
        <v>-5125.5938578972646</v>
      </c>
      <c r="AU460">
        <f t="shared" si="366"/>
        <v>-824.67766019407338</v>
      </c>
      <c r="AV460">
        <f t="shared" si="407"/>
        <v>-2.9820657594653421</v>
      </c>
      <c r="AW460">
        <f t="shared" si="408"/>
        <v>-370.47180219375508</v>
      </c>
      <c r="AX460">
        <f t="shared" si="409"/>
        <v>-1661.2790082630904</v>
      </c>
      <c r="AY460">
        <f t="shared" si="417"/>
        <v>-1.7902101020339991</v>
      </c>
      <c r="BA460">
        <f t="shared" si="398"/>
        <v>3.0500881599249108</v>
      </c>
      <c r="BB460">
        <f t="shared" si="410"/>
        <v>9.6862478480214751</v>
      </c>
      <c r="BC460">
        <f t="shared" si="411"/>
        <v>-1.191855657431343</v>
      </c>
      <c r="BD460">
        <f t="shared" si="399"/>
        <v>-248.28829903763676</v>
      </c>
      <c r="BF460">
        <f t="shared" si="400"/>
        <v>-52.346607124995359</v>
      </c>
      <c r="BG460">
        <f t="shared" si="401"/>
        <v>-227.03566661965547</v>
      </c>
      <c r="BH460">
        <f t="shared" si="412"/>
        <v>-47.035666619655473</v>
      </c>
      <c r="BI460">
        <f t="shared" si="413"/>
        <v>-47.035666619655473</v>
      </c>
      <c r="BJ460">
        <f t="shared" si="402"/>
        <v>0</v>
      </c>
      <c r="BK460">
        <f t="shared" si="414"/>
        <v>0</v>
      </c>
      <c r="BM460">
        <f t="shared" si="415"/>
        <v>-62.032854973016825</v>
      </c>
      <c r="BN460">
        <f t="shared" si="403"/>
        <v>-158.74736758201874</v>
      </c>
      <c r="BQ460" s="66">
        <f t="shared" si="416"/>
        <v>26.588208648306612</v>
      </c>
    </row>
    <row r="461" spans="1:69" ht="13" x14ac:dyDescent="0.3">
      <c r="A461">
        <f t="shared" si="372"/>
        <v>1235000</v>
      </c>
      <c r="B461">
        <f t="shared" si="404"/>
        <v>1235</v>
      </c>
      <c r="C461">
        <f t="shared" si="373"/>
        <v>1.0726293271128176</v>
      </c>
      <c r="D461">
        <f t="shared" si="374"/>
        <v>0.37010737257649429</v>
      </c>
      <c r="F461">
        <f t="shared" si="375"/>
        <v>4.8811502099968865E-5</v>
      </c>
      <c r="G461">
        <f t="shared" si="376"/>
        <v>2.1781811705292756E-3</v>
      </c>
      <c r="H461">
        <f t="shared" si="377"/>
        <v>-3.1394144688294707</v>
      </c>
      <c r="J461">
        <f t="shared" si="378"/>
        <v>15</v>
      </c>
      <c r="M461">
        <f t="shared" si="379"/>
        <v>8.8937473714250162E-4</v>
      </c>
      <c r="N461">
        <f t="shared" si="380"/>
        <v>-1.5707963250000001</v>
      </c>
      <c r="O461">
        <f t="shared" si="381"/>
        <v>425.29666825572303</v>
      </c>
      <c r="P461">
        <f t="shared" si="382"/>
        <v>1.5684450247601573</v>
      </c>
      <c r="Q461">
        <f t="shared" si="383"/>
        <v>163.35399402099398</v>
      </c>
      <c r="R461">
        <f t="shared" si="384"/>
        <v>1.5646746139349497</v>
      </c>
      <c r="S461">
        <f t="shared" si="385"/>
        <v>0.92958724404126836</v>
      </c>
      <c r="T461">
        <f t="shared" si="386"/>
        <v>-0.37750485531147249</v>
      </c>
      <c r="U461">
        <f t="shared" si="387"/>
        <v>0.16014615668163792</v>
      </c>
      <c r="V461">
        <f t="shared" si="388"/>
        <v>-1.4099576078751919</v>
      </c>
      <c r="X461">
        <f t="shared" si="405"/>
        <v>-42.824473962136153</v>
      </c>
      <c r="Y461">
        <f t="shared" si="389"/>
        <v>-171.56913205600225</v>
      </c>
      <c r="Z461">
        <f t="shared" si="406"/>
        <v>8.4308679439977539</v>
      </c>
      <c r="AC461">
        <v>1</v>
      </c>
      <c r="AD461">
        <f t="shared" si="390"/>
        <v>425.29549260416405</v>
      </c>
      <c r="AE461">
        <f t="shared" si="391"/>
        <v>-0.33001798282991268</v>
      </c>
      <c r="AF461">
        <f t="shared" si="392"/>
        <v>5.3542163533949999E-2</v>
      </c>
      <c r="AG461">
        <f t="shared" si="367"/>
        <v>200.76487229532088</v>
      </c>
      <c r="AH461">
        <f t="shared" si="368"/>
        <v>-1256.1318732546385</v>
      </c>
      <c r="AJ461">
        <f t="shared" si="393"/>
        <v>21000</v>
      </c>
      <c r="AK461">
        <f t="shared" si="394"/>
        <v>8326.970389606051</v>
      </c>
      <c r="AL461">
        <v>1</v>
      </c>
      <c r="AM461">
        <f t="shared" si="395"/>
        <v>163.35093315500504</v>
      </c>
      <c r="AN461">
        <f t="shared" si="369"/>
        <v>51.761021086382101</v>
      </c>
      <c r="AO461">
        <f t="shared" si="370"/>
        <v>-128.24070591035843</v>
      </c>
      <c r="AQ461">
        <f t="shared" si="396"/>
        <v>1.6391021588450625E-3</v>
      </c>
      <c r="AR461">
        <f t="shared" si="397"/>
        <v>-4.048582332347304</v>
      </c>
      <c r="AT461">
        <f t="shared" si="365"/>
        <v>-5085.2242350214528</v>
      </c>
      <c r="AU461">
        <f t="shared" si="366"/>
        <v>-814.87204339604466</v>
      </c>
      <c r="AV461">
        <f t="shared" si="407"/>
        <v>-2.9827003784273525</v>
      </c>
      <c r="AW461">
        <f t="shared" si="408"/>
        <v>-367.0459501562425</v>
      </c>
      <c r="AX461">
        <f t="shared" si="409"/>
        <v>-1654.651465806799</v>
      </c>
      <c r="AY461">
        <f t="shared" si="417"/>
        <v>-1.7890883753916058</v>
      </c>
      <c r="BA461">
        <f t="shared" si="398"/>
        <v>3.0386344423191578</v>
      </c>
      <c r="BB461">
        <f t="shared" si="410"/>
        <v>9.6535691234621073</v>
      </c>
      <c r="BC461">
        <f t="shared" si="411"/>
        <v>-1.1936120030357467</v>
      </c>
      <c r="BD461">
        <f t="shared" si="399"/>
        <v>-248.38893022825044</v>
      </c>
      <c r="BF461">
        <f t="shared" si="400"/>
        <v>-52.445168903531012</v>
      </c>
      <c r="BG461">
        <f t="shared" si="401"/>
        <v>-227.05853920048168</v>
      </c>
      <c r="BH461">
        <f t="shared" si="412"/>
        <v>-47.058539200481675</v>
      </c>
      <c r="BI461">
        <f t="shared" si="413"/>
        <v>-47.058539200481675</v>
      </c>
      <c r="BJ461">
        <f t="shared" si="402"/>
        <v>0</v>
      </c>
      <c r="BK461">
        <f t="shared" si="414"/>
        <v>0</v>
      </c>
      <c r="BM461">
        <f t="shared" si="415"/>
        <v>-62.098738026993125</v>
      </c>
      <c r="BN461">
        <f t="shared" si="403"/>
        <v>-158.66960897223126</v>
      </c>
      <c r="BQ461" s="66">
        <f t="shared" si="416"/>
        <v>26.555529923747244</v>
      </c>
    </row>
    <row r="462" spans="1:69" ht="13" x14ac:dyDescent="0.3">
      <c r="A462">
        <f t="shared" si="372"/>
        <v>1240000</v>
      </c>
      <c r="B462">
        <f t="shared" si="404"/>
        <v>1240</v>
      </c>
      <c r="C462">
        <f t="shared" si="373"/>
        <v>1.0731985076975923</v>
      </c>
      <c r="D462">
        <f t="shared" si="374"/>
        <v>0.37147192518579486</v>
      </c>
      <c r="F462">
        <f t="shared" si="375"/>
        <v>4.8418636317472925E-5</v>
      </c>
      <c r="G462">
        <f t="shared" si="376"/>
        <v>2.1693973496387064E-3</v>
      </c>
      <c r="H462">
        <f t="shared" si="377"/>
        <v>-3.1394232526503614</v>
      </c>
      <c r="J462">
        <f t="shared" si="378"/>
        <v>15</v>
      </c>
      <c r="M462">
        <f t="shared" si="379"/>
        <v>8.8578854868628183E-4</v>
      </c>
      <c r="N462">
        <f t="shared" si="380"/>
        <v>-1.5707963250000001</v>
      </c>
      <c r="O462">
        <f t="shared" si="381"/>
        <v>427.01850761481757</v>
      </c>
      <c r="P462">
        <f t="shared" si="382"/>
        <v>1.5684545057820154</v>
      </c>
      <c r="Q462">
        <f t="shared" si="383"/>
        <v>164.01532148936641</v>
      </c>
      <c r="R462">
        <f t="shared" si="384"/>
        <v>1.5646992976480245</v>
      </c>
      <c r="S462">
        <f t="shared" si="385"/>
        <v>0.92907529311693304</v>
      </c>
      <c r="T462">
        <f t="shared" si="386"/>
        <v>-0.37889133010417625</v>
      </c>
      <c r="U462">
        <f t="shared" si="387"/>
        <v>0.15951686999516826</v>
      </c>
      <c r="V462">
        <f t="shared" si="388"/>
        <v>-1.4105950898441879</v>
      </c>
      <c r="X462">
        <f t="shared" si="405"/>
        <v>-42.893948345687761</v>
      </c>
      <c r="Y462">
        <f t="shared" si="389"/>
        <v>-171.60545891171483</v>
      </c>
      <c r="Z462">
        <f t="shared" si="406"/>
        <v>8.3945410882851661</v>
      </c>
      <c r="AC462">
        <v>1</v>
      </c>
      <c r="AD462">
        <f t="shared" si="390"/>
        <v>427.0173367037761</v>
      </c>
      <c r="AE462">
        <f t="shared" si="391"/>
        <v>-0.33269560254996722</v>
      </c>
      <c r="AF462">
        <f t="shared" si="392"/>
        <v>5.37589334268E-2</v>
      </c>
      <c r="AG462">
        <f t="shared" si="367"/>
        <v>199.19018023918503</v>
      </c>
      <c r="AH462">
        <f t="shared" si="368"/>
        <v>-1251.3212734830197</v>
      </c>
      <c r="AJ462">
        <f t="shared" si="393"/>
        <v>21000</v>
      </c>
      <c r="AK462">
        <f t="shared" si="394"/>
        <v>8360.6828203332007</v>
      </c>
      <c r="AL462">
        <v>1</v>
      </c>
      <c r="AM462">
        <f t="shared" si="395"/>
        <v>164.01227296534921</v>
      </c>
      <c r="AN462">
        <f t="shared" si="369"/>
        <v>51.754702935790171</v>
      </c>
      <c r="AO462">
        <f t="shared" si="370"/>
        <v>-127.72364481217777</v>
      </c>
      <c r="AQ462">
        <f t="shared" si="396"/>
        <v>1.6259102455270802E-3</v>
      </c>
      <c r="AR462">
        <f t="shared" si="397"/>
        <v>-4.0322574089071592</v>
      </c>
      <c r="AT462">
        <f t="shared" si="365"/>
        <v>-5045.3256105701885</v>
      </c>
      <c r="AU462">
        <f t="shared" si="366"/>
        <v>-805.22061613000824</v>
      </c>
      <c r="AV462">
        <f t="shared" si="407"/>
        <v>-2.9833300118673676</v>
      </c>
      <c r="AW462">
        <f t="shared" si="408"/>
        <v>-363.66177159263867</v>
      </c>
      <c r="AX462">
        <f t="shared" si="409"/>
        <v>-1648.0762409147171</v>
      </c>
      <c r="AY462">
        <f t="shared" si="417"/>
        <v>-1.7879744946589431</v>
      </c>
      <c r="BA462">
        <f t="shared" si="398"/>
        <v>3.0272624536313453</v>
      </c>
      <c r="BB462">
        <f t="shared" si="410"/>
        <v>9.6210014896485916</v>
      </c>
      <c r="BC462">
        <f t="shared" si="411"/>
        <v>-1.1953555172084245</v>
      </c>
      <c r="BD462">
        <f t="shared" si="399"/>
        <v>-248.48882623198025</v>
      </c>
      <c r="BF462">
        <f t="shared" si="400"/>
        <v>-52.543321054555889</v>
      </c>
      <c r="BG462">
        <f t="shared" si="401"/>
        <v>-227.0807553745513</v>
      </c>
      <c r="BH462">
        <f t="shared" si="412"/>
        <v>-47.080755374551302</v>
      </c>
      <c r="BI462">
        <f t="shared" si="413"/>
        <v>-47.080755374551302</v>
      </c>
      <c r="BJ462">
        <f t="shared" si="402"/>
        <v>0</v>
      </c>
      <c r="BK462">
        <f t="shared" si="414"/>
        <v>0</v>
      </c>
      <c r="BM462">
        <f t="shared" si="415"/>
        <v>-62.164322544204474</v>
      </c>
      <c r="BN462">
        <f t="shared" si="403"/>
        <v>-158.59192914257102</v>
      </c>
      <c r="BQ462" s="66">
        <f t="shared" si="416"/>
        <v>26.52296228993373</v>
      </c>
    </row>
    <row r="463" spans="1:69" ht="13" x14ac:dyDescent="0.3">
      <c r="A463">
        <f t="shared" si="372"/>
        <v>1245000</v>
      </c>
      <c r="B463">
        <f t="shared" si="404"/>
        <v>1245</v>
      </c>
      <c r="C463">
        <f t="shared" si="373"/>
        <v>1.0737696844614175</v>
      </c>
      <c r="D463">
        <f t="shared" si="374"/>
        <v>0.37283502862160661</v>
      </c>
      <c r="F463">
        <f t="shared" si="375"/>
        <v>4.803049463771568E-5</v>
      </c>
      <c r="G463">
        <f t="shared" si="376"/>
        <v>2.1606840914943455E-3</v>
      </c>
      <c r="H463">
        <f t="shared" si="377"/>
        <v>-3.1394319659085057</v>
      </c>
      <c r="J463">
        <f t="shared" si="378"/>
        <v>15</v>
      </c>
      <c r="M463">
        <f t="shared" si="379"/>
        <v>8.8223116495661806E-4</v>
      </c>
      <c r="N463">
        <f t="shared" si="380"/>
        <v>-1.5707963250000001</v>
      </c>
      <c r="O463">
        <f t="shared" si="381"/>
        <v>428.74034701198843</v>
      </c>
      <c r="P463">
        <f t="shared" si="382"/>
        <v>1.5684639106515035</v>
      </c>
      <c r="Q463">
        <f t="shared" si="383"/>
        <v>164.67664905686843</v>
      </c>
      <c r="R463">
        <f t="shared" si="384"/>
        <v>1.5647237831056844</v>
      </c>
      <c r="S463">
        <f t="shared" si="385"/>
        <v>0.92856212373694069</v>
      </c>
      <c r="T463">
        <f t="shared" si="386"/>
        <v>-0.38027627593402069</v>
      </c>
      <c r="U463">
        <f t="shared" si="387"/>
        <v>0.15889244564071128</v>
      </c>
      <c r="V463">
        <f t="shared" si="388"/>
        <v>-1.4112275812576411</v>
      </c>
      <c r="X463">
        <f t="shared" si="405"/>
        <v>-42.963151148635262</v>
      </c>
      <c r="Y463">
        <f t="shared" si="389"/>
        <v>-171.64150693752327</v>
      </c>
      <c r="Z463">
        <f t="shared" si="406"/>
        <v>8.3584930624767253</v>
      </c>
      <c r="AC463">
        <v>1</v>
      </c>
      <c r="AD463">
        <f t="shared" si="390"/>
        <v>428.73918080338808</v>
      </c>
      <c r="AE463">
        <f t="shared" si="391"/>
        <v>-0.33538404093555735</v>
      </c>
      <c r="AF463">
        <f t="shared" si="392"/>
        <v>5.3975703319650001E-2</v>
      </c>
      <c r="AG463">
        <f t="shared" si="367"/>
        <v>197.63378359908714</v>
      </c>
      <c r="AH463">
        <f t="shared" si="368"/>
        <v>-1246.5463686575195</v>
      </c>
      <c r="AJ463">
        <f t="shared" si="393"/>
        <v>21000</v>
      </c>
      <c r="AK463">
        <f t="shared" si="394"/>
        <v>8394.3952510603522</v>
      </c>
      <c r="AL463">
        <v>1</v>
      </c>
      <c r="AM463">
        <f t="shared" si="395"/>
        <v>164.67361277569336</v>
      </c>
      <c r="AN463">
        <f t="shared" si="369"/>
        <v>51.748460750792859</v>
      </c>
      <c r="AO463">
        <f t="shared" si="370"/>
        <v>-127.21073635387729</v>
      </c>
      <c r="AQ463">
        <f t="shared" si="396"/>
        <v>1.6128769515206284E-3</v>
      </c>
      <c r="AR463">
        <f t="shared" si="397"/>
        <v>-4.0160636092863644</v>
      </c>
      <c r="AT463">
        <f t="shared" si="365"/>
        <v>-5005.8907494791201</v>
      </c>
      <c r="AU463">
        <f t="shared" si="366"/>
        <v>-795.72037218487958</v>
      </c>
      <c r="AV463">
        <f t="shared" si="407"/>
        <v>-2.9839547177918195</v>
      </c>
      <c r="AW463">
        <f t="shared" si="408"/>
        <v>-360.31859230687149</v>
      </c>
      <c r="AX463">
        <f t="shared" si="409"/>
        <v>-1641.5527203155973</v>
      </c>
      <c r="AY463">
        <f t="shared" si="417"/>
        <v>-1.7868683686431792</v>
      </c>
      <c r="BA463">
        <f t="shared" si="398"/>
        <v>3.0159713719748451</v>
      </c>
      <c r="BB463">
        <f t="shared" si="410"/>
        <v>9.5885442966579113</v>
      </c>
      <c r="BC463">
        <f t="shared" si="411"/>
        <v>-1.1970863491486403</v>
      </c>
      <c r="BD463">
        <f t="shared" si="399"/>
        <v>-248.58799559731438</v>
      </c>
      <c r="BF463">
        <f t="shared" si="400"/>
        <v>-52.64106656922867</v>
      </c>
      <c r="BG463">
        <f t="shared" si="401"/>
        <v>-227.10232389880241</v>
      </c>
      <c r="BH463">
        <f t="shared" si="412"/>
        <v>-47.10232389880241</v>
      </c>
      <c r="BI463">
        <f t="shared" si="413"/>
        <v>-47.10232389880241</v>
      </c>
      <c r="BJ463">
        <f t="shared" si="402"/>
        <v>0</v>
      </c>
      <c r="BK463">
        <f t="shared" si="414"/>
        <v>0</v>
      </c>
      <c r="BM463">
        <f t="shared" si="415"/>
        <v>-62.229610865886585</v>
      </c>
      <c r="BN463">
        <f t="shared" si="403"/>
        <v>-158.51432830148804</v>
      </c>
      <c r="BQ463" s="66">
        <f t="shared" si="416"/>
        <v>26.490505096943046</v>
      </c>
    </row>
    <row r="464" spans="1:69" ht="13" x14ac:dyDescent="0.3">
      <c r="A464">
        <f t="shared" si="372"/>
        <v>1250000</v>
      </c>
      <c r="B464">
        <f t="shared" si="404"/>
        <v>1250</v>
      </c>
      <c r="C464">
        <f t="shared" si="373"/>
        <v>1.0743428542204738</v>
      </c>
      <c r="D464">
        <f t="shared" si="374"/>
        <v>0.37419668013391416</v>
      </c>
      <c r="F464">
        <f t="shared" si="375"/>
        <v>4.7647001620651529E-5</v>
      </c>
      <c r="G464">
        <f t="shared" si="376"/>
        <v>2.152040549184696E-3</v>
      </c>
      <c r="H464">
        <f t="shared" si="377"/>
        <v>-3.1394406094508156</v>
      </c>
      <c r="J464">
        <f t="shared" si="378"/>
        <v>15</v>
      </c>
      <c r="M464">
        <f t="shared" si="379"/>
        <v>8.7870224029679156E-4</v>
      </c>
      <c r="N464">
        <f t="shared" si="380"/>
        <v>-1.5707963250000001</v>
      </c>
      <c r="O464">
        <f t="shared" si="381"/>
        <v>430.46218644677862</v>
      </c>
      <c r="P464">
        <f t="shared" si="382"/>
        <v>1.5684732402824433</v>
      </c>
      <c r="Q464">
        <f t="shared" si="383"/>
        <v>165.33797672231046</v>
      </c>
      <c r="R464">
        <f t="shared" si="384"/>
        <v>1.5647480726868772</v>
      </c>
      <c r="S464">
        <f t="shared" si="385"/>
        <v>0.92804774382006361</v>
      </c>
      <c r="T464">
        <f t="shared" si="386"/>
        <v>-0.38165969002469113</v>
      </c>
      <c r="U464">
        <f t="shared" si="387"/>
        <v>0.15827282823063493</v>
      </c>
      <c r="V464">
        <f t="shared" si="388"/>
        <v>-1.4118551399900696</v>
      </c>
      <c r="X464">
        <f t="shared" si="405"/>
        <v>-43.032084466961379</v>
      </c>
      <c r="Y464">
        <f t="shared" si="389"/>
        <v>-171.67727930774905</v>
      </c>
      <c r="Z464">
        <f t="shared" si="406"/>
        <v>8.3227206922509538</v>
      </c>
      <c r="AC464">
        <v>1</v>
      </c>
      <c r="AD464">
        <f t="shared" si="390"/>
        <v>430.46102490300007</v>
      </c>
      <c r="AE464">
        <f t="shared" si="391"/>
        <v>-0.33808329798668302</v>
      </c>
      <c r="AF464">
        <f t="shared" si="392"/>
        <v>5.4192473212499995E-2</v>
      </c>
      <c r="AG464">
        <f t="shared" si="367"/>
        <v>196.09540252412867</v>
      </c>
      <c r="AH464">
        <f t="shared" si="368"/>
        <v>-1241.8067752969976</v>
      </c>
      <c r="AJ464">
        <f t="shared" si="393"/>
        <v>21000</v>
      </c>
      <c r="AK464">
        <f t="shared" si="394"/>
        <v>8428.1076817875</v>
      </c>
      <c r="AL464">
        <v>1</v>
      </c>
      <c r="AM464">
        <f t="shared" si="395"/>
        <v>165.3349525860375</v>
      </c>
      <c r="AN464">
        <f t="shared" si="369"/>
        <v>51.742293318449029</v>
      </c>
      <c r="AO464">
        <f t="shared" si="370"/>
        <v>-126.70193071111467</v>
      </c>
      <c r="AQ464">
        <f t="shared" si="396"/>
        <v>1.599999744000041E-3</v>
      </c>
      <c r="AR464">
        <f t="shared" si="397"/>
        <v>-3.9999993600001025</v>
      </c>
      <c r="AT464">
        <f t="shared" si="365"/>
        <v>-4966.9125538379431</v>
      </c>
      <c r="AU464">
        <f t="shared" si="366"/>
        <v>-786.36837511804993</v>
      </c>
      <c r="AV464">
        <f t="shared" si="407"/>
        <v>-2.9845745533187529</v>
      </c>
      <c r="AW464">
        <f t="shared" si="408"/>
        <v>-357.01575169957493</v>
      </c>
      <c r="AX464">
        <f t="shared" si="409"/>
        <v>-1635.0803002339712</v>
      </c>
      <c r="AY464">
        <f t="shared" si="417"/>
        <v>-1.7857699075406819</v>
      </c>
      <c r="BA464">
        <f t="shared" si="398"/>
        <v>3.0047603855288099</v>
      </c>
      <c r="BB464">
        <f t="shared" si="410"/>
        <v>9.556196898543746</v>
      </c>
      <c r="BC464">
        <f t="shared" si="411"/>
        <v>-1.198804645778071</v>
      </c>
      <c r="BD464">
        <f t="shared" si="399"/>
        <v>-248.68644674224481</v>
      </c>
      <c r="BF464">
        <f t="shared" si="400"/>
        <v>-52.738408407183115</v>
      </c>
      <c r="BG464">
        <f t="shared" si="401"/>
        <v>-227.12325339731584</v>
      </c>
      <c r="BH464">
        <f t="shared" si="412"/>
        <v>-47.123253397315835</v>
      </c>
      <c r="BI464">
        <f t="shared" si="413"/>
        <v>-47.123253397315835</v>
      </c>
      <c r="BJ464">
        <f t="shared" si="402"/>
        <v>0</v>
      </c>
      <c r="BK464">
        <f t="shared" si="414"/>
        <v>0</v>
      </c>
      <c r="BM464">
        <f t="shared" si="415"/>
        <v>-62.294605305726861</v>
      </c>
      <c r="BN464">
        <f t="shared" si="403"/>
        <v>-158.43680665507105</v>
      </c>
      <c r="BQ464" s="66">
        <f t="shared" si="416"/>
        <v>26.458157698828884</v>
      </c>
    </row>
    <row r="465" spans="1:69" ht="13" x14ac:dyDescent="0.3">
      <c r="A465">
        <f t="shared" si="372"/>
        <v>1255000</v>
      </c>
      <c r="B465">
        <f t="shared" si="404"/>
        <v>1255</v>
      </c>
      <c r="C465">
        <f t="shared" si="373"/>
        <v>1.0749180137866354</v>
      </c>
      <c r="D465">
        <f t="shared" si="374"/>
        <v>0.37555687700009327</v>
      </c>
      <c r="F465">
        <f t="shared" si="375"/>
        <v>4.7268083326161891E-5</v>
      </c>
      <c r="G465">
        <f t="shared" si="376"/>
        <v>2.1434658892979948E-3</v>
      </c>
      <c r="H465">
        <f t="shared" si="377"/>
        <v>-3.1394491841107022</v>
      </c>
      <c r="J465">
        <f t="shared" si="378"/>
        <v>15</v>
      </c>
      <c r="M465">
        <f t="shared" si="379"/>
        <v>8.7520143455855736E-4</v>
      </c>
      <c r="N465">
        <f t="shared" si="380"/>
        <v>-1.5707963250000001</v>
      </c>
      <c r="O465">
        <f t="shared" si="381"/>
        <v>432.1840259187386</v>
      </c>
      <c r="P465">
        <f t="shared" si="382"/>
        <v>1.5684824955740937</v>
      </c>
      <c r="Q465">
        <f t="shared" si="383"/>
        <v>165.99930448452199</v>
      </c>
      <c r="R465">
        <f t="shared" si="384"/>
        <v>1.5647721687326426</v>
      </c>
      <c r="S465">
        <f t="shared" si="385"/>
        <v>0.92753216127862559</v>
      </c>
      <c r="T465">
        <f t="shared" si="386"/>
        <v>-0.38304156962946267</v>
      </c>
      <c r="U465">
        <f t="shared" si="387"/>
        <v>0.15765796320356321</v>
      </c>
      <c r="V465">
        <f t="shared" si="388"/>
        <v>-1.4124778230323363</v>
      </c>
      <c r="X465">
        <f t="shared" si="405"/>
        <v>-43.100750372733216</v>
      </c>
      <c r="Y465">
        <f t="shared" si="389"/>
        <v>-171.71277914844271</v>
      </c>
      <c r="Z465">
        <f t="shared" si="406"/>
        <v>8.2872208515572936</v>
      </c>
      <c r="AC465">
        <v>1</v>
      </c>
      <c r="AD465">
        <f t="shared" si="390"/>
        <v>432.18286900261205</v>
      </c>
      <c r="AE465">
        <f t="shared" si="391"/>
        <v>-0.34079337370334423</v>
      </c>
      <c r="AF465">
        <f t="shared" si="392"/>
        <v>5.4409243105350009E-2</v>
      </c>
      <c r="AG465">
        <f t="shared" si="367"/>
        <v>194.57476244576281</v>
      </c>
      <c r="AH465">
        <f t="shared" si="368"/>
        <v>-1237.1021151882146</v>
      </c>
      <c r="AJ465">
        <f t="shared" si="393"/>
        <v>21000</v>
      </c>
      <c r="AK465">
        <f t="shared" si="394"/>
        <v>8461.8201125146516</v>
      </c>
      <c r="AL465">
        <v>1</v>
      </c>
      <c r="AM465">
        <f t="shared" si="395"/>
        <v>165.99629239638165</v>
      </c>
      <c r="AN465">
        <f t="shared" si="369"/>
        <v>51.736199449929806</v>
      </c>
      <c r="AO465">
        <f t="shared" si="370"/>
        <v>-126.19717885341575</v>
      </c>
      <c r="AQ465">
        <f t="shared" si="396"/>
        <v>1.5872761404936207E-3</v>
      </c>
      <c r="AR465">
        <f t="shared" si="397"/>
        <v>-3.9840631126389878</v>
      </c>
      <c r="AT465">
        <f t="shared" si="365"/>
        <v>-4928.3840598110619</v>
      </c>
      <c r="AU465">
        <f t="shared" si="366"/>
        <v>-777.16175638144989</v>
      </c>
      <c r="AV465">
        <f t="shared" si="407"/>
        <v>-2.9851895746946129</v>
      </c>
      <c r="AW465">
        <f t="shared" si="408"/>
        <v>-353.75260244000555</v>
      </c>
      <c r="AX465">
        <f t="shared" si="409"/>
        <v>-1628.6583862079119</v>
      </c>
      <c r="AY465">
        <f t="shared" si="417"/>
        <v>-1.7846790229110987</v>
      </c>
      <c r="BA465">
        <f t="shared" si="398"/>
        <v>2.9936286924067037</v>
      </c>
      <c r="BB465">
        <f t="shared" si="410"/>
        <v>9.5239586533470995</v>
      </c>
      <c r="BC465">
        <f t="shared" si="411"/>
        <v>-1.2005105517835142</v>
      </c>
      <c r="BD465">
        <f t="shared" si="399"/>
        <v>-248.78418795671442</v>
      </c>
      <c r="BF465">
        <f t="shared" si="400"/>
        <v>-52.835349496956319</v>
      </c>
      <c r="BG465">
        <f t="shared" si="401"/>
        <v>-227.1435523637802</v>
      </c>
      <c r="BH465">
        <f t="shared" si="412"/>
        <v>-47.143552363780202</v>
      </c>
      <c r="BI465">
        <f t="shared" si="413"/>
        <v>-47.143552363780202</v>
      </c>
      <c r="BJ465">
        <f t="shared" si="402"/>
        <v>0</v>
      </c>
      <c r="BK465">
        <f t="shared" si="414"/>
        <v>0</v>
      </c>
      <c r="BM465">
        <f t="shared" si="415"/>
        <v>-62.35930815030342</v>
      </c>
      <c r="BN465">
        <f t="shared" si="403"/>
        <v>-158.35936440706581</v>
      </c>
      <c r="BQ465" s="66">
        <f t="shared" si="416"/>
        <v>26.425919453632236</v>
      </c>
    </row>
    <row r="466" spans="1:69" ht="13" x14ac:dyDescent="0.3">
      <c r="A466">
        <f t="shared" si="372"/>
        <v>1260000</v>
      </c>
      <c r="B466">
        <f t="shared" si="404"/>
        <v>1260</v>
      </c>
      <c r="C466">
        <f t="shared" si="373"/>
        <v>1.0754951599675409</v>
      </c>
      <c r="D466">
        <f t="shared" si="374"/>
        <v>0.37691561652486399</v>
      </c>
      <c r="F466">
        <f t="shared" si="375"/>
        <v>4.6893667278410132E-5</v>
      </c>
      <c r="G466">
        <f t="shared" si="376"/>
        <v>2.1349592916542945E-3</v>
      </c>
      <c r="H466">
        <f t="shared" si="377"/>
        <v>-3.1394576907083458</v>
      </c>
      <c r="J466">
        <f t="shared" si="378"/>
        <v>15</v>
      </c>
      <c r="M466">
        <f t="shared" si="379"/>
        <v>8.7172841299284879E-4</v>
      </c>
      <c r="N466">
        <f t="shared" si="380"/>
        <v>-1.5707963250000001</v>
      </c>
      <c r="O466">
        <f t="shared" si="381"/>
        <v>433.90586542742579</v>
      </c>
      <c r="P466">
        <f t="shared" si="382"/>
        <v>1.5684916774114404</v>
      </c>
      <c r="Q466">
        <f t="shared" si="383"/>
        <v>166.66063234235102</v>
      </c>
      <c r="R466">
        <f t="shared" si="384"/>
        <v>1.564796073546862</v>
      </c>
      <c r="S466">
        <f t="shared" si="385"/>
        <v>0.92701538401825367</v>
      </c>
      <c r="T466">
        <f t="shared" si="386"/>
        <v>-0.38442191203114207</v>
      </c>
      <c r="U466">
        <f t="shared" si="387"/>
        <v>0.15704779680925862</v>
      </c>
      <c r="V466">
        <f t="shared" si="388"/>
        <v>-1.4130956865082989</v>
      </c>
      <c r="X466">
        <f t="shared" si="405"/>
        <v>-43.169150914459998</v>
      </c>
      <c r="Y466">
        <f t="shared" si="389"/>
        <v>-171.74800953829313</v>
      </c>
      <c r="Z466">
        <f t="shared" si="406"/>
        <v>8.2519904617068676</v>
      </c>
      <c r="AC466">
        <v>1</v>
      </c>
      <c r="AD466">
        <f t="shared" si="390"/>
        <v>433.90471310222404</v>
      </c>
      <c r="AE466">
        <f t="shared" si="391"/>
        <v>-0.34351426808554103</v>
      </c>
      <c r="AF466">
        <f t="shared" si="392"/>
        <v>5.4626012998200003E-2</v>
      </c>
      <c r="AG466">
        <f t="shared" si="367"/>
        <v>193.07159395971522</v>
      </c>
      <c r="AH466">
        <f t="shared" si="368"/>
        <v>-1232.4320153000863</v>
      </c>
      <c r="AJ466">
        <f t="shared" si="393"/>
        <v>21000</v>
      </c>
      <c r="AK466">
        <f t="shared" si="394"/>
        <v>8495.5325432418012</v>
      </c>
      <c r="AL466">
        <v>1</v>
      </c>
      <c r="AM466">
        <f t="shared" si="395"/>
        <v>166.65763220672582</v>
      </c>
      <c r="AN466">
        <f t="shared" si="369"/>
        <v>51.730177979945523</v>
      </c>
      <c r="AO466">
        <f t="shared" si="370"/>
        <v>-125.69643252842664</v>
      </c>
      <c r="AQ466">
        <f t="shared" si="396"/>
        <v>1.5747037076871209E-3</v>
      </c>
      <c r="AR466">
        <f t="shared" si="397"/>
        <v>-3.9682533433715448</v>
      </c>
      <c r="AT466">
        <f t="shared" si="365"/>
        <v>-4890.2984346378407</v>
      </c>
      <c r="AU466">
        <f t="shared" si="366"/>
        <v>-768.09771350467861</v>
      </c>
      <c r="AV466">
        <f t="shared" si="407"/>
        <v>-2.9857998373106556</v>
      </c>
      <c r="AW466">
        <f t="shared" si="408"/>
        <v>-350.52851014716788</v>
      </c>
      <c r="AX466">
        <f t="shared" si="409"/>
        <v>-1622.2863929109619</v>
      </c>
      <c r="AY466">
        <f t="shared" si="417"/>
        <v>-1.7835956276520046</v>
      </c>
      <c r="BA466">
        <f t="shared" si="398"/>
        <v>2.9825755005262029</v>
      </c>
      <c r="BB466">
        <f t="shared" si="410"/>
        <v>9.4918289231050466</v>
      </c>
      <c r="BC466">
        <f t="shared" si="411"/>
        <v>-1.2022042096586509</v>
      </c>
      <c r="BD466">
        <f t="shared" si="399"/>
        <v>-248.88122740500972</v>
      </c>
      <c r="BF466">
        <f t="shared" si="400"/>
        <v>-52.931892736410219</v>
      </c>
      <c r="BG466">
        <f t="shared" si="401"/>
        <v>-227.16322916390317</v>
      </c>
      <c r="BH466">
        <f t="shared" si="412"/>
        <v>-47.163229163903168</v>
      </c>
      <c r="BI466">
        <f t="shared" si="413"/>
        <v>-47.163229163903168</v>
      </c>
      <c r="BJ466">
        <f t="shared" si="402"/>
        <v>0</v>
      </c>
      <c r="BK466">
        <f t="shared" si="414"/>
        <v>0</v>
      </c>
      <c r="BM466">
        <f t="shared" si="415"/>
        <v>-62.423721659515266</v>
      </c>
      <c r="BN466">
        <f t="shared" si="403"/>
        <v>-158.28200175889344</v>
      </c>
      <c r="BQ466" s="66">
        <f t="shared" si="416"/>
        <v>26.393789723390185</v>
      </c>
    </row>
    <row r="467" spans="1:69" ht="13" x14ac:dyDescent="0.3">
      <c r="A467">
        <f t="shared" si="372"/>
        <v>1265000</v>
      </c>
      <c r="B467">
        <f t="shared" si="404"/>
        <v>1265</v>
      </c>
      <c r="C467">
        <f t="shared" si="373"/>
        <v>1.076074289566662</v>
      </c>
      <c r="D467">
        <f t="shared" si="374"/>
        <v>0.37827289604024283</v>
      </c>
      <c r="F467">
        <f t="shared" si="375"/>
        <v>4.6523682431180476E-5</v>
      </c>
      <c r="G467">
        <f t="shared" si="376"/>
        <v>2.1265199490438855E-3</v>
      </c>
      <c r="H467">
        <f t="shared" si="377"/>
        <v>-3.1394661300509563</v>
      </c>
      <c r="J467">
        <f t="shared" si="378"/>
        <v>15</v>
      </c>
      <c r="M467">
        <f t="shared" si="379"/>
        <v>8.6828284614307461E-4</v>
      </c>
      <c r="N467">
        <f t="shared" si="380"/>
        <v>-1.5707963250000001</v>
      </c>
      <c r="O467">
        <f t="shared" si="381"/>
        <v>435.62770497240473</v>
      </c>
      <c r="P467">
        <f t="shared" si="382"/>
        <v>1.5685007866654765</v>
      </c>
      <c r="Q467">
        <f t="shared" si="383"/>
        <v>167.3219602946638</v>
      </c>
      <c r="R467">
        <f t="shared" si="384"/>
        <v>1.5648197893969944</v>
      </c>
      <c r="S467">
        <f t="shared" si="385"/>
        <v>0.92649741993763191</v>
      </c>
      <c r="T467">
        <f t="shared" si="386"/>
        <v>-0.38580071454200904</v>
      </c>
      <c r="U467">
        <f t="shared" si="387"/>
        <v>0.1564422760938306</v>
      </c>
      <c r="V467">
        <f t="shared" si="388"/>
        <v>-1.4137087856910886</v>
      </c>
      <c r="X467">
        <f t="shared" si="405"/>
        <v>-43.237288117444152</v>
      </c>
      <c r="Y467">
        <f t="shared" si="389"/>
        <v>-171.7829735095163</v>
      </c>
      <c r="Z467">
        <f t="shared" si="406"/>
        <v>8.217026490483704</v>
      </c>
      <c r="AC467">
        <v>1</v>
      </c>
      <c r="AD467">
        <f t="shared" si="390"/>
        <v>435.62655720183602</v>
      </c>
      <c r="AE467">
        <f t="shared" si="391"/>
        <v>-0.34624598113327348</v>
      </c>
      <c r="AF467">
        <f t="shared" si="392"/>
        <v>5.4842782891050004E-2</v>
      </c>
      <c r="AG467">
        <f t="shared" si="367"/>
        <v>191.58563271094332</v>
      </c>
      <c r="AH467">
        <f t="shared" si="368"/>
        <v>-1227.7961076994932</v>
      </c>
      <c r="AJ467">
        <f t="shared" si="393"/>
        <v>21000</v>
      </c>
      <c r="AK467">
        <f t="shared" si="394"/>
        <v>8529.2449739689509</v>
      </c>
      <c r="AL467">
        <v>1</v>
      </c>
      <c r="AM467">
        <f t="shared" si="395"/>
        <v>167.31897201706994</v>
      </c>
      <c r="AN467">
        <f t="shared" si="369"/>
        <v>51.724227766188768</v>
      </c>
      <c r="AO467">
        <f t="shared" si="370"/>
        <v>-125.19964424653924</v>
      </c>
      <c r="AQ467">
        <f t="shared" si="396"/>
        <v>1.5622800602602665E-3</v>
      </c>
      <c r="AR467">
        <f t="shared" si="397"/>
        <v>-3.9525685524584744</v>
      </c>
      <c r="AT467">
        <f t="shared" si="365"/>
        <v>-4852.6489737101183</v>
      </c>
      <c r="AU467">
        <f t="shared" si="366"/>
        <v>-759.17350833325827</v>
      </c>
      <c r="AV467">
        <f t="shared" si="407"/>
        <v>-2.9864053957189922</v>
      </c>
      <c r="AW467">
        <f t="shared" si="408"/>
        <v>-347.34285307985056</v>
      </c>
      <c r="AX467">
        <f t="shared" si="409"/>
        <v>-1615.9637439781254</v>
      </c>
      <c r="AY467">
        <f t="shared" si="417"/>
        <v>-1.7825196359741009</v>
      </c>
      <c r="BA467">
        <f t="shared" si="398"/>
        <v>2.9716000274804606</v>
      </c>
      <c r="BB467">
        <f t="shared" si="410"/>
        <v>9.4598070738576503</v>
      </c>
      <c r="BC467">
        <f t="shared" si="411"/>
        <v>-1.2038857597448913</v>
      </c>
      <c r="BD467">
        <f t="shared" si="399"/>
        <v>-248.97757312810126</v>
      </c>
      <c r="BF467">
        <f t="shared" si="400"/>
        <v>-53.028040993146412</v>
      </c>
      <c r="BG467">
        <f t="shared" si="401"/>
        <v>-227.18229203776906</v>
      </c>
      <c r="BH467">
        <f t="shared" si="412"/>
        <v>-47.182292037769059</v>
      </c>
      <c r="BI467">
        <f t="shared" si="413"/>
        <v>-47.182292037769059</v>
      </c>
      <c r="BJ467">
        <f t="shared" si="402"/>
        <v>0</v>
      </c>
      <c r="BK467">
        <f t="shared" si="414"/>
        <v>0</v>
      </c>
      <c r="BM467">
        <f t="shared" si="415"/>
        <v>-62.487848067004059</v>
      </c>
      <c r="BN467">
        <f t="shared" si="403"/>
        <v>-158.2047189096678</v>
      </c>
      <c r="BQ467" s="66">
        <f t="shared" si="416"/>
        <v>26.361767874142789</v>
      </c>
    </row>
    <row r="468" spans="1:69" ht="13" x14ac:dyDescent="0.3">
      <c r="A468">
        <f t="shared" si="372"/>
        <v>1270000</v>
      </c>
      <c r="B468">
        <f t="shared" si="404"/>
        <v>1270</v>
      </c>
      <c r="C468">
        <f t="shared" si="373"/>
        <v>1.0766553993833752</v>
      </c>
      <c r="D468">
        <f t="shared" si="374"/>
        <v>0.37962871290549394</v>
      </c>
      <c r="F468">
        <f t="shared" si="375"/>
        <v>4.6158059134170746E-5</v>
      </c>
      <c r="G468">
        <f t="shared" si="376"/>
        <v>2.1181470669719097E-3</v>
      </c>
      <c r="H468">
        <f t="shared" si="377"/>
        <v>-3.1394745029330284</v>
      </c>
      <c r="J468">
        <f t="shared" si="378"/>
        <v>15</v>
      </c>
      <c r="M468">
        <f t="shared" si="379"/>
        <v>8.6486440974093651E-4</v>
      </c>
      <c r="N468">
        <f t="shared" si="380"/>
        <v>-1.5707963250000001</v>
      </c>
      <c r="O468">
        <f t="shared" si="381"/>
        <v>437.3495445532468</v>
      </c>
      <c r="P468">
        <f t="shared" si="382"/>
        <v>1.5685098241934796</v>
      </c>
      <c r="Q468">
        <f t="shared" si="383"/>
        <v>167.98328834034439</v>
      </c>
      <c r="R468">
        <f t="shared" si="384"/>
        <v>1.5648433185147934</v>
      </c>
      <c r="S468">
        <f t="shared" si="385"/>
        <v>0.92597827692825607</v>
      </c>
      <c r="T468">
        <f t="shared" si="386"/>
        <v>-0.38717797450375646</v>
      </c>
      <c r="U468">
        <f t="shared" si="387"/>
        <v>0.15584134888526027</v>
      </c>
      <c r="V468">
        <f t="shared" si="388"/>
        <v>-1.4143171750190255</v>
      </c>
      <c r="X468">
        <f t="shared" si="405"/>
        <v>-43.305163984125969</v>
      </c>
      <c r="Y468">
        <f t="shared" si="389"/>
        <v>-171.81767404872423</v>
      </c>
      <c r="Z468">
        <f t="shared" si="406"/>
        <v>8.1823259512757716</v>
      </c>
      <c r="AC468">
        <v>1</v>
      </c>
      <c r="AD468">
        <f t="shared" si="390"/>
        <v>437.34840130144806</v>
      </c>
      <c r="AE468">
        <f t="shared" si="391"/>
        <v>-0.34898851284654142</v>
      </c>
      <c r="AF468">
        <f t="shared" si="392"/>
        <v>5.5059552783900005E-2</v>
      </c>
      <c r="AG468">
        <f t="shared" si="367"/>
        <v>190.11661928154456</v>
      </c>
      <c r="AH468">
        <f t="shared" si="368"/>
        <v>-1223.1940294686115</v>
      </c>
      <c r="AJ468">
        <f t="shared" si="393"/>
        <v>21000</v>
      </c>
      <c r="AK468">
        <f t="shared" si="394"/>
        <v>8562.9574046961006</v>
      </c>
      <c r="AL468">
        <v>1</v>
      </c>
      <c r="AM468">
        <f t="shared" si="395"/>
        <v>167.98031182741411</v>
      </c>
      <c r="AN468">
        <f t="shared" si="369"/>
        <v>51.71834768879247</v>
      </c>
      <c r="AO468">
        <f t="shared" si="370"/>
        <v>-124.70676726587956</v>
      </c>
      <c r="AQ468">
        <f t="shared" si="396"/>
        <v>1.5500028597552763E-3</v>
      </c>
      <c r="AR468">
        <f t="shared" si="397"/>
        <v>-3.9370072637784017</v>
      </c>
      <c r="AT468">
        <f t="shared" si="365"/>
        <v>-4815.4290977247229</v>
      </c>
      <c r="AU468">
        <f t="shared" si="366"/>
        <v>-750.38646532014582</v>
      </c>
      <c r="AV468">
        <f t="shared" si="407"/>
        <v>-2.9870063036482786</v>
      </c>
      <c r="AW468">
        <f t="shared" si="408"/>
        <v>-344.19502183529056</v>
      </c>
      <c r="AX468">
        <f t="shared" si="409"/>
        <v>-1609.6898718357982</v>
      </c>
      <c r="AY468">
        <f t="shared" si="417"/>
        <v>-1.7814509633769531</v>
      </c>
      <c r="BA468">
        <f t="shared" si="398"/>
        <v>2.9607015004107593</v>
      </c>
      <c r="BB468">
        <f t="shared" si="410"/>
        <v>9.427892475653179</v>
      </c>
      <c r="BC468">
        <f t="shared" si="411"/>
        <v>-1.2055553402713255</v>
      </c>
      <c r="BD468">
        <f t="shared" si="399"/>
        <v>-249.07323304593245</v>
      </c>
      <c r="BF468">
        <f t="shared" si="400"/>
        <v>-53.123797104914203</v>
      </c>
      <c r="BG468">
        <f t="shared" si="401"/>
        <v>-227.20074910214558</v>
      </c>
      <c r="BH468">
        <f t="shared" si="412"/>
        <v>-47.200749102145579</v>
      </c>
      <c r="BI468">
        <f t="shared" si="413"/>
        <v>-47.200749102145579</v>
      </c>
      <c r="BJ468">
        <f t="shared" si="402"/>
        <v>0</v>
      </c>
      <c r="BK468">
        <f t="shared" si="414"/>
        <v>0</v>
      </c>
      <c r="BM468">
        <f t="shared" si="415"/>
        <v>-62.551689580567384</v>
      </c>
      <c r="BN468">
        <f t="shared" si="403"/>
        <v>-158.12751605621312</v>
      </c>
      <c r="BQ468" s="66">
        <f t="shared" si="416"/>
        <v>26.329853275938312</v>
      </c>
    </row>
    <row r="469" spans="1:69" ht="13" x14ac:dyDescent="0.3">
      <c r="A469">
        <f t="shared" si="372"/>
        <v>1275000</v>
      </c>
      <c r="B469">
        <f t="shared" si="404"/>
        <v>1275</v>
      </c>
      <c r="C469">
        <f t="shared" si="373"/>
        <v>1.0772384862130315</v>
      </c>
      <c r="D469">
        <f t="shared" si="374"/>
        <v>0.38098306450707925</v>
      </c>
      <c r="F469">
        <f t="shared" si="375"/>
        <v>4.5796729100208389E-5</v>
      </c>
      <c r="G469">
        <f t="shared" si="376"/>
        <v>2.1098398634089824E-3</v>
      </c>
      <c r="H469">
        <f t="shared" si="377"/>
        <v>-3.1394828101365913</v>
      </c>
      <c r="J469">
        <f t="shared" si="378"/>
        <v>15</v>
      </c>
      <c r="M469">
        <f t="shared" si="379"/>
        <v>8.6147278460469757E-4</v>
      </c>
      <c r="N469">
        <f t="shared" si="380"/>
        <v>-1.5707963250000001</v>
      </c>
      <c r="O469">
        <f t="shared" si="381"/>
        <v>439.07138416953012</v>
      </c>
      <c r="P469">
        <f t="shared" si="382"/>
        <v>1.568518790839279</v>
      </c>
      <c r="Q469">
        <f t="shared" si="383"/>
        <v>168.64461647829444</v>
      </c>
      <c r="R469">
        <f t="shared" si="384"/>
        <v>1.5648666630970063</v>
      </c>
      <c r="S469">
        <f t="shared" si="385"/>
        <v>0.92545796287419169</v>
      </c>
      <c r="T469">
        <f t="shared" si="386"/>
        <v>-0.38855368928742973</v>
      </c>
      <c r="U469">
        <f t="shared" si="387"/>
        <v>0.15524496377923505</v>
      </c>
      <c r="V469">
        <f t="shared" si="388"/>
        <v>-1.4149209081111838</v>
      </c>
      <c r="X469">
        <f t="shared" si="405"/>
        <v>-43.372780494422038</v>
      </c>
      <c r="Y469">
        <f t="shared" si="389"/>
        <v>-171.85211409777497</v>
      </c>
      <c r="Z469">
        <f t="shared" si="406"/>
        <v>8.1478859022250276</v>
      </c>
      <c r="AC469">
        <v>1</v>
      </c>
      <c r="AD469">
        <f t="shared" si="390"/>
        <v>439.07024540106005</v>
      </c>
      <c r="AE469">
        <f t="shared" si="391"/>
        <v>-0.35174186322534495</v>
      </c>
      <c r="AF469">
        <f t="shared" si="392"/>
        <v>5.5276322676749999E-2</v>
      </c>
      <c r="AG469">
        <f t="shared" si="367"/>
        <v>188.66429908152833</v>
      </c>
      <c r="AH469">
        <f t="shared" si="368"/>
        <v>-1218.6254226237365</v>
      </c>
      <c r="AJ469">
        <f t="shared" si="393"/>
        <v>21000</v>
      </c>
      <c r="AK469">
        <f t="shared" si="394"/>
        <v>8596.6698354232503</v>
      </c>
      <c r="AL469">
        <v>1</v>
      </c>
      <c r="AM469">
        <f t="shared" si="395"/>
        <v>168.64165163775826</v>
      </c>
      <c r="AN469">
        <f t="shared" si="369"/>
        <v>51.712536649803091</v>
      </c>
      <c r="AO469">
        <f t="shared" si="370"/>
        <v>-124.21775557764965</v>
      </c>
      <c r="AQ469">
        <f t="shared" si="396"/>
        <v>1.537869813476384E-3</v>
      </c>
      <c r="AR469">
        <f t="shared" si="397"/>
        <v>-3.9215680243647792</v>
      </c>
      <c r="AT469">
        <f t="shared" si="365"/>
        <v>-4778.6323499088221</v>
      </c>
      <c r="AU469">
        <f t="shared" si="366"/>
        <v>-741.73396986870273</v>
      </c>
      <c r="AV469">
        <f t="shared" si="407"/>
        <v>-2.9876026140190555</v>
      </c>
      <c r="AW469">
        <f t="shared" si="408"/>
        <v>-341.08441905619537</v>
      </c>
      <c r="AX469">
        <f t="shared" si="409"/>
        <v>-1603.4642175355459</v>
      </c>
      <c r="AY469">
        <f t="shared" si="417"/>
        <v>-1.7803895266252541</v>
      </c>
      <c r="BA469">
        <f t="shared" si="398"/>
        <v>2.9498791558805459</v>
      </c>
      <c r="BB469">
        <f t="shared" si="410"/>
        <v>9.3960845025516235</v>
      </c>
      <c r="BC469">
        <f t="shared" si="411"/>
        <v>-1.2072130873938014</v>
      </c>
      <c r="BD469">
        <f t="shared" si="399"/>
        <v>-249.16821495965883</v>
      </c>
      <c r="BF469">
        <f t="shared" si="400"/>
        <v>-53.219163880012388</v>
      </c>
      <c r="BG469">
        <f t="shared" si="401"/>
        <v>-227.21860835273992</v>
      </c>
      <c r="BH469">
        <f t="shared" si="412"/>
        <v>-47.218608352739921</v>
      </c>
      <c r="BI469">
        <f t="shared" si="413"/>
        <v>-47.218608352739921</v>
      </c>
      <c r="BJ469">
        <f t="shared" si="402"/>
        <v>0</v>
      </c>
      <c r="BK469">
        <f t="shared" si="414"/>
        <v>0</v>
      </c>
      <c r="BM469">
        <f t="shared" si="415"/>
        <v>-62.615248382564005</v>
      </c>
      <c r="BN469">
        <f t="shared" si="403"/>
        <v>-158.05039339308109</v>
      </c>
      <c r="BQ469" s="66">
        <f t="shared" si="416"/>
        <v>26.298045302836762</v>
      </c>
    </row>
    <row r="470" spans="1:69" ht="13" x14ac:dyDescent="0.3">
      <c r="A470">
        <f t="shared" si="372"/>
        <v>1280000</v>
      </c>
      <c r="B470">
        <f t="shared" si="404"/>
        <v>1280</v>
      </c>
      <c r="C470">
        <f t="shared" si="373"/>
        <v>1.0778235468470252</v>
      </c>
      <c r="D470">
        <f t="shared" si="374"/>
        <v>0.38233594825860812</v>
      </c>
      <c r="F470">
        <f t="shared" si="375"/>
        <v>4.5439625373361497E-5</v>
      </c>
      <c r="G470">
        <f t="shared" si="376"/>
        <v>2.1015975685476614E-3</v>
      </c>
      <c r="H470">
        <f t="shared" si="377"/>
        <v>-3.1394910524314525</v>
      </c>
      <c r="J470">
        <f t="shared" si="378"/>
        <v>15</v>
      </c>
      <c r="M470">
        <f t="shared" si="379"/>
        <v>8.5810765653983551E-4</v>
      </c>
      <c r="N470">
        <f t="shared" si="380"/>
        <v>-1.5707963250000001</v>
      </c>
      <c r="O470">
        <f t="shared" si="381"/>
        <v>440.79322382083922</v>
      </c>
      <c r="P470">
        <f t="shared" si="382"/>
        <v>1.5685276874335203</v>
      </c>
      <c r="Q470">
        <f t="shared" si="383"/>
        <v>169.30594470743267</v>
      </c>
      <c r="R470">
        <f t="shared" si="384"/>
        <v>1.5648898253060581</v>
      </c>
      <c r="S470">
        <f t="shared" si="385"/>
        <v>0.92493648565183217</v>
      </c>
      <c r="T470">
        <f t="shared" si="386"/>
        <v>-0.38992785629336479</v>
      </c>
      <c r="U470">
        <f t="shared" si="387"/>
        <v>0.1546530701252852</v>
      </c>
      <c r="V470">
        <f t="shared" si="388"/>
        <v>-1.4155200377826105</v>
      </c>
      <c r="X470">
        <f t="shared" si="405"/>
        <v>-43.440139606057443</v>
      </c>
      <c r="Y470">
        <f t="shared" si="389"/>
        <v>-171.88629655460372</v>
      </c>
      <c r="Z470">
        <f t="shared" si="406"/>
        <v>8.1137034453962826</v>
      </c>
      <c r="AC470">
        <v>1</v>
      </c>
      <c r="AD470">
        <f t="shared" si="390"/>
        <v>440.79208950067203</v>
      </c>
      <c r="AE470">
        <f t="shared" si="391"/>
        <v>-0.35450603226968413</v>
      </c>
      <c r="AF470">
        <f t="shared" si="392"/>
        <v>5.54930925696E-2</v>
      </c>
      <c r="AG470">
        <f t="shared" si="367"/>
        <v>187.22842224237093</v>
      </c>
      <c r="AH470">
        <f t="shared" si="368"/>
        <v>-1214.08993403558</v>
      </c>
      <c r="AJ470">
        <f t="shared" si="393"/>
        <v>21000</v>
      </c>
      <c r="AK470">
        <f t="shared" si="394"/>
        <v>8630.3822661504</v>
      </c>
      <c r="AL470">
        <v>1</v>
      </c>
      <c r="AM470">
        <f t="shared" si="395"/>
        <v>169.3029914481024</v>
      </c>
      <c r="AN470">
        <f t="shared" si="369"/>
        <v>51.706793572668033</v>
      </c>
      <c r="AO470">
        <f t="shared" si="370"/>
        <v>-123.73256389181259</v>
      </c>
      <c r="AQ470">
        <f t="shared" si="396"/>
        <v>1.5258786734193919E-3</v>
      </c>
      <c r="AR470">
        <f t="shared" si="397"/>
        <v>-3.9062494039536433</v>
      </c>
      <c r="AT470">
        <f t="shared" ref="AT470:AT533" si="418">-AR470*AH470+AG470*AQ470</f>
        <v>-4742.2523933160455</v>
      </c>
      <c r="AU470">
        <f t="shared" ref="AU470:AU533" si="419">AQ470*AH470+AG470*AR470</f>
        <v>-733.21346672540051</v>
      </c>
      <c r="AV470">
        <f t="shared" si="407"/>
        <v>-2.9881943789587515</v>
      </c>
      <c r="AW470">
        <f t="shared" si="408"/>
        <v>-338.01045914585416</v>
      </c>
      <c r="AX470">
        <f t="shared" si="409"/>
        <v>-1597.286230591631</v>
      </c>
      <c r="AY470">
        <f t="shared" si="417"/>
        <v>-1.7793352437256009</v>
      </c>
      <c r="BA470">
        <f t="shared" si="398"/>
        <v>2.9391322397508794</v>
      </c>
      <c r="BB470">
        <f t="shared" si="410"/>
        <v>9.3643825326267027</v>
      </c>
      <c r="BC470">
        <f t="shared" si="411"/>
        <v>-1.2088591352331506</v>
      </c>
      <c r="BD470">
        <f t="shared" si="399"/>
        <v>-249.26252655383792</v>
      </c>
      <c r="BF470">
        <f t="shared" si="400"/>
        <v>-53.314144097684419</v>
      </c>
      <c r="BG470">
        <f t="shared" si="401"/>
        <v>-227.2358776664056</v>
      </c>
      <c r="BH470">
        <f t="shared" si="412"/>
        <v>-47.235877666405599</v>
      </c>
      <c r="BI470">
        <f t="shared" si="413"/>
        <v>-47.235877666405599</v>
      </c>
      <c r="BJ470">
        <f t="shared" si="402"/>
        <v>0</v>
      </c>
      <c r="BK470">
        <f t="shared" si="414"/>
        <v>0</v>
      </c>
      <c r="BM470">
        <f t="shared" si="415"/>
        <v>-62.678526630311126</v>
      </c>
      <c r="BN470">
        <f t="shared" si="403"/>
        <v>-157.97335111256771</v>
      </c>
      <c r="BQ470" s="66">
        <f t="shared" si="416"/>
        <v>26.266343332911841</v>
      </c>
    </row>
    <row r="471" spans="1:69" ht="13" x14ac:dyDescent="0.3">
      <c r="A471">
        <f t="shared" si="372"/>
        <v>1285000</v>
      </c>
      <c r="B471">
        <f t="shared" si="404"/>
        <v>1285</v>
      </c>
      <c r="C471">
        <f t="shared" si="373"/>
        <v>1.0784105780728639</v>
      </c>
      <c r="D471">
        <f t="shared" si="374"/>
        <v>0.38368736160078593</v>
      </c>
      <c r="F471">
        <f t="shared" si="375"/>
        <v>4.5086682297916701E-5</v>
      </c>
      <c r="G471">
        <f t="shared" si="376"/>
        <v>2.0934194245646001E-3</v>
      </c>
      <c r="H471">
        <f t="shared" si="377"/>
        <v>-3.1394992305754355</v>
      </c>
      <c r="J471">
        <f t="shared" si="378"/>
        <v>15</v>
      </c>
      <c r="M471">
        <f t="shared" si="379"/>
        <v>8.5476871624201513E-4</v>
      </c>
      <c r="N471">
        <f t="shared" si="380"/>
        <v>-1.5707963250000001</v>
      </c>
      <c r="O471">
        <f t="shared" si="381"/>
        <v>442.51506350676533</v>
      </c>
      <c r="P471">
        <f t="shared" si="382"/>
        <v>1.5685365147939199</v>
      </c>
      <c r="Q471">
        <f t="shared" si="383"/>
        <v>169.96727302669464</v>
      </c>
      <c r="R471">
        <f t="shared" si="384"/>
        <v>1.5649128072707199</v>
      </c>
      <c r="S471">
        <f t="shared" si="385"/>
        <v>0.92441385312966173</v>
      </c>
      <c r="T471">
        <f t="shared" si="386"/>
        <v>-0.39130047295112558</v>
      </c>
      <c r="U471">
        <f t="shared" si="387"/>
        <v>0.15406561801321464</v>
      </c>
      <c r="V471">
        <f t="shared" si="388"/>
        <v>-1.4161146160592115</v>
      </c>
      <c r="X471">
        <f t="shared" si="405"/>
        <v>-43.507243254891961</v>
      </c>
      <c r="Y471">
        <f t="shared" si="389"/>
        <v>-171.92022427403577</v>
      </c>
      <c r="Z471">
        <f t="shared" si="406"/>
        <v>8.0797757259642253</v>
      </c>
      <c r="AC471">
        <v>1</v>
      </c>
      <c r="AD471">
        <f t="shared" si="390"/>
        <v>442.51393360028402</v>
      </c>
      <c r="AE471">
        <f t="shared" si="391"/>
        <v>-0.3572810199795588</v>
      </c>
      <c r="AF471">
        <f t="shared" si="392"/>
        <v>5.5709862462450001E-2</v>
      </c>
      <c r="AG471">
        <f t="shared" si="367"/>
        <v>185.80874351327191</v>
      </c>
      <c r="AH471">
        <f t="shared" si="368"/>
        <v>-1209.5872153509986</v>
      </c>
      <c r="AJ471">
        <f t="shared" si="393"/>
        <v>21000</v>
      </c>
      <c r="AK471">
        <f t="shared" si="394"/>
        <v>8664.0946968775515</v>
      </c>
      <c r="AL471">
        <v>1</v>
      </c>
      <c r="AM471">
        <f t="shared" si="395"/>
        <v>169.96433125844655</v>
      </c>
      <c r="AN471">
        <f t="shared" si="369"/>
        <v>51.701117401737008</v>
      </c>
      <c r="AO471">
        <f t="shared" si="370"/>
        <v>-123.25114762311176</v>
      </c>
      <c r="AQ471">
        <f t="shared" si="396"/>
        <v>1.5140272352303238E-3</v>
      </c>
      <c r="AR471">
        <f t="shared" si="397"/>
        <v>-3.8910499945419317</v>
      </c>
      <c r="AT471">
        <f t="shared" si="418"/>
        <v>-4706.2830081912707</v>
      </c>
      <c r="AU471">
        <f t="shared" si="419"/>
        <v>-724.82245842058774</v>
      </c>
      <c r="AV471">
        <f t="shared" si="407"/>
        <v>-2.9887816498163562</v>
      </c>
      <c r="AW471">
        <f t="shared" si="408"/>
        <v>-334.97256799108601</v>
      </c>
      <c r="AX471">
        <f t="shared" si="409"/>
        <v>-1591.1553688221734</v>
      </c>
      <c r="AY471">
        <f t="shared" si="417"/>
        <v>-1.7782880339037705</v>
      </c>
      <c r="BA471">
        <f t="shared" si="398"/>
        <v>2.9284600070572719</v>
      </c>
      <c r="BB471">
        <f t="shared" si="410"/>
        <v>9.3327859479663413</v>
      </c>
      <c r="BC471">
        <f t="shared" si="411"/>
        <v>-1.2104936159125856</v>
      </c>
      <c r="BD471">
        <f t="shared" si="399"/>
        <v>-249.35617539857225</v>
      </c>
      <c r="BF471">
        <f t="shared" si="400"/>
        <v>-53.408740508507492</v>
      </c>
      <c r="BG471">
        <f t="shared" si="401"/>
        <v>-227.25256480330202</v>
      </c>
      <c r="BH471">
        <f t="shared" si="412"/>
        <v>-47.252564803302022</v>
      </c>
      <c r="BI471">
        <f t="shared" si="413"/>
        <v>-47.252564803302022</v>
      </c>
      <c r="BJ471">
        <f t="shared" si="402"/>
        <v>0</v>
      </c>
      <c r="BK471">
        <f t="shared" si="414"/>
        <v>0</v>
      </c>
      <c r="BM471">
        <f t="shared" si="415"/>
        <v>-62.741526456473835</v>
      </c>
      <c r="BN471">
        <f t="shared" si="403"/>
        <v>-157.89638940472977</v>
      </c>
      <c r="BQ471" s="66">
        <f t="shared" si="416"/>
        <v>26.234746748251474</v>
      </c>
    </row>
    <row r="472" spans="1:69" ht="13" x14ac:dyDescent="0.3">
      <c r="A472">
        <f t="shared" si="372"/>
        <v>1290000</v>
      </c>
      <c r="B472">
        <f t="shared" si="404"/>
        <v>1290</v>
      </c>
      <c r="C472">
        <f t="shared" si="373"/>
        <v>1.078999576674238</v>
      </c>
      <c r="D472">
        <f t="shared" si="374"/>
        <v>0.38503730200136149</v>
      </c>
      <c r="F472">
        <f t="shared" si="375"/>
        <v>4.4737835488197203E-5</v>
      </c>
      <c r="G472">
        <f t="shared" si="376"/>
        <v>2.0853046853882362E-3</v>
      </c>
      <c r="H472">
        <f t="shared" si="377"/>
        <v>-3.1395073453146121</v>
      </c>
      <c r="J472">
        <f t="shared" si="378"/>
        <v>15</v>
      </c>
      <c r="M472">
        <f t="shared" si="379"/>
        <v>8.5145565920231739E-4</v>
      </c>
      <c r="N472">
        <f t="shared" si="380"/>
        <v>-1.5707963250000001</v>
      </c>
      <c r="O472">
        <f t="shared" si="381"/>
        <v>444.23690322690595</v>
      </c>
      <c r="P472">
        <f t="shared" si="382"/>
        <v>1.5685452737255172</v>
      </c>
      <c r="Q472">
        <f t="shared" si="383"/>
        <v>170.62860143503249</v>
      </c>
      <c r="R472">
        <f t="shared" si="384"/>
        <v>1.5649356110867598</v>
      </c>
      <c r="S472">
        <f t="shared" si="385"/>
        <v>0.92389007316801652</v>
      </c>
      <c r="T472">
        <f t="shared" si="386"/>
        <v>-0.39267153671944049</v>
      </c>
      <c r="U472">
        <f t="shared" si="387"/>
        <v>0.15348255825981935</v>
      </c>
      <c r="V472">
        <f t="shared" si="388"/>
        <v>-1.4167046941923092</v>
      </c>
      <c r="X472">
        <f t="shared" si="405"/>
        <v>-43.5740933552404</v>
      </c>
      <c r="Y472">
        <f t="shared" si="389"/>
        <v>-171.9539000685815</v>
      </c>
      <c r="Z472">
        <f t="shared" si="406"/>
        <v>8.046099931418496</v>
      </c>
      <c r="AC472">
        <v>1</v>
      </c>
      <c r="AD472">
        <f t="shared" si="390"/>
        <v>444.235777699896</v>
      </c>
      <c r="AE472">
        <f t="shared" si="391"/>
        <v>-0.36006682635496906</v>
      </c>
      <c r="AF472">
        <f t="shared" si="392"/>
        <v>5.5926632355300002E-2</v>
      </c>
      <c r="AG472">
        <f t="shared" si="367"/>
        <v>184.40502216003466</v>
      </c>
      <c r="AH472">
        <f t="shared" si="368"/>
        <v>-1205.116922916141</v>
      </c>
      <c r="AJ472">
        <f t="shared" si="393"/>
        <v>21000</v>
      </c>
      <c r="AK472">
        <f t="shared" si="394"/>
        <v>8697.8071276047012</v>
      </c>
      <c r="AL472">
        <v>1</v>
      </c>
      <c r="AM472">
        <f t="shared" si="395"/>
        <v>170.62567106879069</v>
      </c>
      <c r="AN472">
        <f t="shared" si="369"/>
        <v>51.69550710177689</v>
      </c>
      <c r="AO472">
        <f t="shared" si="370"/>
        <v>-122.77346287741517</v>
      </c>
      <c r="AQ472">
        <f t="shared" si="396"/>
        <v>1.5023133371922755E-3</v>
      </c>
      <c r="AR472">
        <f t="shared" si="397"/>
        <v>-3.8759684099560707</v>
      </c>
      <c r="AT472">
        <f t="shared" si="418"/>
        <v>-4670.7180894021913</v>
      </c>
      <c r="AU472">
        <f t="shared" si="419"/>
        <v>-716.55850375571663</v>
      </c>
      <c r="AV472">
        <f t="shared" si="407"/>
        <v>-2.9893644771767698</v>
      </c>
      <c r="AW472">
        <f t="shared" si="408"/>
        <v>-331.97018269278027</v>
      </c>
      <c r="AX472">
        <f t="shared" si="409"/>
        <v>-1585.0710981938751</v>
      </c>
      <c r="AY472">
        <f t="shared" si="417"/>
        <v>-1.7772478175824831</v>
      </c>
      <c r="BA472">
        <f t="shared" si="398"/>
        <v>2.917861721887943</v>
      </c>
      <c r="BB472">
        <f t="shared" si="410"/>
        <v>9.3012941346717248</v>
      </c>
      <c r="BC472">
        <f t="shared" si="411"/>
        <v>-1.2121166595942867</v>
      </c>
      <c r="BD472">
        <f t="shared" si="399"/>
        <v>-249.44916895160537</v>
      </c>
      <c r="BF472">
        <f t="shared" si="400"/>
        <v>-53.502955834775335</v>
      </c>
      <c r="BG472">
        <f t="shared" si="401"/>
        <v>-227.26867740900676</v>
      </c>
      <c r="BH472">
        <f t="shared" si="412"/>
        <v>-47.268677409006756</v>
      </c>
      <c r="BI472">
        <f t="shared" si="413"/>
        <v>-47.268677409006756</v>
      </c>
      <c r="BJ472">
        <f t="shared" si="402"/>
        <v>0</v>
      </c>
      <c r="BK472">
        <f t="shared" si="414"/>
        <v>0</v>
      </c>
      <c r="BM472">
        <f t="shared" si="415"/>
        <v>-62.804249969447064</v>
      </c>
      <c r="BN472">
        <f t="shared" si="403"/>
        <v>-157.81950845740141</v>
      </c>
      <c r="BQ472" s="66">
        <f t="shared" si="416"/>
        <v>26.203254934956863</v>
      </c>
    </row>
    <row r="473" spans="1:69" ht="13" x14ac:dyDescent="0.3">
      <c r="A473">
        <f>A472+5000</f>
        <v>1295000</v>
      </c>
      <c r="B473">
        <f t="shared" si="404"/>
        <v>1295</v>
      </c>
      <c r="C473">
        <f t="shared" si="373"/>
        <v>1.0795905394310892</v>
      </c>
      <c r="D473">
        <f t="shared" si="374"/>
        <v>0.38638576695507421</v>
      </c>
      <c r="F473">
        <f t="shared" si="375"/>
        <v>4.4393021799195153E-5</v>
      </c>
      <c r="G473">
        <f t="shared" si="376"/>
        <v>2.0772526164718683E-3</v>
      </c>
      <c r="H473">
        <f t="shared" si="377"/>
        <v>-3.1395153973835281</v>
      </c>
      <c r="J473">
        <f t="shared" si="378"/>
        <v>15</v>
      </c>
      <c r="M473">
        <f t="shared" si="379"/>
        <v>8.4816818561466356E-4</v>
      </c>
      <c r="N473">
        <f t="shared" si="380"/>
        <v>-1.5707963250000001</v>
      </c>
      <c r="O473">
        <f t="shared" si="381"/>
        <v>445.95874298086483</v>
      </c>
      <c r="P473">
        <f t="shared" si="382"/>
        <v>1.5685539650209186</v>
      </c>
      <c r="Q473">
        <f t="shared" si="383"/>
        <v>171.28992993141443</v>
      </c>
      <c r="R473">
        <f t="shared" si="384"/>
        <v>1.5649582388175811</v>
      </c>
      <c r="S473">
        <f t="shared" si="385"/>
        <v>0.9233651536188503</v>
      </c>
      <c r="T473">
        <f t="shared" si="386"/>
        <v>-0.39404104508613774</v>
      </c>
      <c r="U473">
        <f t="shared" si="387"/>
        <v>0.1529038423958862</v>
      </c>
      <c r="V473">
        <f t="shared" si="388"/>
        <v>-1.417290322672883</v>
      </c>
      <c r="X473">
        <f t="shared" si="405"/>
        <v>-43.640691800187128</v>
      </c>
      <c r="Y473">
        <f t="shared" si="389"/>
        <v>-171.98732670921402</v>
      </c>
      <c r="Z473">
        <f t="shared" si="406"/>
        <v>8.0126732907859832</v>
      </c>
      <c r="AC473">
        <v>1</v>
      </c>
      <c r="AD473">
        <f t="shared" si="390"/>
        <v>445.95762179950805</v>
      </c>
      <c r="AE473">
        <f t="shared" si="391"/>
        <v>-0.36286345139591492</v>
      </c>
      <c r="AF473">
        <f t="shared" si="392"/>
        <v>5.6143402248149996E-2</v>
      </c>
      <c r="AG473">
        <f t="shared" si="367"/>
        <v>183.01702186649777</v>
      </c>
      <c r="AH473">
        <f t="shared" si="368"/>
        <v>-1200.6787177009794</v>
      </c>
      <c r="AJ473">
        <f t="shared" si="393"/>
        <v>21000</v>
      </c>
      <c r="AK473">
        <f t="shared" si="394"/>
        <v>8731.5195583318509</v>
      </c>
      <c r="AL473">
        <v>1</v>
      </c>
      <c r="AM473">
        <f t="shared" si="395"/>
        <v>171.28701087913487</v>
      </c>
      <c r="AN473">
        <f t="shared" si="369"/>
        <v>51.689961657499772</v>
      </c>
      <c r="AO473">
        <f t="shared" si="370"/>
        <v>-122.29946643837602</v>
      </c>
      <c r="AQ473">
        <f t="shared" si="396"/>
        <v>1.4907348592395971E-3</v>
      </c>
      <c r="AR473">
        <f t="shared" si="397"/>
        <v>-3.8610032854305563</v>
      </c>
      <c r="AT473">
        <f t="shared" si="418"/>
        <v>-4635.5516439356979</v>
      </c>
      <c r="AU473">
        <f t="shared" si="419"/>
        <v>-708.4192163354877</v>
      </c>
      <c r="AV473">
        <f t="shared" si="407"/>
        <v>-2.9899429108748428</v>
      </c>
      <c r="AW473">
        <f t="shared" si="408"/>
        <v>-329.00275130379021</v>
      </c>
      <c r="AX473">
        <f t="shared" si="409"/>
        <v>-1579.0328926701961</v>
      </c>
      <c r="AY473">
        <f t="shared" si="417"/>
        <v>-1.7762145163596419</v>
      </c>
      <c r="BA473">
        <f t="shared" si="398"/>
        <v>2.9073366572634924</v>
      </c>
      <c r="BB473">
        <f t="shared" si="410"/>
        <v>9.2699064828550259</v>
      </c>
      <c r="BC473">
        <f t="shared" si="411"/>
        <v>-1.2137283945152009</v>
      </c>
      <c r="BD473">
        <f t="shared" si="399"/>
        <v>-249.54151456037312</v>
      </c>
      <c r="BF473">
        <f t="shared" si="400"/>
        <v>-53.59679277087502</v>
      </c>
      <c r="BG473">
        <f t="shared" si="401"/>
        <v>-227.28422301658293</v>
      </c>
      <c r="BH473">
        <f t="shared" si="412"/>
        <v>-47.284223016582928</v>
      </c>
      <c r="BI473">
        <f t="shared" si="413"/>
        <v>-47.284223016582928</v>
      </c>
      <c r="BJ473">
        <f t="shared" si="402"/>
        <v>0</v>
      </c>
      <c r="BK473">
        <f t="shared" si="414"/>
        <v>0</v>
      </c>
      <c r="BM473">
        <f t="shared" si="415"/>
        <v>-62.866699253730047</v>
      </c>
      <c r="BN473">
        <f t="shared" si="403"/>
        <v>-157.74270845620981</v>
      </c>
      <c r="BQ473" s="66">
        <f t="shared" si="416"/>
        <v>26.171867283140166</v>
      </c>
    </row>
    <row r="474" spans="1:69" ht="13" x14ac:dyDescent="0.3">
      <c r="A474">
        <f t="shared" ref="A474:A537" si="420">A473+5000</f>
        <v>1300000</v>
      </c>
      <c r="B474">
        <f t="shared" si="404"/>
        <v>1300</v>
      </c>
      <c r="C474">
        <f t="shared" si="373"/>
        <v>1.0801834631196801</v>
      </c>
      <c r="D474">
        <f t="shared" si="374"/>
        <v>0.3877327539835998</v>
      </c>
      <c r="F474">
        <f t="shared" si="375"/>
        <v>4.405217929799311E-5</v>
      </c>
      <c r="G474">
        <f t="shared" si="376"/>
        <v>2.069262494571959E-3</v>
      </c>
      <c r="H474">
        <f t="shared" si="377"/>
        <v>-3.1395233875054283</v>
      </c>
      <c r="J474">
        <f t="shared" si="378"/>
        <v>15</v>
      </c>
      <c r="M474">
        <f t="shared" si="379"/>
        <v>8.4490600028537641E-4</v>
      </c>
      <c r="N474">
        <f t="shared" si="380"/>
        <v>-1.5707963250000001</v>
      </c>
      <c r="O474">
        <f t="shared" si="381"/>
        <v>447.68058276825161</v>
      </c>
      <c r="P474">
        <f t="shared" si="382"/>
        <v>1.5685625894605364</v>
      </c>
      <c r="Q474">
        <f t="shared" si="383"/>
        <v>171.95125851482464</v>
      </c>
      <c r="R474">
        <f t="shared" si="384"/>
        <v>1.5649806924948444</v>
      </c>
      <c r="S474">
        <f t="shared" si="385"/>
        <v>0.92283910232550159</v>
      </c>
      <c r="T474">
        <f t="shared" si="386"/>
        <v>-0.39540899556807996</v>
      </c>
      <c r="U474">
        <f t="shared" si="387"/>
        <v>0.15232942265346519</v>
      </c>
      <c r="V474">
        <f t="shared" si="388"/>
        <v>-1.4178715512454998</v>
      </c>
      <c r="X474">
        <f t="shared" si="405"/>
        <v>-43.707040461894955</v>
      </c>
      <c r="Y474">
        <f t="shared" si="389"/>
        <v>-172.02050692613022</v>
      </c>
      <c r="Z474">
        <f t="shared" si="406"/>
        <v>7.9794930738697758</v>
      </c>
      <c r="AC474">
        <v>1</v>
      </c>
      <c r="AD474">
        <f t="shared" si="390"/>
        <v>447.67946589912003</v>
      </c>
      <c r="AE474">
        <f t="shared" si="391"/>
        <v>-0.36567089510239631</v>
      </c>
      <c r="AF474">
        <f t="shared" si="392"/>
        <v>5.6360172140999996E-2</v>
      </c>
      <c r="AG474">
        <f t="shared" si="367"/>
        <v>181.64451063844302</v>
      </c>
      <c r="AH474">
        <f t="shared" si="368"/>
        <v>-1196.2722652251989</v>
      </c>
      <c r="AJ474">
        <f t="shared" si="393"/>
        <v>21000</v>
      </c>
      <c r="AK474">
        <f t="shared" si="394"/>
        <v>8765.2319890590006</v>
      </c>
      <c r="AL474">
        <v>1</v>
      </c>
      <c r="AM474">
        <f t="shared" si="395"/>
        <v>171.94835068947899</v>
      </c>
      <c r="AN474">
        <f t="shared" si="369"/>
        <v>51.684480073103579</v>
      </c>
      <c r="AO474">
        <f t="shared" si="370"/>
        <v>-121.82911575440114</v>
      </c>
      <c r="AQ474">
        <f t="shared" si="396"/>
        <v>1.4792897219985618E-3</v>
      </c>
      <c r="AR474">
        <f t="shared" si="397"/>
        <v>-3.8461532771962608</v>
      </c>
      <c r="AT474">
        <f t="shared" si="418"/>
        <v>-4600.7777884572488</v>
      </c>
      <c r="AU474">
        <f t="shared" si="419"/>
        <v>-700.40226314341817</v>
      </c>
      <c r="AV474">
        <f t="shared" si="407"/>
        <v>-2.9905170000091061</v>
      </c>
      <c r="AW474">
        <f t="shared" si="408"/>
        <v>-326.0697325739531</v>
      </c>
      <c r="AX474">
        <f t="shared" si="409"/>
        <v>-1573.0402340629016</v>
      </c>
      <c r="AY474">
        <f t="shared" si="417"/>
        <v>-1.7751880529870385</v>
      </c>
      <c r="BA474">
        <f t="shared" si="398"/>
        <v>2.8968840950179757</v>
      </c>
      <c r="BB474">
        <f t="shared" si="410"/>
        <v>9.2386223866358161</v>
      </c>
      <c r="BC474">
        <f t="shared" si="411"/>
        <v>-1.2153289470220676</v>
      </c>
      <c r="BD474">
        <f t="shared" si="399"/>
        <v>-249.63321946401044</v>
      </c>
      <c r="BF474">
        <f t="shared" si="400"/>
        <v>-53.690253983657811</v>
      </c>
      <c r="BG474">
        <f t="shared" si="401"/>
        <v>-227.29920904860188</v>
      </c>
      <c r="BH474">
        <f t="shared" si="412"/>
        <v>-47.299209048601881</v>
      </c>
      <c r="BI474">
        <f t="shared" si="413"/>
        <v>-47.299209048601881</v>
      </c>
      <c r="BJ474">
        <f t="shared" si="402"/>
        <v>0</v>
      </c>
      <c r="BK474">
        <f t="shared" si="414"/>
        <v>0</v>
      </c>
      <c r="BM474">
        <f t="shared" si="415"/>
        <v>-62.928876370293629</v>
      </c>
      <c r="BN474">
        <f t="shared" si="403"/>
        <v>-157.66598958459147</v>
      </c>
      <c r="BQ474" s="66">
        <f t="shared" si="416"/>
        <v>26.140583186920953</v>
      </c>
    </row>
    <row r="475" spans="1:69" ht="13" x14ac:dyDescent="0.3">
      <c r="A475">
        <f t="shared" si="420"/>
        <v>1305000</v>
      </c>
      <c r="B475">
        <f t="shared" si="404"/>
        <v>1305</v>
      </c>
      <c r="C475">
        <f t="shared" si="373"/>
        <v>1.0807783445126615</v>
      </c>
      <c r="D475">
        <f t="shared" si="374"/>
        <v>0.38907826063549544</v>
      </c>
      <c r="F475">
        <f t="shared" si="375"/>
        <v>4.3715247235950731E-5</v>
      </c>
      <c r="G475">
        <f t="shared" si="376"/>
        <v>2.0613336075315501E-3</v>
      </c>
      <c r="H475">
        <f t="shared" si="377"/>
        <v>-3.1395313163924685</v>
      </c>
      <c r="J475">
        <f t="shared" si="378"/>
        <v>15</v>
      </c>
      <c r="M475">
        <f t="shared" si="379"/>
        <v>8.4166881254481957E-4</v>
      </c>
      <c r="N475">
        <f t="shared" si="380"/>
        <v>-1.5707963250000001</v>
      </c>
      <c r="O475">
        <f t="shared" si="381"/>
        <v>449.40242258868216</v>
      </c>
      <c r="P475">
        <f t="shared" si="382"/>
        <v>1.5685711478128228</v>
      </c>
      <c r="Q475">
        <f t="shared" si="383"/>
        <v>172.61258718426288</v>
      </c>
      <c r="R475">
        <f t="shared" si="384"/>
        <v>1.565002974119075</v>
      </c>
      <c r="S475">
        <f t="shared" si="385"/>
        <v>0.92231192712246213</v>
      </c>
      <c r="T475">
        <f t="shared" si="386"/>
        <v>-0.39677538571109799</v>
      </c>
      <c r="U475">
        <f t="shared" si="387"/>
        <v>0.15175925195340936</v>
      </c>
      <c r="V475">
        <f t="shared" si="388"/>
        <v>-1.4184484289219403</v>
      </c>
      <c r="X475">
        <f t="shared" si="405"/>
        <v>-43.77314119190855</v>
      </c>
      <c r="Y475">
        <f t="shared" si="389"/>
        <v>-172.053443409495</v>
      </c>
      <c r="Z475">
        <f t="shared" si="406"/>
        <v>7.9465565905049971</v>
      </c>
      <c r="AC475">
        <v>1</v>
      </c>
      <c r="AD475">
        <f t="shared" si="390"/>
        <v>449.40130999873202</v>
      </c>
      <c r="AE475">
        <f t="shared" si="391"/>
        <v>-0.36848915747441335</v>
      </c>
      <c r="AF475">
        <f t="shared" si="392"/>
        <v>5.6576942033850004E-2</v>
      </c>
      <c r="AG475">
        <f t="shared" si="367"/>
        <v>180.2872607099105</v>
      </c>
      <c r="AH475">
        <f t="shared" si="368"/>
        <v>-1191.8972354854225</v>
      </c>
      <c r="AJ475">
        <f t="shared" si="393"/>
        <v>21000</v>
      </c>
      <c r="AK475">
        <f t="shared" si="394"/>
        <v>8798.9444197861503</v>
      </c>
      <c r="AL475">
        <v>1</v>
      </c>
      <c r="AM475">
        <f t="shared" si="395"/>
        <v>172.60969049982316</v>
      </c>
      <c r="AN475">
        <f t="shared" si="369"/>
        <v>51.679061371824943</v>
      </c>
      <c r="AO475">
        <f t="shared" si="370"/>
        <v>-121.36236892591866</v>
      </c>
      <c r="AQ475">
        <f t="shared" si="396"/>
        <v>1.4679758858537183E-3</v>
      </c>
      <c r="AR475">
        <f t="shared" si="397"/>
        <v>-3.8314170620782049</v>
      </c>
      <c r="AT475">
        <f t="shared" si="418"/>
        <v>-4566.3907469314436</v>
      </c>
      <c r="AU475">
        <f t="shared" si="419"/>
        <v>-692.50536315940099</v>
      </c>
      <c r="AV475">
        <f t="shared" si="407"/>
        <v>-2.9910867929552065</v>
      </c>
      <c r="AW475">
        <f t="shared" si="408"/>
        <v>-323.17059570201417</v>
      </c>
      <c r="AX475">
        <f t="shared" si="409"/>
        <v>-1567.0926118868906</v>
      </c>
      <c r="AY475">
        <f t="shared" si="417"/>
        <v>-1.7741683513495083</v>
      </c>
      <c r="BA475">
        <f t="shared" si="398"/>
        <v>2.8865033256814088</v>
      </c>
      <c r="BB475">
        <f t="shared" si="410"/>
        <v>9.2074412441362838</v>
      </c>
      <c r="BC475">
        <f t="shared" si="411"/>
        <v>-1.2169184416056982</v>
      </c>
      <c r="BD475">
        <f t="shared" si="399"/>
        <v>-249.72429079531543</v>
      </c>
      <c r="BF475">
        <f t="shared" si="400"/>
        <v>-53.783342112804121</v>
      </c>
      <c r="BG475">
        <f t="shared" si="401"/>
        <v>-227.31364281912255</v>
      </c>
      <c r="BH475">
        <f t="shared" si="412"/>
        <v>-47.313642819122549</v>
      </c>
      <c r="BI475">
        <f t="shared" si="413"/>
        <v>-47.313642819122549</v>
      </c>
      <c r="BJ475">
        <f t="shared" si="402"/>
        <v>0</v>
      </c>
      <c r="BK475">
        <f t="shared" si="414"/>
        <v>0</v>
      </c>
      <c r="BM475">
        <f t="shared" si="415"/>
        <v>-62.990783356940412</v>
      </c>
      <c r="BN475">
        <f t="shared" si="403"/>
        <v>-157.58935202380715</v>
      </c>
      <c r="BQ475" s="66">
        <f t="shared" si="416"/>
        <v>26.109402044421422</v>
      </c>
    </row>
    <row r="476" spans="1:69" ht="13" x14ac:dyDescent="0.3">
      <c r="A476">
        <f t="shared" si="420"/>
        <v>1310000</v>
      </c>
      <c r="B476">
        <f t="shared" si="404"/>
        <v>1310</v>
      </c>
      <c r="C476">
        <f t="shared" si="373"/>
        <v>1.0813751803791423</v>
      </c>
      <c r="D476">
        <f t="shared" si="374"/>
        <v>0.39042228448614413</v>
      </c>
      <c r="F476">
        <f t="shared" si="375"/>
        <v>4.3382166021633099E-5</v>
      </c>
      <c r="G476">
        <f t="shared" si="376"/>
        <v>2.0534652540686268E-3</v>
      </c>
      <c r="H476">
        <f t="shared" si="377"/>
        <v>-3.1395391847459315</v>
      </c>
      <c r="J476">
        <f t="shared" si="378"/>
        <v>15</v>
      </c>
      <c r="M476">
        <f t="shared" si="379"/>
        <v>8.384563361610607E-4</v>
      </c>
      <c r="N476">
        <f t="shared" si="380"/>
        <v>-1.5707963250000001</v>
      </c>
      <c r="O476">
        <f t="shared" si="381"/>
        <v>451.12426244177806</v>
      </c>
      <c r="P476">
        <f t="shared" si="382"/>
        <v>1.5685796408344979</v>
      </c>
      <c r="Q476">
        <f t="shared" si="383"/>
        <v>173.27391593874401</v>
      </c>
      <c r="R476">
        <f t="shared" si="384"/>
        <v>1.5650250856602579</v>
      </c>
      <c r="S476">
        <f t="shared" si="385"/>
        <v>0.921783635835147</v>
      </c>
      <c r="T476">
        <f t="shared" si="386"/>
        <v>-0.39814021308992331</v>
      </c>
      <c r="U476">
        <f t="shared" si="387"/>
        <v>0.15119328389317477</v>
      </c>
      <c r="V476">
        <f t="shared" si="388"/>
        <v>-1.4190210039945332</v>
      </c>
      <c r="X476">
        <f t="shared" si="405"/>
        <v>-43.838995821452343</v>
      </c>
      <c r="Y476">
        <f t="shared" si="389"/>
        <v>-172.08613881016936</v>
      </c>
      <c r="Z476">
        <f t="shared" si="406"/>
        <v>7.9138611898306408</v>
      </c>
      <c r="AC476">
        <v>1</v>
      </c>
      <c r="AD476">
        <f t="shared" si="390"/>
        <v>451.123154098344</v>
      </c>
      <c r="AE476">
        <f t="shared" si="391"/>
        <v>-0.37131823851196588</v>
      </c>
      <c r="AF476">
        <f t="shared" si="392"/>
        <v>5.6793711926700005E-2</v>
      </c>
      <c r="AG476">
        <f t="shared" si="367"/>
        <v>178.94504845185358</v>
      </c>
      <c r="AH476">
        <f t="shared" si="368"/>
        <v>-1187.5533028837472</v>
      </c>
      <c r="AJ476">
        <f t="shared" si="393"/>
        <v>21000</v>
      </c>
      <c r="AK476">
        <f t="shared" si="394"/>
        <v>8832.6568505133</v>
      </c>
      <c r="AL476">
        <v>1</v>
      </c>
      <c r="AM476">
        <f t="shared" si="395"/>
        <v>173.2710303101673</v>
      </c>
      <c r="AN476">
        <f t="shared" si="369"/>
        <v>51.673704595504191</v>
      </c>
      <c r="AO476">
        <f t="shared" si="370"/>
        <v>-120.89918469293754</v>
      </c>
      <c r="AQ476">
        <f t="shared" si="396"/>
        <v>1.4567913500391366E-3</v>
      </c>
      <c r="AR476">
        <f t="shared" si="397"/>
        <v>-3.816793337102538</v>
      </c>
      <c r="AT476">
        <f t="shared" si="418"/>
        <v>-4532.3848483020811</v>
      </c>
      <c r="AU476">
        <f t="shared" si="419"/>
        <v>-684.72628601787699</v>
      </c>
      <c r="AV476">
        <f t="shared" si="407"/>
        <v>-2.9916523373790498</v>
      </c>
      <c r="AW476">
        <f t="shared" si="408"/>
        <v>-320.30482009424338</v>
      </c>
      <c r="AX476">
        <f t="shared" si="409"/>
        <v>-1561.1895232182289</v>
      </c>
      <c r="AY476">
        <f t="shared" si="417"/>
        <v>-1.7731553364445305</v>
      </c>
      <c r="BA476">
        <f t="shared" si="398"/>
        <v>2.8761936483636767</v>
      </c>
      <c r="BB476">
        <f t="shared" si="410"/>
        <v>9.1763624574752765</v>
      </c>
      <c r="BC476">
        <f t="shared" si="411"/>
        <v>-1.2184970009345193</v>
      </c>
      <c r="BD476">
        <f t="shared" si="399"/>
        <v>-249.81473558267123</v>
      </c>
      <c r="BF476">
        <f t="shared" si="400"/>
        <v>-53.876059771182803</v>
      </c>
      <c r="BG476">
        <f t="shared" si="401"/>
        <v>-227.32753153562896</v>
      </c>
      <c r="BH476">
        <f t="shared" si="412"/>
        <v>-47.327531535628964</v>
      </c>
      <c r="BI476">
        <f t="shared" si="413"/>
        <v>-47.327531535628964</v>
      </c>
      <c r="BJ476">
        <f t="shared" si="402"/>
        <v>0</v>
      </c>
      <c r="BK476">
        <f t="shared" si="414"/>
        <v>0</v>
      </c>
      <c r="BM476">
        <f t="shared" si="415"/>
        <v>-63.052422228658081</v>
      </c>
      <c r="BN476">
        <f t="shared" si="403"/>
        <v>-157.51279595295773</v>
      </c>
      <c r="BQ476" s="66">
        <f t="shared" si="416"/>
        <v>26.078323257760413</v>
      </c>
    </row>
    <row r="477" spans="1:69" ht="13" x14ac:dyDescent="0.3">
      <c r="A477">
        <f t="shared" si="420"/>
        <v>1315000</v>
      </c>
      <c r="B477">
        <f t="shared" si="404"/>
        <v>1315</v>
      </c>
      <c r="C477">
        <f t="shared" si="373"/>
        <v>1.0819739674847566</v>
      </c>
      <c r="D477">
        <f t="shared" si="374"/>
        <v>0.39176482313769834</v>
      </c>
      <c r="F477">
        <f t="shared" si="375"/>
        <v>4.3052877194458415E-5</v>
      </c>
      <c r="G477">
        <f t="shared" si="376"/>
        <v>2.0456567435693214E-3</v>
      </c>
      <c r="H477">
        <f t="shared" si="377"/>
        <v>-3.1395469932564311</v>
      </c>
      <c r="J477">
        <f t="shared" si="378"/>
        <v>15</v>
      </c>
      <c r="M477">
        <f t="shared" si="379"/>
        <v>8.352682892555053E-4</v>
      </c>
      <c r="N477">
        <f t="shared" si="380"/>
        <v>-1.5707963250000001</v>
      </c>
      <c r="O477">
        <f t="shared" si="381"/>
        <v>452.84610232716676</v>
      </c>
      <c r="P477">
        <f t="shared" si="382"/>
        <v>1.568588069270773</v>
      </c>
      <c r="Q477">
        <f t="shared" si="383"/>
        <v>173.93524477729807</v>
      </c>
      <c r="R477">
        <f t="shared" si="384"/>
        <v>1.565047029058418</v>
      </c>
      <c r="S477">
        <f t="shared" si="385"/>
        <v>0.92125423627966863</v>
      </c>
      <c r="T477">
        <f t="shared" si="386"/>
        <v>-0.3995034753081203</v>
      </c>
      <c r="U477">
        <f t="shared" si="387"/>
        <v>0.15063147273487529</v>
      </c>
      <c r="V477">
        <f t="shared" si="388"/>
        <v>-1.4195893240491986</v>
      </c>
      <c r="X477">
        <f t="shared" si="405"/>
        <v>-43.904606161723258</v>
      </c>
      <c r="Y477">
        <f t="shared" si="389"/>
        <v>-172.11859574042322</v>
      </c>
      <c r="Z477">
        <f t="shared" si="406"/>
        <v>7.881404259576783</v>
      </c>
      <c r="AC477">
        <v>1</v>
      </c>
      <c r="AD477">
        <f t="shared" si="390"/>
        <v>452.84499819795599</v>
      </c>
      <c r="AE477">
        <f t="shared" si="391"/>
        <v>-0.37415813821505406</v>
      </c>
      <c r="AF477">
        <f t="shared" si="392"/>
        <v>5.7010481819550006E-2</v>
      </c>
      <c r="AG477">
        <f t="shared" si="367"/>
        <v>177.61765428306606</v>
      </c>
      <c r="AH477">
        <f t="shared" si="368"/>
        <v>-1183.2401461575573</v>
      </c>
      <c r="AJ477">
        <f t="shared" si="393"/>
        <v>21000</v>
      </c>
      <c r="AK477">
        <f t="shared" si="394"/>
        <v>8866.3692812404515</v>
      </c>
      <c r="AL477">
        <v>1</v>
      </c>
      <c r="AM477">
        <f t="shared" si="395"/>
        <v>173.93237012051145</v>
      </c>
      <c r="AN477">
        <f t="shared" si="369"/>
        <v>51.668408804161686</v>
      </c>
      <c r="AO477">
        <f t="shared" si="370"/>
        <v>-120.43952242289056</v>
      </c>
      <c r="AQ477">
        <f t="shared" si="396"/>
        <v>1.4457341517537985E-3</v>
      </c>
      <c r="AR477">
        <f t="shared" si="397"/>
        <v>-3.8022808191124899</v>
      </c>
      <c r="AT477">
        <f t="shared" si="418"/>
        <v>-4498.7545242299884</v>
      </c>
      <c r="AU477">
        <f t="shared" si="419"/>
        <v>-677.06285070528156</v>
      </c>
      <c r="AV477">
        <f t="shared" si="407"/>
        <v>-2.9922136802496602</v>
      </c>
      <c r="AW477">
        <f t="shared" si="408"/>
        <v>-317.4718951295385</v>
      </c>
      <c r="AX477">
        <f t="shared" si="409"/>
        <v>-1555.33047255529</v>
      </c>
      <c r="AY477">
        <f t="shared" si="417"/>
        <v>-1.7721489343622596</v>
      </c>
      <c r="BA477">
        <f t="shared" si="398"/>
        <v>2.8659543706398591</v>
      </c>
      <c r="BB477">
        <f t="shared" si="410"/>
        <v>9.1453854327612465</v>
      </c>
      <c r="BC477">
        <f t="shared" si="411"/>
        <v>-1.2200647458874005</v>
      </c>
      <c r="BD477">
        <f t="shared" si="399"/>
        <v>-249.90456075192691</v>
      </c>
      <c r="BF477">
        <f t="shared" si="400"/>
        <v>-53.968409545204672</v>
      </c>
      <c r="BG477">
        <f t="shared" si="401"/>
        <v>-227.3408823009259</v>
      </c>
      <c r="BH477">
        <f t="shared" si="412"/>
        <v>-47.340882300925898</v>
      </c>
      <c r="BI477">
        <f t="shared" si="413"/>
        <v>-47.340882300925898</v>
      </c>
      <c r="BJ477">
        <f t="shared" si="402"/>
        <v>0</v>
      </c>
      <c r="BK477">
        <f t="shared" si="414"/>
        <v>0</v>
      </c>
      <c r="BM477">
        <f t="shared" si="415"/>
        <v>-63.11379497796591</v>
      </c>
      <c r="BN477">
        <f t="shared" si="403"/>
        <v>-157.43632154899899</v>
      </c>
      <c r="BQ477" s="66">
        <f t="shared" si="416"/>
        <v>26.047346233046383</v>
      </c>
    </row>
    <row r="478" spans="1:69" ht="13" x14ac:dyDescent="0.3">
      <c r="A478">
        <f t="shared" si="420"/>
        <v>1320000</v>
      </c>
      <c r="B478">
        <f t="shared" si="404"/>
        <v>1320</v>
      </c>
      <c r="C478">
        <f t="shared" si="373"/>
        <v>1.0825747025917321</v>
      </c>
      <c r="D478">
        <f t="shared" si="374"/>
        <v>0.3931058742190221</v>
      </c>
      <c r="F478">
        <f t="shared" si="375"/>
        <v>4.2727323399043066E-5</v>
      </c>
      <c r="G478">
        <f t="shared" si="376"/>
        <v>2.0379073958858118E-3</v>
      </c>
      <c r="H478">
        <f t="shared" si="377"/>
        <v>-3.1395547426041146</v>
      </c>
      <c r="J478">
        <f t="shared" si="378"/>
        <v>15</v>
      </c>
      <c r="M478">
        <f t="shared" si="379"/>
        <v>8.3210439422044661E-4</v>
      </c>
      <c r="N478">
        <f t="shared" si="380"/>
        <v>-1.5707963250000001</v>
      </c>
      <c r="O478">
        <f t="shared" si="381"/>
        <v>454.56794224448129</v>
      </c>
      <c r="P478">
        <f t="shared" si="382"/>
        <v>1.5685964338555685</v>
      </c>
      <c r="Q478">
        <f t="shared" si="383"/>
        <v>174.59657369896968</v>
      </c>
      <c r="R478">
        <f t="shared" si="384"/>
        <v>1.5650688062241871</v>
      </c>
      <c r="S478">
        <f t="shared" si="385"/>
        <v>0.92072373626260984</v>
      </c>
      <c r="T478">
        <f t="shared" si="386"/>
        <v>-0.40086516999801708</v>
      </c>
      <c r="U478">
        <f t="shared" si="387"/>
        <v>0.1500737733935858</v>
      </c>
      <c r="V478">
        <f t="shared" si="388"/>
        <v>-1.420153435978214</v>
      </c>
      <c r="X478">
        <f t="shared" si="405"/>
        <v>-43.969974004178098</v>
      </c>
      <c r="Y478">
        <f t="shared" si="389"/>
        <v>-172.15081677463249</v>
      </c>
      <c r="Z478">
        <f t="shared" si="406"/>
        <v>7.8491832253675113</v>
      </c>
      <c r="AC478">
        <v>1</v>
      </c>
      <c r="AD478">
        <f t="shared" si="390"/>
        <v>454.56684229756803</v>
      </c>
      <c r="AE478">
        <f t="shared" si="391"/>
        <v>-0.37700885658367772</v>
      </c>
      <c r="AF478">
        <f t="shared" si="392"/>
        <v>5.72272517124E-2</v>
      </c>
      <c r="AG478">
        <f t="shared" si="367"/>
        <v>176.30486258332004</v>
      </c>
      <c r="AH478">
        <f t="shared" si="368"/>
        <v>-1178.9574483106071</v>
      </c>
      <c r="AJ478">
        <f t="shared" si="393"/>
        <v>21000</v>
      </c>
      <c r="AK478">
        <f t="shared" si="394"/>
        <v>8900.0817119676012</v>
      </c>
      <c r="AL478">
        <v>1</v>
      </c>
      <c r="AM478">
        <f t="shared" si="395"/>
        <v>174.5937099308556</v>
      </c>
      <c r="AN478">
        <f t="shared" si="369"/>
        <v>51.663173075585455</v>
      </c>
      <c r="AO478">
        <f t="shared" si="370"/>
        <v>-119.9833420987537</v>
      </c>
      <c r="AQ478">
        <f t="shared" si="396"/>
        <v>1.4348023653003952E-3</v>
      </c>
      <c r="AR478">
        <f t="shared" si="397"/>
        <v>-3.7878782443930437</v>
      </c>
      <c r="AT478">
        <f t="shared" si="418"/>
        <v>-4465.4943068870371</v>
      </c>
      <c r="AU478">
        <f t="shared" si="419"/>
        <v>-669.51292429548778</v>
      </c>
      <c r="AV478">
        <f t="shared" si="407"/>
        <v>-2.992770867851767</v>
      </c>
      <c r="AW478">
        <f t="shared" si="408"/>
        <v>-314.67131993081443</v>
      </c>
      <c r="AX478">
        <f t="shared" si="409"/>
        <v>-1549.514971682943</v>
      </c>
      <c r="AY478">
        <f t="shared" si="417"/>
        <v>-1.7711490722659757</v>
      </c>
      <c r="BA478">
        <f t="shared" si="398"/>
        <v>2.8557848084369564</v>
      </c>
      <c r="BB478">
        <f t="shared" si="410"/>
        <v>9.1145095800841265</v>
      </c>
      <c r="BC478">
        <f t="shared" si="411"/>
        <v>-1.2216217955857913</v>
      </c>
      <c r="BD478">
        <f t="shared" si="399"/>
        <v>-249.99377312823876</v>
      </c>
      <c r="BF478">
        <f t="shared" si="400"/>
        <v>-54.060393995170635</v>
      </c>
      <c r="BG478">
        <f t="shared" si="401"/>
        <v>-227.3537021149954</v>
      </c>
      <c r="BH478">
        <f t="shared" si="412"/>
        <v>-47.3537021149954</v>
      </c>
      <c r="BI478">
        <f t="shared" si="413"/>
        <v>-47.3537021149954</v>
      </c>
      <c r="BJ478">
        <f t="shared" si="402"/>
        <v>0</v>
      </c>
      <c r="BK478">
        <f t="shared" si="414"/>
        <v>0</v>
      </c>
      <c r="BM478">
        <f t="shared" si="415"/>
        <v>-63.17490357525476</v>
      </c>
      <c r="BN478">
        <f t="shared" si="403"/>
        <v>-157.35992898675667</v>
      </c>
      <c r="BQ478" s="66">
        <f t="shared" si="416"/>
        <v>26.016470380369263</v>
      </c>
    </row>
    <row r="479" spans="1:69" ht="13" x14ac:dyDescent="0.3">
      <c r="A479">
        <f t="shared" si="420"/>
        <v>1325000</v>
      </c>
      <c r="B479">
        <f t="shared" si="404"/>
        <v>1325</v>
      </c>
      <c r="C479">
        <f t="shared" si="373"/>
        <v>1.0831773824589572</v>
      </c>
      <c r="D479">
        <f t="shared" si="374"/>
        <v>0.39444543538563354</v>
      </c>
      <c r="F479">
        <f t="shared" si="375"/>
        <v>4.2405448360223268E-5</v>
      </c>
      <c r="G479">
        <f t="shared" si="376"/>
        <v>2.0302165411387983E-3</v>
      </c>
      <c r="H479">
        <f t="shared" si="377"/>
        <v>-3.1395624334588614</v>
      </c>
      <c r="J479">
        <f t="shared" si="378"/>
        <v>15</v>
      </c>
      <c r="M479">
        <f t="shared" si="379"/>
        <v>8.2896437763848262E-4</v>
      </c>
      <c r="N479">
        <f t="shared" si="380"/>
        <v>-1.5707963250000001</v>
      </c>
      <c r="O479">
        <f t="shared" si="381"/>
        <v>456.28978219336022</v>
      </c>
      <c r="P479">
        <f t="shared" si="382"/>
        <v>1.5686047353117263</v>
      </c>
      <c r="Q479">
        <f t="shared" si="383"/>
        <v>175.25790270281797</v>
      </c>
      <c r="R479">
        <f t="shared" si="384"/>
        <v>1.5650904190393595</v>
      </c>
      <c r="S479">
        <f t="shared" si="385"/>
        <v>0.92019214358080104</v>
      </c>
      <c r="T479">
        <f t="shared" si="386"/>
        <v>-0.40222529482063546</v>
      </c>
      <c r="U479">
        <f t="shared" si="387"/>
        <v>0.14952014142588771</v>
      </c>
      <c r="V479">
        <f t="shared" si="388"/>
        <v>-1.4207133859927048</v>
      </c>
      <c r="X479">
        <f t="shared" si="405"/>
        <v>-44.035101120816051</v>
      </c>
      <c r="Y479">
        <f t="shared" si="389"/>
        <v>-172.18280444996162</v>
      </c>
      <c r="Z479">
        <f t="shared" si="406"/>
        <v>7.8171955500383774</v>
      </c>
      <c r="AC479">
        <v>1</v>
      </c>
      <c r="AD479">
        <f t="shared" si="390"/>
        <v>456.28868639718002</v>
      </c>
      <c r="AE479">
        <f t="shared" si="391"/>
        <v>-0.37987039361783703</v>
      </c>
      <c r="AF479">
        <f t="shared" si="392"/>
        <v>5.7444021605250001E-2</v>
      </c>
      <c r="AG479">
        <f t="shared" si="367"/>
        <v>175.00646160865011</v>
      </c>
      <c r="AH479">
        <f t="shared" si="368"/>
        <v>-1174.7048965453282</v>
      </c>
      <c r="AJ479">
        <f t="shared" si="393"/>
        <v>21000</v>
      </c>
      <c r="AK479">
        <f t="shared" si="394"/>
        <v>8933.7941426947509</v>
      </c>
      <c r="AL479">
        <v>1</v>
      </c>
      <c r="AM479">
        <f t="shared" si="395"/>
        <v>175.25504974119977</v>
      </c>
      <c r="AN479">
        <f t="shared" si="369"/>
        <v>51.657996504929734</v>
      </c>
      <c r="AO479">
        <f t="shared" si="370"/>
        <v>-119.53060430743432</v>
      </c>
      <c r="AQ479">
        <f t="shared" si="396"/>
        <v>1.423994101246835E-3</v>
      </c>
      <c r="AR479">
        <f t="shared" si="397"/>
        <v>-3.7735843683041126</v>
      </c>
      <c r="AT479">
        <f t="shared" si="418"/>
        <v>-4432.5988268047395</v>
      </c>
      <c r="AU479">
        <f t="shared" si="419"/>
        <v>-662.07442072200217</v>
      </c>
      <c r="AV479">
        <f t="shared" si="407"/>
        <v>-2.9933239457981173</v>
      </c>
      <c r="AW479">
        <f t="shared" si="408"/>
        <v>-311.90260314249019</v>
      </c>
      <c r="AX479">
        <f t="shared" si="409"/>
        <v>-1543.7425395396929</v>
      </c>
      <c r="AY479">
        <f t="shared" si="417"/>
        <v>-1.7701556783729491</v>
      </c>
      <c r="BA479">
        <f t="shared" si="398"/>
        <v>2.8456842859220335</v>
      </c>
      <c r="BB479">
        <f t="shared" si="410"/>
        <v>9.08373431350625</v>
      </c>
      <c r="BC479">
        <f t="shared" si="411"/>
        <v>-1.2231682674251683</v>
      </c>
      <c r="BD479">
        <f t="shared" si="399"/>
        <v>-250.08237943787213</v>
      </c>
      <c r="BF479">
        <f t="shared" si="400"/>
        <v>-54.152015655614264</v>
      </c>
      <c r="BG479">
        <f t="shared" si="401"/>
        <v>-227.36599787681297</v>
      </c>
      <c r="BH479">
        <f t="shared" si="412"/>
        <v>-47.365997876812969</v>
      </c>
      <c r="BI479">
        <f t="shared" si="413"/>
        <v>-47.365997876812969</v>
      </c>
      <c r="BJ479">
        <f t="shared" si="402"/>
        <v>0</v>
      </c>
      <c r="BK479">
        <f t="shared" si="414"/>
        <v>0</v>
      </c>
      <c r="BM479">
        <f t="shared" si="415"/>
        <v>-63.235749969120512</v>
      </c>
      <c r="BN479">
        <f t="shared" si="403"/>
        <v>-157.28361843894083</v>
      </c>
      <c r="BQ479" s="66">
        <f t="shared" si="416"/>
        <v>25.985695113791387</v>
      </c>
    </row>
    <row r="480" spans="1:69" ht="13" x14ac:dyDescent="0.3">
      <c r="A480">
        <f t="shared" si="420"/>
        <v>1330000</v>
      </c>
      <c r="B480">
        <f t="shared" si="404"/>
        <v>1330</v>
      </c>
      <c r="C480">
        <f t="shared" si="373"/>
        <v>1.0837820038420496</v>
      </c>
      <c r="D480">
        <f t="shared" si="374"/>
        <v>0.39578350431964526</v>
      </c>
      <c r="F480">
        <f t="shared" si="375"/>
        <v>4.2087196858732757E-5</v>
      </c>
      <c r="G480">
        <f t="shared" si="376"/>
        <v>2.0225835195244418E-3</v>
      </c>
      <c r="H480">
        <f t="shared" si="377"/>
        <v>-3.1395700664804758</v>
      </c>
      <c r="J480">
        <f t="shared" si="378"/>
        <v>15</v>
      </c>
      <c r="M480">
        <f t="shared" si="379"/>
        <v>8.2584797020375154E-4</v>
      </c>
      <c r="N480">
        <f t="shared" si="380"/>
        <v>-1.5707963250000001</v>
      </c>
      <c r="O480">
        <f t="shared" si="381"/>
        <v>458.01162217344756</v>
      </c>
      <c r="P480">
        <f t="shared" si="382"/>
        <v>1.5686129743512192</v>
      </c>
      <c r="Q480">
        <f t="shared" si="383"/>
        <v>175.91923178791609</v>
      </c>
      <c r="R480">
        <f t="shared" si="384"/>
        <v>1.5651118693574331</v>
      </c>
      <c r="S480">
        <f t="shared" si="385"/>
        <v>0.91965946602109916</v>
      </c>
      <c r="T480">
        <f t="shared" si="386"/>
        <v>-0.40358384746562065</v>
      </c>
      <c r="U480">
        <f t="shared" si="387"/>
        <v>0.14897053301865137</v>
      </c>
      <c r="V480">
        <f t="shared" si="388"/>
        <v>-1.4212692196348686</v>
      </c>
      <c r="X480">
        <f t="shared" si="405"/>
        <v>-44.099989264456042</v>
      </c>
      <c r="Y480">
        <f t="shared" si="389"/>
        <v>-172.21456126703126</v>
      </c>
      <c r="Z480">
        <f t="shared" si="406"/>
        <v>7.7854387329687427</v>
      </c>
      <c r="AC480">
        <v>1</v>
      </c>
      <c r="AD480">
        <f t="shared" si="390"/>
        <v>458.010530496792</v>
      </c>
      <c r="AE480">
        <f t="shared" si="391"/>
        <v>-0.38274274931753188</v>
      </c>
      <c r="AF480">
        <f t="shared" si="392"/>
        <v>5.7660791498100002E-2</v>
      </c>
      <c r="AG480">
        <f t="shared" si="367"/>
        <v>173.72224340872643</v>
      </c>
      <c r="AH480">
        <f t="shared" si="368"/>
        <v>-1170.4821821963606</v>
      </c>
      <c r="AJ480">
        <f t="shared" si="393"/>
        <v>21000</v>
      </c>
      <c r="AK480">
        <f t="shared" si="394"/>
        <v>8967.5065734219006</v>
      </c>
      <c r="AL480">
        <v>1</v>
      </c>
      <c r="AM480">
        <f t="shared" si="395"/>
        <v>175.91638955154392</v>
      </c>
      <c r="AN480">
        <f t="shared" si="369"/>
        <v>51.652878204324054</v>
      </c>
      <c r="AO480">
        <f t="shared" si="370"/>
        <v>-119.08127022842156</v>
      </c>
      <c r="AQ480">
        <f t="shared" si="396"/>
        <v>1.4133075056097708E-3</v>
      </c>
      <c r="AR480">
        <f t="shared" si="397"/>
        <v>-3.7593979649219902</v>
      </c>
      <c r="AT480">
        <f t="shared" si="418"/>
        <v>-4400.0628107759467</v>
      </c>
      <c r="AU480">
        <f t="shared" si="419"/>
        <v>-654.7452995857293</v>
      </c>
      <c r="AV480">
        <f t="shared" si="407"/>
        <v>-2.9938729590415289</v>
      </c>
      <c r="AW480">
        <f t="shared" si="408"/>
        <v>-309.16526271388688</v>
      </c>
      <c r="AX480">
        <f t="shared" si="409"/>
        <v>-1538.0127020877144</v>
      </c>
      <c r="AY480">
        <f t="shared" si="417"/>
        <v>-1.7691686819357033</v>
      </c>
      <c r="BA480">
        <f t="shared" si="398"/>
        <v>2.8356521353917561</v>
      </c>
      <c r="BB480">
        <f t="shared" si="410"/>
        <v>9.053059051052303</v>
      </c>
      <c r="BC480">
        <f t="shared" si="411"/>
        <v>-1.2247042771058256</v>
      </c>
      <c r="BD480">
        <f t="shared" si="399"/>
        <v>-250.17038630996564</v>
      </c>
      <c r="BF480">
        <f t="shared" si="400"/>
        <v>-54.243277035639025</v>
      </c>
      <c r="BG480">
        <f t="shared" si="401"/>
        <v>-227.37777638612633</v>
      </c>
      <c r="BH480">
        <f t="shared" si="412"/>
        <v>-47.377776386126328</v>
      </c>
      <c r="BI480">
        <f t="shared" si="413"/>
        <v>-47.377776386126328</v>
      </c>
      <c r="BJ480">
        <f t="shared" si="402"/>
        <v>0</v>
      </c>
      <c r="BK480">
        <f t="shared" si="414"/>
        <v>0</v>
      </c>
      <c r="BM480">
        <f t="shared" si="415"/>
        <v>-63.296336086691326</v>
      </c>
      <c r="BN480">
        <f t="shared" si="403"/>
        <v>-157.20739007616072</v>
      </c>
      <c r="BQ480" s="66">
        <f t="shared" si="416"/>
        <v>25.95501985133744</v>
      </c>
    </row>
    <row r="481" spans="1:69" ht="13" x14ac:dyDescent="0.3">
      <c r="A481">
        <f t="shared" si="420"/>
        <v>1335000</v>
      </c>
      <c r="B481">
        <f t="shared" si="404"/>
        <v>1335</v>
      </c>
      <c r="C481">
        <f t="shared" si="373"/>
        <v>1.0843885634934223</v>
      </c>
      <c r="D481">
        <f t="shared" si="374"/>
        <v>0.39712007872970506</v>
      </c>
      <c r="F481">
        <f t="shared" si="375"/>
        <v>4.1772514707517078E-5</v>
      </c>
      <c r="G481">
        <f t="shared" si="376"/>
        <v>2.0150076811256347E-3</v>
      </c>
      <c r="H481">
        <f t="shared" si="377"/>
        <v>-3.1395776423188746</v>
      </c>
      <c r="J481">
        <f t="shared" si="378"/>
        <v>15</v>
      </c>
      <c r="M481">
        <f t="shared" si="379"/>
        <v>8.2275490664493597E-4</v>
      </c>
      <c r="N481">
        <f t="shared" si="380"/>
        <v>-1.5707963250000001</v>
      </c>
      <c r="O481">
        <f t="shared" si="381"/>
        <v>459.73346218439264</v>
      </c>
      <c r="P481">
        <f t="shared" si="382"/>
        <v>1.5686211516753534</v>
      </c>
      <c r="Q481">
        <f t="shared" si="383"/>
        <v>176.58056095335121</v>
      </c>
      <c r="R481">
        <f t="shared" si="384"/>
        <v>1.5651331590041391</v>
      </c>
      <c r="S481">
        <f t="shared" si="385"/>
        <v>0.91912571136016696</v>
      </c>
      <c r="T481">
        <f t="shared" si="386"/>
        <v>-0.40494082565116934</v>
      </c>
      <c r="U481">
        <f t="shared" si="387"/>
        <v>0.14842490497804953</v>
      </c>
      <c r="V481">
        <f t="shared" si="388"/>
        <v>-1.4218209817899401</v>
      </c>
      <c r="X481">
        <f t="shared" si="405"/>
        <v>-44.16464016900936</v>
      </c>
      <c r="Y481">
        <f t="shared" si="389"/>
        <v>-172.24608969057192</v>
      </c>
      <c r="Z481">
        <f t="shared" si="406"/>
        <v>7.753910309428079</v>
      </c>
      <c r="AC481">
        <v>1</v>
      </c>
      <c r="AD481">
        <f t="shared" si="390"/>
        <v>459.73237459640399</v>
      </c>
      <c r="AE481">
        <f t="shared" si="391"/>
        <v>-0.38562592368276238</v>
      </c>
      <c r="AF481">
        <f t="shared" si="392"/>
        <v>5.7877561390949996E-2</v>
      </c>
      <c r="AG481">
        <f t="shared" si="367"/>
        <v>172.45200374625671</v>
      </c>
      <c r="AH481">
        <f t="shared" si="368"/>
        <v>-1166.2890006652622</v>
      </c>
      <c r="AJ481">
        <f t="shared" si="393"/>
        <v>21000</v>
      </c>
      <c r="AK481">
        <f t="shared" si="394"/>
        <v>9001.2190041490503</v>
      </c>
      <c r="AL481">
        <v>1</v>
      </c>
      <c r="AM481">
        <f t="shared" si="395"/>
        <v>176.57772936188803</v>
      </c>
      <c r="AN481">
        <f t="shared" si="369"/>
        <v>51.647817302492406</v>
      </c>
      <c r="AO481">
        <f t="shared" si="370"/>
        <v>-118.63530162269112</v>
      </c>
      <c r="AQ481">
        <f t="shared" si="396"/>
        <v>1.402740759059496E-3</v>
      </c>
      <c r="AR481">
        <f t="shared" si="397"/>
        <v>-3.7453178266888543</v>
      </c>
      <c r="AT481">
        <f t="shared" si="418"/>
        <v>-4367.8810798080995</v>
      </c>
      <c r="AU481">
        <f t="shared" si="419"/>
        <v>-647.52356499714426</v>
      </c>
      <c r="AV481">
        <f t="shared" si="407"/>
        <v>-2.9944179518866862</v>
      </c>
      <c r="AW481">
        <f t="shared" si="408"/>
        <v>-306.45882568835509</v>
      </c>
      <c r="AX481">
        <f t="shared" si="409"/>
        <v>-1532.3249921856902</v>
      </c>
      <c r="AY481">
        <f t="shared" si="417"/>
        <v>-1.7681880132236711</v>
      </c>
      <c r="BA481">
        <f t="shared" si="398"/>
        <v>2.8256876971633234</v>
      </c>
      <c r="BB481">
        <f t="shared" si="410"/>
        <v>9.0224832146983953</v>
      </c>
      <c r="BC481">
        <f t="shared" si="411"/>
        <v>-1.2262299386630151</v>
      </c>
      <c r="BD481">
        <f t="shared" si="399"/>
        <v>-250.25780027825783</v>
      </c>
      <c r="BF481">
        <f t="shared" si="400"/>
        <v>-54.334180619250255</v>
      </c>
      <c r="BG481">
        <f t="shared" si="401"/>
        <v>-227.38904434519642</v>
      </c>
      <c r="BH481">
        <f t="shared" si="412"/>
        <v>-47.389044345196425</v>
      </c>
      <c r="BI481">
        <f t="shared" si="413"/>
        <v>-47.389044345196425</v>
      </c>
      <c r="BJ481">
        <f t="shared" si="402"/>
        <v>0</v>
      </c>
      <c r="BK481">
        <f t="shared" si="414"/>
        <v>0</v>
      </c>
      <c r="BM481">
        <f t="shared" si="415"/>
        <v>-63.356663833948652</v>
      </c>
      <c r="BN481">
        <f t="shared" si="403"/>
        <v>-157.13124406693862</v>
      </c>
      <c r="BQ481" s="66">
        <f t="shared" si="416"/>
        <v>25.924444014983532</v>
      </c>
    </row>
    <row r="482" spans="1:69" ht="13" x14ac:dyDescent="0.3">
      <c r="A482">
        <f t="shared" si="420"/>
        <v>1340000</v>
      </c>
      <c r="B482">
        <f t="shared" si="404"/>
        <v>1340</v>
      </c>
      <c r="C482">
        <f t="shared" si="373"/>
        <v>1.0849970581623514</v>
      </c>
      <c r="D482">
        <f t="shared" si="374"/>
        <v>0.39845515635093537</v>
      </c>
      <c r="F482">
        <f t="shared" si="375"/>
        <v>4.1461348728665473E-5</v>
      </c>
      <c r="G482">
        <f t="shared" si="376"/>
        <v>2.0074883857275046E-3</v>
      </c>
      <c r="H482">
        <f t="shared" si="377"/>
        <v>-3.1395851616142729</v>
      </c>
      <c r="J482">
        <f t="shared" si="378"/>
        <v>15</v>
      </c>
      <c r="M482">
        <f t="shared" si="379"/>
        <v>8.1968492564999209E-4</v>
      </c>
      <c r="N482">
        <f t="shared" si="380"/>
        <v>-1.5707963250000001</v>
      </c>
      <c r="O482">
        <f t="shared" si="381"/>
        <v>461.45530222585001</v>
      </c>
      <c r="P482">
        <f t="shared" si="382"/>
        <v>1.5686292679749685</v>
      </c>
      <c r="Q482">
        <f t="shared" si="383"/>
        <v>177.2418901982241</v>
      </c>
      <c r="R482">
        <f t="shared" si="384"/>
        <v>1.5651542897779611</v>
      </c>
      <c r="S482">
        <f t="shared" si="385"/>
        <v>0.9185908873642562</v>
      </c>
      <c r="T482">
        <f t="shared" si="386"/>
        <v>-0.40629622712395758</v>
      </c>
      <c r="U482">
        <f t="shared" si="387"/>
        <v>0.14788321471879659</v>
      </c>
      <c r="V482">
        <f t="shared" si="388"/>
        <v>-1.4223687166979018</v>
      </c>
      <c r="X482">
        <f t="shared" si="405"/>
        <v>-44.229055549747407</v>
      </c>
      <c r="Y482">
        <f t="shared" si="389"/>
        <v>-172.27739215006375</v>
      </c>
      <c r="Z482">
        <f t="shared" si="406"/>
        <v>7.7226078499362529</v>
      </c>
      <c r="AC482">
        <v>1</v>
      </c>
      <c r="AD482">
        <f t="shared" si="390"/>
        <v>461.45421869601608</v>
      </c>
      <c r="AE482">
        <f t="shared" si="391"/>
        <v>-0.38851991671352837</v>
      </c>
      <c r="AF482">
        <f t="shared" si="392"/>
        <v>5.8094331283799996E-2</v>
      </c>
      <c r="AG482">
        <f t="shared" si="367"/>
        <v>171.19554201836243</v>
      </c>
      <c r="AH482">
        <f t="shared" si="368"/>
        <v>-1162.1250513563955</v>
      </c>
      <c r="AJ482">
        <f t="shared" si="393"/>
        <v>21000</v>
      </c>
      <c r="AK482">
        <f t="shared" si="394"/>
        <v>9034.9314348762</v>
      </c>
      <c r="AL482">
        <v>1</v>
      </c>
      <c r="AM482">
        <f t="shared" si="395"/>
        <v>177.23906917223221</v>
      </c>
      <c r="AN482">
        <f t="shared" si="369"/>
        <v>51.642812944382499</v>
      </c>
      <c r="AO482">
        <f t="shared" si="370"/>
        <v>-118.19266082185884</v>
      </c>
      <c r="AQ482">
        <f t="shared" si="396"/>
        <v>1.3922920761455676E-3</v>
      </c>
      <c r="AR482">
        <f t="shared" si="397"/>
        <v>-3.7313427640701207</v>
      </c>
      <c r="AT482">
        <f t="shared" si="418"/>
        <v>-4336.0485471266802</v>
      </c>
      <c r="AU482">
        <f t="shared" si="419"/>
        <v>-640.40726445177279</v>
      </c>
      <c r="AV482">
        <f t="shared" si="407"/>
        <v>-2.994958968001685</v>
      </c>
      <c r="AW482">
        <f t="shared" si="408"/>
        <v>-303.78282799796324</v>
      </c>
      <c r="AX482">
        <f t="shared" si="409"/>
        <v>-1526.6789494644036</v>
      </c>
      <c r="AY482">
        <f t="shared" si="417"/>
        <v>-1.7672136035052317</v>
      </c>
      <c r="BA482">
        <f t="shared" si="398"/>
        <v>2.8157903194667848</v>
      </c>
      <c r="BB482">
        <f t="shared" si="410"/>
        <v>8.9920062303602677</v>
      </c>
      <c r="BC482">
        <f t="shared" si="411"/>
        <v>-1.2277453644964533</v>
      </c>
      <c r="BD482">
        <f t="shared" si="399"/>
        <v>-250.34462778277813</v>
      </c>
      <c r="BF482">
        <f t="shared" si="400"/>
        <v>-54.424728865681999</v>
      </c>
      <c r="BG482">
        <f t="shared" si="401"/>
        <v>-227.39980836050219</v>
      </c>
      <c r="BH482">
        <f t="shared" si="412"/>
        <v>-47.399808360502192</v>
      </c>
      <c r="BI482">
        <f t="shared" si="413"/>
        <v>-47.399808360502192</v>
      </c>
      <c r="BJ482">
        <f t="shared" si="402"/>
        <v>0</v>
      </c>
      <c r="BK482">
        <f t="shared" si="414"/>
        <v>0</v>
      </c>
      <c r="BM482">
        <f t="shared" si="415"/>
        <v>-63.416735096042267</v>
      </c>
      <c r="BN482">
        <f t="shared" si="403"/>
        <v>-157.05518057772406</v>
      </c>
      <c r="BQ482" s="66">
        <f t="shared" si="416"/>
        <v>25.893967030645406</v>
      </c>
    </row>
    <row r="483" spans="1:69" ht="13" x14ac:dyDescent="0.3">
      <c r="A483">
        <f t="shared" si="420"/>
        <v>1345000</v>
      </c>
      <c r="B483">
        <f t="shared" si="404"/>
        <v>1345</v>
      </c>
      <c r="C483">
        <f t="shared" si="373"/>
        <v>1.0856074845950423</v>
      </c>
      <c r="D483">
        <f t="shared" si="374"/>
        <v>0.39978873494487155</v>
      </c>
      <c r="F483">
        <f t="shared" si="375"/>
        <v>4.1153646730941889E-5</v>
      </c>
      <c r="G483">
        <f t="shared" si="376"/>
        <v>2.0000250026370276E-3</v>
      </c>
      <c r="H483">
        <f t="shared" si="377"/>
        <v>-3.1395926249973631</v>
      </c>
      <c r="J483">
        <f t="shared" si="378"/>
        <v>15</v>
      </c>
      <c r="M483">
        <f t="shared" si="379"/>
        <v>8.1663776979255722E-4</v>
      </c>
      <c r="N483">
        <f t="shared" si="380"/>
        <v>-1.5707963250000001</v>
      </c>
      <c r="O483">
        <f t="shared" si="381"/>
        <v>463.17714229747946</v>
      </c>
      <c r="P483">
        <f t="shared" si="382"/>
        <v>1.568637323930631</v>
      </c>
      <c r="Q483">
        <f t="shared" si="383"/>
        <v>177.90321952164874</v>
      </c>
      <c r="R483">
        <f t="shared" si="384"/>
        <v>1.5651752634506406</v>
      </c>
      <c r="S483">
        <f t="shared" si="385"/>
        <v>0.91805500178899124</v>
      </c>
      <c r="T483">
        <f t="shared" si="386"/>
        <v>-0.40765004965906743</v>
      </c>
      <c r="U483">
        <f t="shared" si="387"/>
        <v>0.14734542025360819</v>
      </c>
      <c r="V483">
        <f t="shared" si="388"/>
        <v>-1.4229124679649454</v>
      </c>
      <c r="X483">
        <f t="shared" si="405"/>
        <v>-44.293237103564891</v>
      </c>
      <c r="Y483">
        <f t="shared" si="389"/>
        <v>-172.30847104036286</v>
      </c>
      <c r="Z483">
        <f t="shared" si="406"/>
        <v>7.6915289596371395</v>
      </c>
      <c r="AC483">
        <v>1</v>
      </c>
      <c r="AD483">
        <f t="shared" si="390"/>
        <v>463.17606279562807</v>
      </c>
      <c r="AE483">
        <f t="shared" si="391"/>
        <v>-0.39142472840982995</v>
      </c>
      <c r="AF483">
        <f t="shared" si="392"/>
        <v>5.8311101176649997E-2</v>
      </c>
      <c r="AG483">
        <f t="shared" si="367"/>
        <v>169.95266117987276</v>
      </c>
      <c r="AH483">
        <f t="shared" si="368"/>
        <v>-1157.990037613946</v>
      </c>
      <c r="AJ483">
        <f t="shared" si="393"/>
        <v>21000</v>
      </c>
      <c r="AK483">
        <f t="shared" si="394"/>
        <v>9068.6438656033515</v>
      </c>
      <c r="AL483">
        <v>1</v>
      </c>
      <c r="AM483">
        <f t="shared" si="395"/>
        <v>177.90040898257635</v>
      </c>
      <c r="AN483">
        <f t="shared" si="369"/>
        <v>51.637864290804679</v>
      </c>
      <c r="AO483">
        <f t="shared" si="370"/>
        <v>-117.7533107175762</v>
      </c>
      <c r="AQ483">
        <f t="shared" si="396"/>
        <v>1.3819597045425431E-3</v>
      </c>
      <c r="AR483">
        <f t="shared" si="397"/>
        <v>-3.7174716052194405</v>
      </c>
      <c r="AT483">
        <f t="shared" si="418"/>
        <v>-4304.5602162274063</v>
      </c>
      <c r="AU483">
        <f t="shared" si="419"/>
        <v>-633.3944877379015</v>
      </c>
      <c r="AV483">
        <f t="shared" si="407"/>
        <v>-2.9954960504293364</v>
      </c>
      <c r="AW483">
        <f t="shared" si="408"/>
        <v>-301.13681426357914</v>
      </c>
      <c r="AX483">
        <f t="shared" si="409"/>
        <v>-1521.0741202049883</v>
      </c>
      <c r="AY483">
        <f t="shared" si="417"/>
        <v>-1.7662453850301236</v>
      </c>
      <c r="BA483">
        <f t="shared" si="398"/>
        <v>2.8059593583387459</v>
      </c>
      <c r="BB483">
        <f t="shared" si="410"/>
        <v>8.9616275278807329</v>
      </c>
      <c r="BC483">
        <f t="shared" si="411"/>
        <v>-1.2292506653992128</v>
      </c>
      <c r="BD483">
        <f t="shared" si="399"/>
        <v>-250.43087517150204</v>
      </c>
      <c r="BF483">
        <f t="shared" si="400"/>
        <v>-54.5149242097187</v>
      </c>
      <c r="BG483">
        <f t="shared" si="401"/>
        <v>-227.4100749444097</v>
      </c>
      <c r="BH483">
        <f t="shared" si="412"/>
        <v>-47.4100749444097</v>
      </c>
      <c r="BI483">
        <f t="shared" si="413"/>
        <v>-47.4100749444097</v>
      </c>
      <c r="BJ483">
        <f t="shared" si="402"/>
        <v>0</v>
      </c>
      <c r="BK483">
        <f t="shared" si="414"/>
        <v>0</v>
      </c>
      <c r="BM483">
        <f t="shared" si="415"/>
        <v>-63.476551737599429</v>
      </c>
      <c r="BN483">
        <f t="shared" si="403"/>
        <v>-156.97919977290769</v>
      </c>
      <c r="BQ483" s="66">
        <f t="shared" si="416"/>
        <v>25.863588328165868</v>
      </c>
    </row>
    <row r="484" spans="1:69" ht="13" x14ac:dyDescent="0.3">
      <c r="A484">
        <f t="shared" si="420"/>
        <v>1350000</v>
      </c>
      <c r="B484">
        <f t="shared" si="404"/>
        <v>1350</v>
      </c>
      <c r="C484">
        <f t="shared" si="373"/>
        <v>1.0862198395346969</v>
      </c>
      <c r="D484">
        <f t="shared" si="374"/>
        <v>0.40112081229940028</v>
      </c>
      <c r="F484">
        <f t="shared" si="375"/>
        <v>4.0849357487897637E-5</v>
      </c>
      <c r="G484">
        <f t="shared" si="376"/>
        <v>1.9926169105066592E-3</v>
      </c>
      <c r="H484">
        <f t="shared" si="377"/>
        <v>-3.1396000330894935</v>
      </c>
      <c r="J484">
        <f t="shared" si="378"/>
        <v>15</v>
      </c>
      <c r="M484">
        <f t="shared" si="379"/>
        <v>8.1361318545999223E-4</v>
      </c>
      <c r="N484">
        <f t="shared" si="380"/>
        <v>-1.5707963250000001</v>
      </c>
      <c r="O484">
        <f t="shared" si="381"/>
        <v>464.8989823989458</v>
      </c>
      <c r="P484">
        <f t="shared" si="382"/>
        <v>1.5686453202128248</v>
      </c>
      <c r="Q484">
        <f t="shared" si="383"/>
        <v>178.56454892275246</v>
      </c>
      <c r="R484">
        <f t="shared" si="384"/>
        <v>1.5651960817676724</v>
      </c>
      <c r="S484">
        <f t="shared" si="385"/>
        <v>0.91751806237915612</v>
      </c>
      <c r="T484">
        <f t="shared" si="386"/>
        <v>-0.40900229105991304</v>
      </c>
      <c r="U484">
        <f t="shared" si="387"/>
        <v>0.14681148018287607</v>
      </c>
      <c r="V484">
        <f t="shared" si="388"/>
        <v>-1.4234522785746959</v>
      </c>
      <c r="X484">
        <f t="shared" si="405"/>
        <v>-44.357186509238304</v>
      </c>
      <c r="Y484">
        <f t="shared" si="389"/>
        <v>-172.33932872231443</v>
      </c>
      <c r="Z484">
        <f t="shared" si="406"/>
        <v>7.6606712776855659</v>
      </c>
      <c r="AC484">
        <v>1</v>
      </c>
      <c r="AD484">
        <f t="shared" si="390"/>
        <v>464.89790689524006</v>
      </c>
      <c r="AE484">
        <f t="shared" si="391"/>
        <v>-0.39434035877166712</v>
      </c>
      <c r="AF484">
        <f t="shared" si="392"/>
        <v>5.8527871069500005E-2</v>
      </c>
      <c r="AG484">
        <f t="shared" si="367"/>
        <v>168.7231676684859</v>
      </c>
      <c r="AH484">
        <f t="shared" si="368"/>
        <v>-1153.8836666600764</v>
      </c>
      <c r="AJ484">
        <f t="shared" si="393"/>
        <v>21000</v>
      </c>
      <c r="AK484">
        <f t="shared" si="394"/>
        <v>9102.3562963304994</v>
      </c>
      <c r="AL484">
        <v>1</v>
      </c>
      <c r="AM484">
        <f t="shared" si="395"/>
        <v>178.5617487929205</v>
      </c>
      <c r="AN484">
        <f t="shared" si="369"/>
        <v>51.632970518079944</v>
      </c>
      <c r="AO484">
        <f t="shared" si="370"/>
        <v>-117.31721475116102</v>
      </c>
      <c r="AQ484">
        <f t="shared" si="396"/>
        <v>1.3717419243152367E-3</v>
      </c>
      <c r="AR484">
        <f t="shared" si="397"/>
        <v>-3.7037031956511393</v>
      </c>
      <c r="AT484">
        <f t="shared" si="418"/>
        <v>-4273.4111789758845</v>
      </c>
      <c r="AU484">
        <f t="shared" si="419"/>
        <v>-626.48336587549443</v>
      </c>
      <c r="AV484">
        <f t="shared" si="407"/>
        <v>-2.996029241598229</v>
      </c>
      <c r="AW484">
        <f t="shared" si="408"/>
        <v>-298.52033760017912</v>
      </c>
      <c r="AX484">
        <f t="shared" si="409"/>
        <v>-1515.5100572198048</v>
      </c>
      <c r="AY484">
        <f t="shared" si="417"/>
        <v>-1.7652832910122183</v>
      </c>
      <c r="BA484">
        <f t="shared" si="398"/>
        <v>2.7961941775174348</v>
      </c>
      <c r="BB484">
        <f t="shared" si="410"/>
        <v>8.9313465410162998</v>
      </c>
      <c r="BC484">
        <f t="shared" si="411"/>
        <v>-1.2307459505860108</v>
      </c>
      <c r="BD484">
        <f t="shared" si="399"/>
        <v>-250.51654870197189</v>
      </c>
      <c r="BF484">
        <f t="shared" si="400"/>
        <v>-54.604769062011947</v>
      </c>
      <c r="BG484">
        <f t="shared" si="401"/>
        <v>-227.41985051680672</v>
      </c>
      <c r="BH484">
        <f t="shared" si="412"/>
        <v>-47.419850516806719</v>
      </c>
      <c r="BI484">
        <f t="shared" si="413"/>
        <v>-47.419850516806719</v>
      </c>
      <c r="BJ484">
        <f t="shared" si="402"/>
        <v>0</v>
      </c>
      <c r="BK484">
        <f t="shared" si="414"/>
        <v>0</v>
      </c>
      <c r="BM484">
        <f t="shared" si="415"/>
        <v>-63.536115603028243</v>
      </c>
      <c r="BN484">
        <f t="shared" si="403"/>
        <v>-156.9033018148348</v>
      </c>
      <c r="BQ484" s="66">
        <f t="shared" si="416"/>
        <v>25.833307341301438</v>
      </c>
    </row>
    <row r="485" spans="1:69" ht="13" x14ac:dyDescent="0.3">
      <c r="A485">
        <f t="shared" si="420"/>
        <v>1355000</v>
      </c>
      <c r="B485">
        <f t="shared" si="404"/>
        <v>1355</v>
      </c>
      <c r="C485">
        <f t="shared" si="373"/>
        <v>1.086834119721579</v>
      </c>
      <c r="D485">
        <f t="shared" si="374"/>
        <v>0.40245138622869647</v>
      </c>
      <c r="F485">
        <f t="shared" si="375"/>
        <v>4.0548430716548235E-5</v>
      </c>
      <c r="G485">
        <f t="shared" si="376"/>
        <v>1.9852634971618656E-3</v>
      </c>
      <c r="H485">
        <f t="shared" si="377"/>
        <v>-3.1396073865028384</v>
      </c>
      <c r="J485">
        <f t="shared" si="378"/>
        <v>15</v>
      </c>
      <c r="M485">
        <f t="shared" si="379"/>
        <v>8.1061092278301799E-4</v>
      </c>
      <c r="N485">
        <f t="shared" si="380"/>
        <v>-1.5707963250000001</v>
      </c>
      <c r="O485">
        <f t="shared" si="381"/>
        <v>466.62082252991854</v>
      </c>
      <c r="P485">
        <f t="shared" si="382"/>
        <v>1.5686532574821379</v>
      </c>
      <c r="Q485">
        <f t="shared" si="383"/>
        <v>179.22587840067533</v>
      </c>
      <c r="R485">
        <f t="shared" si="384"/>
        <v>1.5652167464487887</v>
      </c>
      <c r="S485">
        <f t="shared" si="385"/>
        <v>0.91698007686848182</v>
      </c>
      <c r="T485">
        <f t="shared" si="386"/>
        <v>-0.41035294915816573</v>
      </c>
      <c r="U485">
        <f t="shared" si="387"/>
        <v>0.14628135368455314</v>
      </c>
      <c r="V485">
        <f t="shared" si="388"/>
        <v>-1.4239881908991949</v>
      </c>
      <c r="X485">
        <f t="shared" si="405"/>
        <v>-44.420905427680097</v>
      </c>
      <c r="Y485">
        <f t="shared" si="389"/>
        <v>-172.36996752335273</v>
      </c>
      <c r="Z485">
        <f t="shared" si="406"/>
        <v>7.6300324766472727</v>
      </c>
      <c r="AC485">
        <v>1</v>
      </c>
      <c r="AD485">
        <f t="shared" si="390"/>
        <v>466.6197509948521</v>
      </c>
      <c r="AE485">
        <f t="shared" si="391"/>
        <v>-0.39726680779903983</v>
      </c>
      <c r="AF485">
        <f t="shared" si="392"/>
        <v>5.8744640962350006E-2</v>
      </c>
      <c r="AG485">
        <f t="shared" si="367"/>
        <v>167.50687133174441</v>
      </c>
      <c r="AH485">
        <f t="shared" si="368"/>
        <v>-1149.8056495341723</v>
      </c>
      <c r="AJ485">
        <f t="shared" si="393"/>
        <v>21000</v>
      </c>
      <c r="AK485">
        <f t="shared" si="394"/>
        <v>9136.0687270576509</v>
      </c>
      <c r="AL485">
        <v>1</v>
      </c>
      <c r="AM485">
        <f t="shared" si="395"/>
        <v>179.22308860326464</v>
      </c>
      <c r="AN485">
        <f t="shared" si="369"/>
        <v>51.628130817697347</v>
      </c>
      <c r="AO485">
        <f t="shared" si="370"/>
        <v>-116.88433690345809</v>
      </c>
      <c r="AQ485">
        <f t="shared" si="396"/>
        <v>1.3616370472029184E-3</v>
      </c>
      <c r="AR485">
        <f t="shared" si="397"/>
        <v>-3.6900363979199087</v>
      </c>
      <c r="AT485">
        <f t="shared" si="418"/>
        <v>-4242.5966137533715</v>
      </c>
      <c r="AU485">
        <f t="shared" si="419"/>
        <v>-619.67207008531273</v>
      </c>
      <c r="AV485">
        <f t="shared" si="407"/>
        <v>-2.9965585833335613</v>
      </c>
      <c r="AW485">
        <f t="shared" si="408"/>
        <v>-295.93295942723466</v>
      </c>
      <c r="AX485">
        <f t="shared" si="409"/>
        <v>-1509.9863197358438</v>
      </c>
      <c r="AY485">
        <f t="shared" si="417"/>
        <v>-1.7643272556126528</v>
      </c>
      <c r="BA485">
        <f t="shared" si="398"/>
        <v>2.7864941483391514</v>
      </c>
      <c r="BB485">
        <f t="shared" si="410"/>
        <v>8.9011627074231718</v>
      </c>
      <c r="BC485">
        <f t="shared" si="411"/>
        <v>-1.2322313277209085</v>
      </c>
      <c r="BD485">
        <f t="shared" si="399"/>
        <v>-250.60165454288401</v>
      </c>
      <c r="BF485">
        <f t="shared" si="400"/>
        <v>-54.694265809392292</v>
      </c>
      <c r="BG485">
        <f t="shared" si="401"/>
        <v>-227.42914140670308</v>
      </c>
      <c r="BH485">
        <f t="shared" si="412"/>
        <v>-47.429141406703081</v>
      </c>
      <c r="BI485">
        <f t="shared" si="413"/>
        <v>-47.429141406703081</v>
      </c>
      <c r="BJ485">
        <f t="shared" si="402"/>
        <v>0</v>
      </c>
      <c r="BK485">
        <f t="shared" si="414"/>
        <v>0</v>
      </c>
      <c r="BM485">
        <f t="shared" si="415"/>
        <v>-63.595428516815467</v>
      </c>
      <c r="BN485">
        <f t="shared" si="403"/>
        <v>-156.82748686381908</v>
      </c>
      <c r="BQ485" s="66">
        <f t="shared" si="416"/>
        <v>25.803123507708307</v>
      </c>
    </row>
    <row r="486" spans="1:69" ht="13" x14ac:dyDescent="0.3">
      <c r="A486">
        <f t="shared" si="420"/>
        <v>1360000</v>
      </c>
      <c r="B486">
        <f t="shared" si="404"/>
        <v>1360</v>
      </c>
      <c r="C486">
        <f t="shared" si="373"/>
        <v>1.0874503218930809</v>
      </c>
      <c r="D486">
        <f t="shared" si="374"/>
        <v>0.40378045457315986</v>
      </c>
      <c r="F486">
        <f t="shared" si="375"/>
        <v>4.0250817056598298E-5</v>
      </c>
      <c r="G486">
        <f t="shared" si="376"/>
        <v>1.9779641594324603E-3</v>
      </c>
      <c r="H486">
        <f t="shared" si="377"/>
        <v>-3.1396146858405678</v>
      </c>
      <c r="J486">
        <f t="shared" si="378"/>
        <v>15</v>
      </c>
      <c r="M486">
        <f t="shared" si="379"/>
        <v>8.0763073556690398E-4</v>
      </c>
      <c r="N486">
        <f t="shared" si="380"/>
        <v>-1.5707963250000001</v>
      </c>
      <c r="O486">
        <f t="shared" si="381"/>
        <v>468.34266269007236</v>
      </c>
      <c r="P486">
        <f t="shared" si="382"/>
        <v>1.5686611363894438</v>
      </c>
      <c r="Q486">
        <f t="shared" si="383"/>
        <v>179.88720795457013</v>
      </c>
      <c r="R486">
        <f t="shared" si="384"/>
        <v>1.5652372591884336</v>
      </c>
      <c r="S486">
        <f t="shared" si="385"/>
        <v>0.9164410529794369</v>
      </c>
      <c r="T486">
        <f t="shared" si="386"/>
        <v>-0.41170202181367865</v>
      </c>
      <c r="U486">
        <f t="shared" si="387"/>
        <v>0.1457550005042437</v>
      </c>
      <c r="V486">
        <f t="shared" si="388"/>
        <v>-1.4245202467096578</v>
      </c>
      <c r="X486">
        <f t="shared" si="405"/>
        <v>-44.48439550218832</v>
      </c>
      <c r="Y486">
        <f t="shared" si="389"/>
        <v>-172.40038973808907</v>
      </c>
      <c r="Z486">
        <f t="shared" si="406"/>
        <v>7.5996102619109251</v>
      </c>
      <c r="AC486">
        <v>1</v>
      </c>
      <c r="AD486">
        <f t="shared" si="390"/>
        <v>468.34159509446408</v>
      </c>
      <c r="AE486">
        <f t="shared" si="391"/>
        <v>-0.4002040754919482</v>
      </c>
      <c r="AF486">
        <f t="shared" si="392"/>
        <v>5.8961410855200007E-2</v>
      </c>
      <c r="AG486">
        <f t="shared" si="367"/>
        <v>166.30358535577577</v>
      </c>
      <c r="AH486">
        <f t="shared" si="368"/>
        <v>-1145.7557010331714</v>
      </c>
      <c r="AJ486">
        <f t="shared" si="393"/>
        <v>21000</v>
      </c>
      <c r="AK486">
        <f t="shared" si="394"/>
        <v>9169.7811577848006</v>
      </c>
      <c r="AL486">
        <v>1</v>
      </c>
      <c r="AM486">
        <f t="shared" si="395"/>
        <v>179.88442841360882</v>
      </c>
      <c r="AN486">
        <f t="shared" si="369"/>
        <v>51.623344395979927</v>
      </c>
      <c r="AO486">
        <f t="shared" si="370"/>
        <v>-116.45464168492313</v>
      </c>
      <c r="AQ486">
        <f t="shared" si="396"/>
        <v>1.3516434159218998E-3</v>
      </c>
      <c r="AR486">
        <f t="shared" si="397"/>
        <v>-3.6764700913075679</v>
      </c>
      <c r="AT486">
        <f t="shared" si="418"/>
        <v>-4212.1117836473995</v>
      </c>
      <c r="AU486">
        <f t="shared" si="419"/>
        <v>-612.95881078728132</v>
      </c>
      <c r="AV486">
        <f t="shared" si="407"/>
        <v>-2.997084116867748</v>
      </c>
      <c r="AW486">
        <f t="shared" si="408"/>
        <v>-293.37424928402203</v>
      </c>
      <c r="AX486">
        <f t="shared" si="409"/>
        <v>-1504.5024732806173</v>
      </c>
      <c r="AY486">
        <f t="shared" si="417"/>
        <v>-1.7633772139233077</v>
      </c>
      <c r="BA486">
        <f t="shared" si="398"/>
        <v>2.7768586496360506</v>
      </c>
      <c r="BB486">
        <f t="shared" si="410"/>
        <v>8.8710754686424611</v>
      </c>
      <c r="BC486">
        <f t="shared" si="411"/>
        <v>-1.2337069029444403</v>
      </c>
      <c r="BD486">
        <f t="shared" si="399"/>
        <v>-250.68619877564305</v>
      </c>
      <c r="BF486">
        <f t="shared" si="400"/>
        <v>-54.783416815176253</v>
      </c>
      <c r="BG486">
        <f t="shared" si="401"/>
        <v>-227.43795385379852</v>
      </c>
      <c r="BH486">
        <f t="shared" si="412"/>
        <v>-47.437953853798518</v>
      </c>
      <c r="BI486">
        <f t="shared" si="413"/>
        <v>-47.437953853798518</v>
      </c>
      <c r="BJ486">
        <f t="shared" si="402"/>
        <v>0</v>
      </c>
      <c r="BK486">
        <f t="shared" si="414"/>
        <v>0</v>
      </c>
      <c r="BM486">
        <f t="shared" si="415"/>
        <v>-63.654492283818712</v>
      </c>
      <c r="BN486">
        <f t="shared" si="403"/>
        <v>-156.75175507815547</v>
      </c>
      <c r="BQ486" s="66">
        <f t="shared" si="416"/>
        <v>25.773036268927598</v>
      </c>
    </row>
    <row r="487" spans="1:69" ht="13" x14ac:dyDescent="0.3">
      <c r="A487">
        <f t="shared" si="420"/>
        <v>1365000</v>
      </c>
      <c r="B487">
        <f t="shared" si="404"/>
        <v>1365</v>
      </c>
      <c r="C487">
        <f t="shared" si="373"/>
        <v>1.0880684427837894</v>
      </c>
      <c r="D487">
        <f t="shared" si="374"/>
        <v>0.40510801519935052</v>
      </c>
      <c r="F487">
        <f t="shared" si="375"/>
        <v>3.9956468050197953E-5</v>
      </c>
      <c r="G487">
        <f t="shared" si="376"/>
        <v>1.9707183029876551E-3</v>
      </c>
      <c r="H487">
        <f t="shared" si="377"/>
        <v>-3.1396219316970124</v>
      </c>
      <c r="J487">
        <f t="shared" si="378"/>
        <v>15</v>
      </c>
      <c r="M487">
        <f t="shared" si="379"/>
        <v>8.046723812241681E-4</v>
      </c>
      <c r="N487">
        <f t="shared" si="380"/>
        <v>-1.5707963250000001</v>
      </c>
      <c r="O487">
        <f t="shared" si="381"/>
        <v>470.0645028790866</v>
      </c>
      <c r="P487">
        <f t="shared" si="382"/>
        <v>1.5686689575760793</v>
      </c>
      <c r="Q487">
        <f t="shared" si="383"/>
        <v>180.54853758360198</v>
      </c>
      <c r="R487">
        <f t="shared" si="384"/>
        <v>1.5652576216562244</v>
      </c>
      <c r="S487">
        <f t="shared" si="385"/>
        <v>0.91590099842301975</v>
      </c>
      <c r="T487">
        <f t="shared" si="386"/>
        <v>-0.41304950691441011</v>
      </c>
      <c r="U487">
        <f t="shared" si="387"/>
        <v>0.14523238094549451</v>
      </c>
      <c r="V487">
        <f t="shared" si="388"/>
        <v>-1.4250484871870048</v>
      </c>
      <c r="X487">
        <f t="shared" si="405"/>
        <v>-44.547658358692026</v>
      </c>
      <c r="Y487">
        <f t="shared" si="389"/>
        <v>-172.43059762888711</v>
      </c>
      <c r="Z487">
        <f t="shared" si="406"/>
        <v>7.5694023711128864</v>
      </c>
      <c r="AC487">
        <v>1</v>
      </c>
      <c r="AD487">
        <f t="shared" si="390"/>
        <v>470.06343919407607</v>
      </c>
      <c r="AE487">
        <f t="shared" si="391"/>
        <v>-0.40315216185039199</v>
      </c>
      <c r="AF487">
        <f t="shared" si="392"/>
        <v>5.9178180748050001E-2</v>
      </c>
      <c r="AG487">
        <f t="shared" si="367"/>
        <v>165.11312619575045</v>
      </c>
      <c r="AH487">
        <f t="shared" si="368"/>
        <v>-1141.7335396529531</v>
      </c>
      <c r="AJ487">
        <f t="shared" si="393"/>
        <v>21000</v>
      </c>
      <c r="AK487">
        <f t="shared" si="394"/>
        <v>9203.4935885119503</v>
      </c>
      <c r="AL487">
        <v>1</v>
      </c>
      <c r="AM487">
        <f t="shared" si="395"/>
        <v>180.54576822395296</v>
      </c>
      <c r="AN487">
        <f t="shared" si="369"/>
        <v>51.618610473759396</v>
      </c>
      <c r="AO487">
        <f t="shared" si="370"/>
        <v>-116.02809412592492</v>
      </c>
      <c r="AQ487">
        <f t="shared" si="396"/>
        <v>1.3417594034859715E-3</v>
      </c>
      <c r="AR487">
        <f t="shared" si="397"/>
        <v>-3.663003171516702</v>
      </c>
      <c r="AT487">
        <f t="shared" si="418"/>
        <v>-4181.9520346860454</v>
      </c>
      <c r="AU487">
        <f t="shared" si="419"/>
        <v>-606.34183662717601</v>
      </c>
      <c r="AV487">
        <f t="shared" si="407"/>
        <v>-2.9976058828508014</v>
      </c>
      <c r="AW487">
        <f t="shared" si="408"/>
        <v>-290.8437846497103</v>
      </c>
      <c r="AX487">
        <f t="shared" si="409"/>
        <v>-1499.0580895704652</v>
      </c>
      <c r="AY487">
        <f t="shared" si="417"/>
        <v>-1.7624331019506259</v>
      </c>
      <c r="BA487">
        <f t="shared" si="398"/>
        <v>2.7672870676352876</v>
      </c>
      <c r="BB487">
        <f t="shared" si="410"/>
        <v>8.8410842700848544</v>
      </c>
      <c r="BC487">
        <f t="shared" si="411"/>
        <v>-1.2351727809001756</v>
      </c>
      <c r="BD487">
        <f t="shared" si="399"/>
        <v>-250.77018739588391</v>
      </c>
      <c r="BF487">
        <f t="shared" si="400"/>
        <v>-54.872224419468544</v>
      </c>
      <c r="BG487">
        <f t="shared" si="401"/>
        <v>-227.44629401001771</v>
      </c>
      <c r="BH487">
        <f t="shared" si="412"/>
        <v>-47.446294010017709</v>
      </c>
      <c r="BI487">
        <f t="shared" si="413"/>
        <v>-47.446294010017709</v>
      </c>
      <c r="BJ487">
        <f t="shared" si="402"/>
        <v>0</v>
      </c>
      <c r="BK487">
        <f t="shared" si="414"/>
        <v>0</v>
      </c>
      <c r="BM487">
        <f t="shared" si="415"/>
        <v>-63.713308689553394</v>
      </c>
      <c r="BN487">
        <f t="shared" si="403"/>
        <v>-156.6761066141338</v>
      </c>
      <c r="BQ487" s="66">
        <f t="shared" si="416"/>
        <v>25.743045070369991</v>
      </c>
    </row>
    <row r="488" spans="1:69" ht="13" x14ac:dyDescent="0.3">
      <c r="A488">
        <f t="shared" si="420"/>
        <v>1370000</v>
      </c>
      <c r="B488">
        <f t="shared" si="404"/>
        <v>1370</v>
      </c>
      <c r="C488">
        <f t="shared" si="373"/>
        <v>1.0886884791255509</v>
      </c>
      <c r="D488">
        <f t="shared" si="374"/>
        <v>0.4064340659999241</v>
      </c>
      <c r="F488">
        <f t="shared" si="375"/>
        <v>3.9665336122215673E-5</v>
      </c>
      <c r="G488">
        <f t="shared" si="376"/>
        <v>1.9635253421747124E-3</v>
      </c>
      <c r="H488">
        <f t="shared" si="377"/>
        <v>-3.1396291246578256</v>
      </c>
      <c r="J488">
        <f t="shared" si="378"/>
        <v>15</v>
      </c>
      <c r="M488">
        <f t="shared" si="379"/>
        <v>8.0173562070875136E-4</v>
      </c>
      <c r="N488">
        <f t="shared" si="380"/>
        <v>-1.5707963250000001</v>
      </c>
      <c r="O488">
        <f t="shared" si="381"/>
        <v>471.78634309664528</v>
      </c>
      <c r="P488">
        <f t="shared" si="382"/>
        <v>1.5686767216740185</v>
      </c>
      <c r="Q488">
        <f t="shared" si="383"/>
        <v>181.20986728694834</v>
      </c>
      <c r="R488">
        <f t="shared" si="384"/>
        <v>1.5652778354974064</v>
      </c>
      <c r="S488">
        <f t="shared" si="385"/>
        <v>0.915359920898552</v>
      </c>
      <c r="T488">
        <f t="shared" si="386"/>
        <v>-0.41439540237634664</v>
      </c>
      <c r="U488">
        <f t="shared" si="387"/>
        <v>0.14471345586028142</v>
      </c>
      <c r="V488">
        <f t="shared" si="388"/>
        <v>-1.4255729529321739</v>
      </c>
      <c r="X488">
        <f t="shared" si="405"/>
        <v>-44.610695605992497</v>
      </c>
      <c r="Y488">
        <f t="shared" si="389"/>
        <v>-172.46059342642641</v>
      </c>
      <c r="Z488">
        <f t="shared" si="406"/>
        <v>7.5394065735735865</v>
      </c>
      <c r="AC488">
        <v>1</v>
      </c>
      <c r="AD488">
        <f t="shared" si="390"/>
        <v>471.78528329368805</v>
      </c>
      <c r="AE488">
        <f t="shared" si="391"/>
        <v>-0.40611106687437148</v>
      </c>
      <c r="AF488">
        <f t="shared" si="392"/>
        <v>5.9394950640900002E-2</v>
      </c>
      <c r="AG488">
        <f t="shared" ref="AG488:AG551" si="421">AC488*AE488/(AE488^2+AF488^2)+AD488*AF488/(AE488^2+AF488^2)</f>
        <v>163.93531350800936</v>
      </c>
      <c r="AH488">
        <f t="shared" ref="AH488:AH551" si="422">AD488*AE488/(AE488^2+AF488^2)-AC488*AF488/(AE488^2+AF488^2)</f>
        <v>-1137.7388875307647</v>
      </c>
      <c r="AJ488">
        <f t="shared" si="393"/>
        <v>21000</v>
      </c>
      <c r="AK488">
        <f t="shared" si="394"/>
        <v>9237.2060192391</v>
      </c>
      <c r="AL488">
        <v>1</v>
      </c>
      <c r="AM488">
        <f t="shared" si="395"/>
        <v>181.20710803429711</v>
      </c>
      <c r="AN488">
        <f t="shared" ref="AN488:AN551" si="423">AJ488*AL488/(AL488^2+AM488^2)+AK488*AM488/(AL488^2+AM488^2)</f>
        <v>51.613928286059014</v>
      </c>
      <c r="AO488">
        <f t="shared" ref="AO488:AO551" si="424">AK488*AL488/(AL488^2+AM488^2)-AJ488*AM488/(AL488^2+AM488^2)</f>
        <v>-115.60465976725943</v>
      </c>
      <c r="AQ488">
        <f t="shared" si="396"/>
        <v>1.3319834125441669E-3</v>
      </c>
      <c r="AR488">
        <f t="shared" si="397"/>
        <v>-3.6496345503710175</v>
      </c>
      <c r="AT488">
        <f t="shared" si="418"/>
        <v>-4152.1127941146415</v>
      </c>
      <c r="AU488">
        <f t="shared" si="419"/>
        <v>-599.81943353073302</v>
      </c>
      <c r="AV488">
        <f t="shared" si="407"/>
        <v>-2.9981239213605031</v>
      </c>
      <c r="AW488">
        <f t="shared" si="408"/>
        <v>-288.34115076808752</v>
      </c>
      <c r="AX488">
        <f t="shared" si="409"/>
        <v>-1493.6527464012238</v>
      </c>
      <c r="AY488">
        <f t="shared" si="417"/>
        <v>-1.7614948565997604</v>
      </c>
      <c r="BA488">
        <f t="shared" si="398"/>
        <v>2.757778795859493</v>
      </c>
      <c r="BB488">
        <f t="shared" si="410"/>
        <v>8.8111885610146246</v>
      </c>
      <c r="BC488">
        <f t="shared" si="411"/>
        <v>-1.2366290647607427</v>
      </c>
      <c r="BD488">
        <f t="shared" si="399"/>
        <v>-250.85362631496278</v>
      </c>
      <c r="BF488">
        <f t="shared" si="400"/>
        <v>-54.960690939459703</v>
      </c>
      <c r="BG488">
        <f t="shared" si="401"/>
        <v>-227.45416794101422</v>
      </c>
      <c r="BH488">
        <f t="shared" si="412"/>
        <v>-47.454167941014219</v>
      </c>
      <c r="BI488">
        <f t="shared" si="413"/>
        <v>-47.454167941014219</v>
      </c>
      <c r="BJ488">
        <f t="shared" si="402"/>
        <v>0</v>
      </c>
      <c r="BK488">
        <f t="shared" si="414"/>
        <v>0</v>
      </c>
      <c r="BM488">
        <f t="shared" si="415"/>
        <v>-63.771879500474327</v>
      </c>
      <c r="BN488">
        <f t="shared" si="403"/>
        <v>-156.60054162605144</v>
      </c>
      <c r="BQ488" s="66">
        <f t="shared" si="416"/>
        <v>25.713149361299763</v>
      </c>
    </row>
    <row r="489" spans="1:69" ht="13" x14ac:dyDescent="0.3">
      <c r="A489">
        <f t="shared" si="420"/>
        <v>1375000</v>
      </c>
      <c r="B489">
        <f t="shared" si="404"/>
        <v>1375</v>
      </c>
      <c r="C489">
        <f t="shared" si="373"/>
        <v>1.0893104276475365</v>
      </c>
      <c r="D489">
        <f t="shared" si="374"/>
        <v>0.4077586048935658</v>
      </c>
      <c r="F489">
        <f t="shared" si="375"/>
        <v>3.93773745610124E-5</v>
      </c>
      <c r="G489">
        <f t="shared" si="376"/>
        <v>1.9563846998611328E-3</v>
      </c>
      <c r="H489">
        <f t="shared" si="377"/>
        <v>-3.1396362653001391</v>
      </c>
      <c r="J489">
        <f t="shared" si="378"/>
        <v>15</v>
      </c>
      <c r="M489">
        <f t="shared" si="379"/>
        <v>7.9882021845162864E-4</v>
      </c>
      <c r="N489">
        <f t="shared" si="380"/>
        <v>-1.5707963250000001</v>
      </c>
      <c r="O489">
        <f t="shared" si="381"/>
        <v>473.50818334243695</v>
      </c>
      <c r="P489">
        <f t="shared" si="382"/>
        <v>1.5686844293060436</v>
      </c>
      <c r="Q489">
        <f t="shared" si="383"/>
        <v>181.87119706379843</v>
      </c>
      <c r="R489">
        <f t="shared" si="384"/>
        <v>1.5652979023332949</v>
      </c>
      <c r="S489">
        <f t="shared" si="385"/>
        <v>0.91481782809347534</v>
      </c>
      <c r="T489">
        <f t="shared" si="386"/>
        <v>-0.41573970614342504</v>
      </c>
      <c r="U489">
        <f t="shared" si="387"/>
        <v>0.14419818663968759</v>
      </c>
      <c r="V489">
        <f t="shared" si="388"/>
        <v>-1.4260936839762182</v>
      </c>
      <c r="X489">
        <f t="shared" si="405"/>
        <v>-44.673508836000295</v>
      </c>
      <c r="Y489">
        <f t="shared" si="389"/>
        <v>-172.49037933025406</v>
      </c>
      <c r="Z489">
        <f t="shared" si="406"/>
        <v>7.5096206697459422</v>
      </c>
      <c r="AC489">
        <v>1</v>
      </c>
      <c r="AD489">
        <f t="shared" si="390"/>
        <v>473.50712739330004</v>
      </c>
      <c r="AE489">
        <f t="shared" si="391"/>
        <v>-0.40908079056388658</v>
      </c>
      <c r="AF489">
        <f t="shared" si="392"/>
        <v>5.9611720533750003E-2</v>
      </c>
      <c r="AG489">
        <f t="shared" si="421"/>
        <v>162.76997008381724</v>
      </c>
      <c r="AH489">
        <f t="shared" si="422"/>
        <v>-1133.7714703886684</v>
      </c>
      <c r="AJ489">
        <f t="shared" si="393"/>
        <v>21000</v>
      </c>
      <c r="AK489">
        <f t="shared" si="394"/>
        <v>9270.9184499662515</v>
      </c>
      <c r="AL489">
        <v>1</v>
      </c>
      <c r="AM489">
        <f t="shared" si="395"/>
        <v>181.86844784464125</v>
      </c>
      <c r="AN489">
        <f t="shared" si="423"/>
        <v>51.609297081784511</v>
      </c>
      <c r="AO489">
        <f t="shared" si="424"/>
        <v>-115.18430465087108</v>
      </c>
      <c r="AQ489">
        <f t="shared" si="396"/>
        <v>1.3223138747353554E-3</v>
      </c>
      <c r="AR489">
        <f t="shared" si="397"/>
        <v>-3.6363631555222273</v>
      </c>
      <c r="AT489">
        <f t="shared" si="418"/>
        <v>-4122.5895687137818</v>
      </c>
      <c r="AU489">
        <f t="shared" si="419"/>
        <v>-593.38992378432226</v>
      </c>
      <c r="AV489">
        <f t="shared" si="407"/>
        <v>-2.9986382719123594</v>
      </c>
      <c r="AW489">
        <f t="shared" si="408"/>
        <v>-285.86594047678716</v>
      </c>
      <c r="AX489">
        <f t="shared" si="409"/>
        <v>-1488.2860275411917</v>
      </c>
      <c r="AY489">
        <f t="shared" si="417"/>
        <v>-1.7605624156590487</v>
      </c>
      <c r="BA489">
        <f t="shared" si="398"/>
        <v>2.7483332350285674</v>
      </c>
      <c r="BB489">
        <f t="shared" si="410"/>
        <v>8.7813877945330781</v>
      </c>
      <c r="BC489">
        <f t="shared" si="411"/>
        <v>-1.2380758562533107</v>
      </c>
      <c r="BD489">
        <f t="shared" si="399"/>
        <v>-250.93652136141708</v>
      </c>
      <c r="BF489">
        <f t="shared" si="400"/>
        <v>-55.048818669719132</v>
      </c>
      <c r="BG489">
        <f t="shared" si="401"/>
        <v>-227.46158162764323</v>
      </c>
      <c r="BH489">
        <f t="shared" si="412"/>
        <v>-47.461581627643227</v>
      </c>
      <c r="BI489">
        <f t="shared" si="413"/>
        <v>-47.461581627643227</v>
      </c>
      <c r="BJ489">
        <f t="shared" si="402"/>
        <v>0</v>
      </c>
      <c r="BK489">
        <f t="shared" si="414"/>
        <v>0</v>
      </c>
      <c r="BM489">
        <f t="shared" si="415"/>
        <v>-63.830206464252214</v>
      </c>
      <c r="BN489">
        <f t="shared" si="403"/>
        <v>-156.52506026622615</v>
      </c>
      <c r="BQ489" s="66">
        <f t="shared" si="416"/>
        <v>25.683348594818213</v>
      </c>
    </row>
    <row r="490" spans="1:69" ht="13" x14ac:dyDescent="0.3">
      <c r="A490">
        <f t="shared" si="420"/>
        <v>1380000</v>
      </c>
      <c r="B490">
        <f t="shared" si="404"/>
        <v>1380</v>
      </c>
      <c r="C490">
        <f t="shared" si="373"/>
        <v>1.0899342850763076</v>
      </c>
      <c r="D490">
        <f t="shared" si="374"/>
        <v>0.40908162982492396</v>
      </c>
      <c r="F490">
        <f t="shared" si="375"/>
        <v>3.9092537499702357E-5</v>
      </c>
      <c r="G490">
        <f t="shared" si="376"/>
        <v>1.9492958072802626E-3</v>
      </c>
      <c r="H490">
        <f t="shared" si="377"/>
        <v>-3.13964335419272</v>
      </c>
      <c r="J490">
        <f t="shared" si="378"/>
        <v>15</v>
      </c>
      <c r="M490">
        <f t="shared" si="379"/>
        <v>7.9592594229781839E-4</v>
      </c>
      <c r="N490">
        <f t="shared" si="380"/>
        <v>-1.5707963250000001</v>
      </c>
      <c r="O490">
        <f t="shared" si="381"/>
        <v>475.23002361615477</v>
      </c>
      <c r="P490">
        <f t="shared" si="382"/>
        <v>1.5686920810859111</v>
      </c>
      <c r="Q490">
        <f t="shared" si="383"/>
        <v>182.53252691335337</v>
      </c>
      <c r="R490">
        <f t="shared" si="384"/>
        <v>1.5653178237617096</v>
      </c>
      <c r="S490">
        <f t="shared" si="385"/>
        <v>0.91427472768314855</v>
      </c>
      <c r="T490">
        <f t="shared" si="386"/>
        <v>-0.41708241618745379</v>
      </c>
      <c r="U490">
        <f t="shared" si="387"/>
        <v>0.14368653520476851</v>
      </c>
      <c r="V490">
        <f t="shared" si="388"/>
        <v>-1.4266107197901974</v>
      </c>
      <c r="X490">
        <f t="shared" si="405"/>
        <v>-44.736099623968286</v>
      </c>
      <c r="Y490">
        <f t="shared" si="389"/>
        <v>-172.51995750932537</v>
      </c>
      <c r="Z490">
        <f t="shared" si="406"/>
        <v>7.4800424906746343</v>
      </c>
      <c r="AC490">
        <v>1</v>
      </c>
      <c r="AD490">
        <f t="shared" si="390"/>
        <v>475.22897149291208</v>
      </c>
      <c r="AE490">
        <f t="shared" si="391"/>
        <v>-0.41206133291893693</v>
      </c>
      <c r="AF490">
        <f t="shared" si="392"/>
        <v>5.9828490426599996E-2</v>
      </c>
      <c r="AG490">
        <f t="shared" si="421"/>
        <v>161.61692178469679</v>
      </c>
      <c r="AH490">
        <f t="shared" si="422"/>
        <v>-1129.8310174779913</v>
      </c>
      <c r="AJ490">
        <f t="shared" si="393"/>
        <v>21000</v>
      </c>
      <c r="AK490">
        <f t="shared" si="394"/>
        <v>9304.6308806933994</v>
      </c>
      <c r="AL490">
        <v>1</v>
      </c>
      <c r="AM490">
        <f t="shared" si="395"/>
        <v>182.52978765498543</v>
      </c>
      <c r="AN490">
        <f t="shared" si="423"/>
        <v>51.604716123422854</v>
      </c>
      <c r="AO490">
        <f t="shared" si="424"/>
        <v>-114.7669953107756</v>
      </c>
      <c r="AQ490">
        <f t="shared" si="396"/>
        <v>1.3127492500591721E-3</v>
      </c>
      <c r="AR490">
        <f t="shared" si="397"/>
        <v>-3.6231879301633154</v>
      </c>
      <c r="AT490">
        <f t="shared" si="418"/>
        <v>-4093.3779431575263</v>
      </c>
      <c r="AU490">
        <f t="shared" si="419"/>
        <v>-587.05166514134976</v>
      </c>
      <c r="AV490">
        <f t="shared" si="407"/>
        <v>-2.9991489734693544</v>
      </c>
      <c r="AW490">
        <f t="shared" si="408"/>
        <v>-283.41775404088497</v>
      </c>
      <c r="AX490">
        <f t="shared" si="409"/>
        <v>-1482.9575226263466</v>
      </c>
      <c r="AY490">
        <f t="shared" si="417"/>
        <v>-1.7596357177848008</v>
      </c>
      <c r="BA490">
        <f t="shared" si="398"/>
        <v>2.7389497929628086</v>
      </c>
      <c r="BB490">
        <f t="shared" si="410"/>
        <v>8.7516814275615094</v>
      </c>
      <c r="BC490">
        <f t="shared" si="411"/>
        <v>-1.2395132556845536</v>
      </c>
      <c r="BD490">
        <f t="shared" si="399"/>
        <v>-251.01887828239592</v>
      </c>
      <c r="BF490">
        <f t="shared" si="400"/>
        <v>-55.136609882483555</v>
      </c>
      <c r="BG490">
        <f t="shared" si="401"/>
        <v>-227.46854096740483</v>
      </c>
      <c r="BH490">
        <f t="shared" si="412"/>
        <v>-47.468540967404834</v>
      </c>
      <c r="BI490">
        <f t="shared" si="413"/>
        <v>-47.468540967404834</v>
      </c>
      <c r="BJ490">
        <f t="shared" si="402"/>
        <v>0</v>
      </c>
      <c r="BK490">
        <f t="shared" si="414"/>
        <v>0</v>
      </c>
      <c r="BM490">
        <f t="shared" si="415"/>
        <v>-63.888291310045069</v>
      </c>
      <c r="BN490">
        <f t="shared" si="403"/>
        <v>-156.44966268500892</v>
      </c>
      <c r="BQ490" s="66">
        <f t="shared" si="416"/>
        <v>25.653642227846646</v>
      </c>
    </row>
    <row r="491" spans="1:69" ht="13" x14ac:dyDescent="0.3">
      <c r="A491">
        <f t="shared" si="420"/>
        <v>1385000</v>
      </c>
      <c r="B491">
        <f t="shared" si="404"/>
        <v>1385</v>
      </c>
      <c r="C491">
        <f t="shared" si="373"/>
        <v>1.0905600481358806</v>
      </c>
      <c r="D491">
        <f t="shared" si="374"/>
        <v>0.41040313876454326</v>
      </c>
      <c r="F491">
        <f t="shared" si="375"/>
        <v>3.8810779897886664E-5</v>
      </c>
      <c r="G491">
        <f t="shared" si="376"/>
        <v>1.9422581038802524E-3</v>
      </c>
      <c r="H491">
        <f t="shared" si="377"/>
        <v>-3.1396503918961201</v>
      </c>
      <c r="J491">
        <f t="shared" si="378"/>
        <v>15</v>
      </c>
      <c r="M491">
        <f t="shared" si="379"/>
        <v>7.9305256344475768E-4</v>
      </c>
      <c r="N491">
        <f t="shared" si="380"/>
        <v>-1.5707963250000001</v>
      </c>
      <c r="O491">
        <f t="shared" si="381"/>
        <v>476.95186391749621</v>
      </c>
      <c r="P491">
        <f t="shared" si="382"/>
        <v>1.5686996776185143</v>
      </c>
      <c r="Q491">
        <f t="shared" si="383"/>
        <v>183.19385683482574</v>
      </c>
      <c r="R491">
        <f t="shared" si="384"/>
        <v>1.5653376013573974</v>
      </c>
      <c r="S491">
        <f t="shared" si="385"/>
        <v>0.91373062733064847</v>
      </c>
      <c r="T491">
        <f t="shared" si="386"/>
        <v>-0.41842353050803355</v>
      </c>
      <c r="U491">
        <f t="shared" si="387"/>
        <v>0.1431784639975999</v>
      </c>
      <c r="V491">
        <f t="shared" si="388"/>
        <v>-1.4271240992948635</v>
      </c>
      <c r="X491">
        <f t="shared" si="405"/>
        <v>-44.798469528720695</v>
      </c>
      <c r="Y491">
        <f t="shared" si="389"/>
        <v>-172.54933010253291</v>
      </c>
      <c r="Z491">
        <f t="shared" si="406"/>
        <v>7.450669897467094</v>
      </c>
      <c r="AC491">
        <v>1</v>
      </c>
      <c r="AD491">
        <f t="shared" si="390"/>
        <v>476.95081559252407</v>
      </c>
      <c r="AE491">
        <f t="shared" si="391"/>
        <v>-0.41505269393952315</v>
      </c>
      <c r="AF491">
        <f t="shared" si="392"/>
        <v>6.0045260319449997E-2</v>
      </c>
      <c r="AG491">
        <f t="shared" si="421"/>
        <v>160.47599747929999</v>
      </c>
      <c r="AH491">
        <f t="shared" si="422"/>
        <v>-1125.9172615247451</v>
      </c>
      <c r="AJ491">
        <f t="shared" si="393"/>
        <v>21000</v>
      </c>
      <c r="AK491">
        <f t="shared" si="394"/>
        <v>9338.3433114205509</v>
      </c>
      <c r="AL491">
        <v>1</v>
      </c>
      <c r="AM491">
        <f t="shared" si="395"/>
        <v>183.19112746532954</v>
      </c>
      <c r="AN491">
        <f t="shared" si="423"/>
        <v>51.600184686748719</v>
      </c>
      <c r="AO491">
        <f t="shared" si="424"/>
        <v>-114.35269876417958</v>
      </c>
      <c r="AQ491">
        <f t="shared" si="396"/>
        <v>1.3032880262628178E-3</v>
      </c>
      <c r="AR491">
        <f t="shared" si="397"/>
        <v>-3.610107832748005</v>
      </c>
      <c r="AT491">
        <f t="shared" si="418"/>
        <v>-4064.4735784106488</v>
      </c>
      <c r="AU491">
        <f t="shared" si="419"/>
        <v>-580.80304995357778</v>
      </c>
      <c r="AV491">
        <f t="shared" si="407"/>
        <v>-2.9996560644515009</v>
      </c>
      <c r="AW491">
        <f t="shared" si="408"/>
        <v>-280.99619899073861</v>
      </c>
      <c r="AX491">
        <f t="shared" si="409"/>
        <v>-1477.6668270577413</v>
      </c>
      <c r="AY491">
        <f t="shared" si="417"/>
        <v>-1.7587147024863972</v>
      </c>
      <c r="BA491">
        <f t="shared" si="398"/>
        <v>2.7296278844873156</v>
      </c>
      <c r="BB491">
        <f t="shared" si="410"/>
        <v>8.7220689208235829</v>
      </c>
      <c r="BC491">
        <f t="shared" si="411"/>
        <v>-1.2409413619651037</v>
      </c>
      <c r="BD491">
        <f t="shared" si="399"/>
        <v>-251.10070274506108</v>
      </c>
      <c r="BF491">
        <f t="shared" si="400"/>
        <v>-55.224066827941201</v>
      </c>
      <c r="BG491">
        <f t="shared" si="401"/>
        <v>-227.4750517758572</v>
      </c>
      <c r="BH491">
        <f t="shared" si="412"/>
        <v>-47.475051775857196</v>
      </c>
      <c r="BI491">
        <f t="shared" si="413"/>
        <v>-47.475051775857196</v>
      </c>
      <c r="BJ491">
        <f t="shared" si="402"/>
        <v>0</v>
      </c>
      <c r="BK491">
        <f t="shared" si="414"/>
        <v>0</v>
      </c>
      <c r="BM491">
        <f t="shared" si="415"/>
        <v>-63.946135748764789</v>
      </c>
      <c r="BN491">
        <f t="shared" si="403"/>
        <v>-156.37434903079617</v>
      </c>
      <c r="BQ491" s="66">
        <f t="shared" si="416"/>
        <v>25.62402972110872</v>
      </c>
    </row>
    <row r="492" spans="1:69" ht="13" x14ac:dyDescent="0.3">
      <c r="A492">
        <f t="shared" si="420"/>
        <v>1390000</v>
      </c>
      <c r="B492">
        <f t="shared" si="404"/>
        <v>1390</v>
      </c>
      <c r="C492">
        <f t="shared" si="373"/>
        <v>1.091187713547791</v>
      </c>
      <c r="D492">
        <f t="shared" si="374"/>
        <v>0.41172312970879632</v>
      </c>
      <c r="F492">
        <f t="shared" si="375"/>
        <v>3.8532057523846122E-5</v>
      </c>
      <c r="G492">
        <f t="shared" si="376"/>
        <v>1.9352710371762761E-3</v>
      </c>
      <c r="H492">
        <f t="shared" si="377"/>
        <v>-3.1396573789628239</v>
      </c>
      <c r="J492">
        <f t="shared" si="378"/>
        <v>15</v>
      </c>
      <c r="M492">
        <f t="shared" si="379"/>
        <v>7.9019985638200687E-4</v>
      </c>
      <c r="N492">
        <f t="shared" si="380"/>
        <v>-1.5707963250000001</v>
      </c>
      <c r="O492">
        <f t="shared" si="381"/>
        <v>478.67370424616337</v>
      </c>
      <c r="P492">
        <f t="shared" si="382"/>
        <v>1.5687072195000431</v>
      </c>
      <c r="Q492">
        <f t="shared" si="383"/>
        <v>183.8551868274395</v>
      </c>
      <c r="R492">
        <f t="shared" si="384"/>
        <v>1.5653572366724489</v>
      </c>
      <c r="S492">
        <f t="shared" si="385"/>
        <v>0.91318553468657138</v>
      </c>
      <c r="T492">
        <f t="shared" si="386"/>
        <v>-0.4197630471324772</v>
      </c>
      <c r="U492">
        <f t="shared" si="387"/>
        <v>0.14267393597250375</v>
      </c>
      <c r="V492">
        <f t="shared" si="388"/>
        <v>-1.4276338608701478</v>
      </c>
      <c r="X492">
        <f t="shared" si="405"/>
        <v>-44.860620092878349</v>
      </c>
      <c r="Y492">
        <f t="shared" si="389"/>
        <v>-172.57849921922528</v>
      </c>
      <c r="Z492">
        <f t="shared" si="406"/>
        <v>7.4215007807747213</v>
      </c>
      <c r="AC492">
        <v>1</v>
      </c>
      <c r="AD492">
        <f t="shared" si="390"/>
        <v>478.67265969213605</v>
      </c>
      <c r="AE492">
        <f t="shared" si="391"/>
        <v>-0.41805487362564492</v>
      </c>
      <c r="AF492">
        <f t="shared" si="392"/>
        <v>6.0262030212299998E-2</v>
      </c>
      <c r="AG492">
        <f t="shared" si="421"/>
        <v>159.34702898177935</v>
      </c>
      <c r="AH492">
        <f t="shared" si="422"/>
        <v>-1122.0299386760253</v>
      </c>
      <c r="AJ492">
        <f t="shared" si="393"/>
        <v>21000</v>
      </c>
      <c r="AK492">
        <f t="shared" si="394"/>
        <v>9372.0557421477006</v>
      </c>
      <c r="AL492">
        <v>1</v>
      </c>
      <c r="AM492">
        <f t="shared" si="395"/>
        <v>183.85246727567369</v>
      </c>
      <c r="AN492">
        <f t="shared" si="423"/>
        <v>51.595702060538109</v>
      </c>
      <c r="AO492">
        <f t="shared" si="424"/>
        <v>-113.94138250279134</v>
      </c>
      <c r="AQ492">
        <f t="shared" si="396"/>
        <v>1.2939287182432693E-3</v>
      </c>
      <c r="AR492">
        <f t="shared" si="397"/>
        <v>-3.5971218367162883</v>
      </c>
      <c r="AT492">
        <f t="shared" si="418"/>
        <v>-4035.8722101640019</v>
      </c>
      <c r="AU492">
        <f t="shared" si="419"/>
        <v>-574.64250432660344</v>
      </c>
      <c r="AV492">
        <f t="shared" si="407"/>
        <v>-3.0001595827451966</v>
      </c>
      <c r="AW492">
        <f t="shared" si="408"/>
        <v>-278.60088996394421</v>
      </c>
      <c r="AX492">
        <f t="shared" si="409"/>
        <v>-1472.4135419010549</v>
      </c>
      <c r="AY492">
        <f t="shared" si="417"/>
        <v>-1.7577993101116876</v>
      </c>
      <c r="BA492">
        <f t="shared" si="398"/>
        <v>2.7203669313377117</v>
      </c>
      <c r="BB492">
        <f t="shared" si="410"/>
        <v>8.6925497388273207</v>
      </c>
      <c r="BC492">
        <f t="shared" si="411"/>
        <v>-1.242360272633509</v>
      </c>
      <c r="BD492">
        <f t="shared" si="399"/>
        <v>-251.18200033795966</v>
      </c>
      <c r="BF492">
        <f t="shared" si="400"/>
        <v>-55.311191734511482</v>
      </c>
      <c r="BG492">
        <f t="shared" si="401"/>
        <v>-227.48111978800196</v>
      </c>
      <c r="BH492">
        <f t="shared" si="412"/>
        <v>-47.481119788001962</v>
      </c>
      <c r="BI492">
        <f t="shared" si="413"/>
        <v>-47.481119788001962</v>
      </c>
      <c r="BJ492">
        <f t="shared" si="402"/>
        <v>0</v>
      </c>
      <c r="BK492">
        <f t="shared" si="414"/>
        <v>0</v>
      </c>
      <c r="BM492">
        <f t="shared" si="415"/>
        <v>-64.003741473338792</v>
      </c>
      <c r="BN492">
        <f t="shared" si="403"/>
        <v>-156.2991194500423</v>
      </c>
      <c r="BQ492" s="66">
        <f t="shared" si="416"/>
        <v>25.594510539112459</v>
      </c>
    </row>
    <row r="493" spans="1:69" ht="13" x14ac:dyDescent="0.3">
      <c r="A493">
        <f t="shared" si="420"/>
        <v>1395000</v>
      </c>
      <c r="B493">
        <f t="shared" si="404"/>
        <v>1395</v>
      </c>
      <c r="C493">
        <f t="shared" si="373"/>
        <v>1.0918172780311579</v>
      </c>
      <c r="D493">
        <f t="shared" si="374"/>
        <v>0.4130416006798156</v>
      </c>
      <c r="F493">
        <f t="shared" si="375"/>
        <v>3.8256326937179993E-5</v>
      </c>
      <c r="G493">
        <f t="shared" si="376"/>
        <v>1.9283340626059268E-3</v>
      </c>
      <c r="H493">
        <f t="shared" si="377"/>
        <v>-3.1396643159373943</v>
      </c>
      <c r="J493">
        <f t="shared" si="378"/>
        <v>15</v>
      </c>
      <c r="M493">
        <f t="shared" si="379"/>
        <v>7.8736759883225058E-4</v>
      </c>
      <c r="N493">
        <f t="shared" si="380"/>
        <v>-1.5707963250000001</v>
      </c>
      <c r="O493">
        <f t="shared" si="381"/>
        <v>480.39554460186224</v>
      </c>
      <c r="P493">
        <f t="shared" si="382"/>
        <v>1.56871470731814</v>
      </c>
      <c r="Q493">
        <f t="shared" si="383"/>
        <v>184.51651689042967</v>
      </c>
      <c r="R493">
        <f t="shared" si="384"/>
        <v>1.5653767312367028</v>
      </c>
      <c r="S493">
        <f t="shared" si="385"/>
        <v>0.91263945738883612</v>
      </c>
      <c r="T493">
        <f t="shared" si="386"/>
        <v>-0.42110096411572895</v>
      </c>
      <c r="U493">
        <f t="shared" si="387"/>
        <v>0.14217291458744899</v>
      </c>
      <c r="V493">
        <f t="shared" si="388"/>
        <v>-1.428140042364455</v>
      </c>
      <c r="X493">
        <f t="shared" si="405"/>
        <v>-44.92255284308002</v>
      </c>
      <c r="Y493">
        <f t="shared" si="389"/>
        <v>-172.60746693971467</v>
      </c>
      <c r="Z493">
        <f t="shared" si="406"/>
        <v>7.3925330602853307</v>
      </c>
      <c r="AC493">
        <v>1</v>
      </c>
      <c r="AD493">
        <f t="shared" si="390"/>
        <v>480.39450379174804</v>
      </c>
      <c r="AE493">
        <f t="shared" si="391"/>
        <v>-0.42106787197730222</v>
      </c>
      <c r="AF493">
        <f t="shared" si="392"/>
        <v>6.0478800105150006E-2</v>
      </c>
      <c r="AG493">
        <f t="shared" si="421"/>
        <v>158.2298509916134</v>
      </c>
      <c r="AH493">
        <f t="shared" si="422"/>
        <v>-1118.1687884473372</v>
      </c>
      <c r="AJ493">
        <f t="shared" si="393"/>
        <v>21000</v>
      </c>
      <c r="AK493">
        <f t="shared" si="394"/>
        <v>9405.7681728748503</v>
      </c>
      <c r="AL493">
        <v>1</v>
      </c>
      <c r="AM493">
        <f t="shared" si="395"/>
        <v>184.51380708601786</v>
      </c>
      <c r="AN493">
        <f t="shared" si="423"/>
        <v>51.591267546289366</v>
      </c>
      <c r="AO493">
        <f t="shared" si="424"/>
        <v>-113.53301448431903</v>
      </c>
      <c r="AQ493">
        <f t="shared" si="396"/>
        <v>1.2846698674644638E-3</v>
      </c>
      <c r="AR493">
        <f t="shared" si="397"/>
        <v>-3.5842289302258541</v>
      </c>
      <c r="AT493">
        <f t="shared" si="418"/>
        <v>-4007.5696473068365</v>
      </c>
      <c r="AU493">
        <f t="shared" si="419"/>
        <v>-568.56848729872434</v>
      </c>
      <c r="AV493">
        <f t="shared" si="407"/>
        <v>-3.0006595657123882</v>
      </c>
      <c r="AW493">
        <f t="shared" si="408"/>
        <v>-276.23144855129476</v>
      </c>
      <c r="AX493">
        <f t="shared" si="409"/>
        <v>-1467.197273788212</v>
      </c>
      <c r="AY493">
        <f t="shared" si="417"/>
        <v>-1.7568894818326841</v>
      </c>
      <c r="BA493">
        <f t="shared" si="398"/>
        <v>2.711166362067126</v>
      </c>
      <c r="BB493">
        <f t="shared" si="410"/>
        <v>8.6631233498465718</v>
      </c>
      <c r="BC493">
        <f t="shared" si="411"/>
        <v>-1.2437700838797041</v>
      </c>
      <c r="BD493">
        <f t="shared" si="399"/>
        <v>-251.26277657236903</v>
      </c>
      <c r="BF493">
        <f t="shared" si="400"/>
        <v>-55.397986809120532</v>
      </c>
      <c r="BG493">
        <f t="shared" si="401"/>
        <v>-227.48675065964102</v>
      </c>
      <c r="BH493">
        <f t="shared" si="412"/>
        <v>-47.486750659641018</v>
      </c>
      <c r="BI493">
        <f t="shared" si="413"/>
        <v>-47.486750659641018</v>
      </c>
      <c r="BJ493">
        <f t="shared" si="402"/>
        <v>0</v>
      </c>
      <c r="BK493">
        <f t="shared" si="414"/>
        <v>0</v>
      </c>
      <c r="BM493">
        <f t="shared" si="415"/>
        <v>-64.061110158967111</v>
      </c>
      <c r="BN493">
        <f t="shared" si="403"/>
        <v>-156.22397408727198</v>
      </c>
      <c r="BQ493" s="66">
        <f t="shared" si="416"/>
        <v>25.56508415013171</v>
      </c>
    </row>
    <row r="494" spans="1:69" ht="13" x14ac:dyDescent="0.3">
      <c r="A494">
        <f t="shared" si="420"/>
        <v>1400000</v>
      </c>
      <c r="B494">
        <f t="shared" si="404"/>
        <v>1400</v>
      </c>
      <c r="C494">
        <f t="shared" si="373"/>
        <v>1.0924487383027484</v>
      </c>
      <c r="D494">
        <f t="shared" si="374"/>
        <v>0.41435854972542396</v>
      </c>
      <c r="F494">
        <f t="shared" si="375"/>
        <v>3.7983545471878033E-5</v>
      </c>
      <c r="G494">
        <f t="shared" si="376"/>
        <v>1.9214466433877138E-3</v>
      </c>
      <c r="H494">
        <f t="shared" si="377"/>
        <v>-3.1396712033566123</v>
      </c>
      <c r="J494">
        <f t="shared" si="378"/>
        <v>15</v>
      </c>
      <c r="M494">
        <f t="shared" si="379"/>
        <v>7.8455557169356395E-4</v>
      </c>
      <c r="N494">
        <f t="shared" si="380"/>
        <v>-1.5707963250000001</v>
      </c>
      <c r="O494">
        <f t="shared" si="381"/>
        <v>482.11738498430327</v>
      </c>
      <c r="P494">
        <f t="shared" si="382"/>
        <v>1.5687221416520531</v>
      </c>
      <c r="Q494">
        <f t="shared" si="383"/>
        <v>185.17784702304229</v>
      </c>
      <c r="R494">
        <f t="shared" si="384"/>
        <v>1.5653960865581444</v>
      </c>
      <c r="S494">
        <f t="shared" si="385"/>
        <v>0.9120924030624914</v>
      </c>
      <c r="T494">
        <f t="shared" si="386"/>
        <v>-0.42243727954028276</v>
      </c>
      <c r="U494">
        <f t="shared" si="387"/>
        <v>0.14167536379562273</v>
      </c>
      <c r="V494">
        <f t="shared" si="388"/>
        <v>-1.4286426811037667</v>
      </c>
      <c r="X494">
        <f t="shared" si="405"/>
        <v>-44.984269290200118</v>
      </c>
      <c r="Y494">
        <f t="shared" si="389"/>
        <v>-172.6362353157744</v>
      </c>
      <c r="Z494">
        <f t="shared" si="406"/>
        <v>7.3637646842256004</v>
      </c>
      <c r="AC494">
        <v>1</v>
      </c>
      <c r="AD494">
        <f t="shared" si="390"/>
        <v>482.11634789136002</v>
      </c>
      <c r="AE494">
        <f t="shared" si="391"/>
        <v>-0.42409168899449506</v>
      </c>
      <c r="AF494">
        <f t="shared" si="392"/>
        <v>6.0695569998000007E-2</v>
      </c>
      <c r="AG494">
        <f t="shared" si="421"/>
        <v>157.12430103485161</v>
      </c>
      <c r="AH494">
        <f t="shared" si="422"/>
        <v>-1114.3335536708587</v>
      </c>
      <c r="AJ494">
        <f t="shared" si="393"/>
        <v>21000</v>
      </c>
      <c r="AK494">
        <f t="shared" si="394"/>
        <v>9439.480603602</v>
      </c>
      <c r="AL494">
        <v>1</v>
      </c>
      <c r="AM494">
        <f t="shared" si="395"/>
        <v>185.17514689636201</v>
      </c>
      <c r="AN494">
        <f t="shared" si="423"/>
        <v>51.586880457951047</v>
      </c>
      <c r="AO494">
        <f t="shared" si="424"/>
        <v>-113.12756312415058</v>
      </c>
      <c r="AQ494">
        <f t="shared" si="396"/>
        <v>1.2755100413890253E-3</v>
      </c>
      <c r="AR494">
        <f t="shared" si="397"/>
        <v>-3.5714281158892711</v>
      </c>
      <c r="AT494">
        <f t="shared" si="418"/>
        <v>-3979.5617704351948</v>
      </c>
      <c r="AU494">
        <f t="shared" si="419"/>
        <v>-562.57949004248258</v>
      </c>
      <c r="AV494">
        <f t="shared" si="407"/>
        <v>-3.0011560501995485</v>
      </c>
      <c r="AW494">
        <f t="shared" si="408"/>
        <v>-273.88750314662235</v>
      </c>
      <c r="AX494">
        <f t="shared" si="409"/>
        <v>-1462.0176348210509</v>
      </c>
      <c r="AY494">
        <f t="shared" si="417"/>
        <v>-1.7559851596315437</v>
      </c>
      <c r="BA494">
        <f t="shared" si="398"/>
        <v>2.7020256119544546</v>
      </c>
      <c r="BB494">
        <f t="shared" si="410"/>
        <v>8.6337892259021256</v>
      </c>
      <c r="BC494">
        <f t="shared" si="411"/>
        <v>-1.2451708905680048</v>
      </c>
      <c r="BD494">
        <f t="shared" si="399"/>
        <v>-251.34303688361405</v>
      </c>
      <c r="BF494">
        <f t="shared" si="400"/>
        <v>-55.484454237472519</v>
      </c>
      <c r="BG494">
        <f t="shared" si="401"/>
        <v>-227.49194996870605</v>
      </c>
      <c r="BH494">
        <f t="shared" si="412"/>
        <v>-47.491949968706052</v>
      </c>
      <c r="BI494">
        <f t="shared" si="413"/>
        <v>-47.491949968706052</v>
      </c>
      <c r="BJ494">
        <f t="shared" si="402"/>
        <v>0</v>
      </c>
      <c r="BK494">
        <f t="shared" si="414"/>
        <v>0</v>
      </c>
      <c r="BM494">
        <f t="shared" si="415"/>
        <v>-64.118243463374654</v>
      </c>
      <c r="BN494">
        <f t="shared" si="403"/>
        <v>-156.148913085092</v>
      </c>
      <c r="BQ494" s="66">
        <f t="shared" si="416"/>
        <v>25.535750026187259</v>
      </c>
    </row>
    <row r="495" spans="1:69" ht="13" x14ac:dyDescent="0.3">
      <c r="A495">
        <f t="shared" si="420"/>
        <v>1405000</v>
      </c>
      <c r="B495">
        <f t="shared" si="404"/>
        <v>1405</v>
      </c>
      <c r="C495">
        <f t="shared" si="373"/>
        <v>1.0930820910770409</v>
      </c>
      <c r="D495">
        <f t="shared" si="374"/>
        <v>0.41567397491906505</v>
      </c>
      <c r="F495">
        <f t="shared" si="375"/>
        <v>3.7713671219813634E-5</v>
      </c>
      <c r="G495">
        <f t="shared" si="376"/>
        <v>1.9146082503825809E-3</v>
      </c>
      <c r="H495">
        <f t="shared" si="377"/>
        <v>-3.1396780417496175</v>
      </c>
      <c r="J495">
        <f t="shared" si="378"/>
        <v>15</v>
      </c>
      <c r="M495">
        <f t="shared" si="379"/>
        <v>7.8176355898291073E-4</v>
      </c>
      <c r="N495">
        <f t="shared" si="380"/>
        <v>-1.5707963250000001</v>
      </c>
      <c r="O495">
        <f t="shared" si="381"/>
        <v>483.83922539320093</v>
      </c>
      <c r="P495">
        <f t="shared" si="382"/>
        <v>1.5687295230727842</v>
      </c>
      <c r="Q495">
        <f t="shared" si="383"/>
        <v>185.83917722453407</v>
      </c>
      <c r="R495">
        <f t="shared" si="384"/>
        <v>1.5654153041232943</v>
      </c>
      <c r="S495">
        <f t="shared" si="385"/>
        <v>0.91154437931952237</v>
      </c>
      <c r="T495">
        <f t="shared" si="386"/>
        <v>-0.42377199151610034</v>
      </c>
      <c r="U495">
        <f t="shared" si="387"/>
        <v>0.14118124803716761</v>
      </c>
      <c r="V495">
        <f t="shared" si="388"/>
        <v>-1.4291418139005603</v>
      </c>
      <c r="X495">
        <f t="shared" si="405"/>
        <v>-45.045770929562643</v>
      </c>
      <c r="Y495">
        <f t="shared" si="389"/>
        <v>-172.66480637112647</v>
      </c>
      <c r="Z495">
        <f t="shared" si="406"/>
        <v>7.335193628873526</v>
      </c>
      <c r="AC495">
        <v>1</v>
      </c>
      <c r="AD495">
        <f t="shared" si="390"/>
        <v>483.83819199097206</v>
      </c>
      <c r="AE495">
        <f t="shared" si="391"/>
        <v>-0.42712632467722361</v>
      </c>
      <c r="AF495">
        <f t="shared" si="392"/>
        <v>6.0912339890850001E-2</v>
      </c>
      <c r="AG495">
        <f t="shared" si="421"/>
        <v>156.03021940673938</v>
      </c>
      <c r="AH495">
        <f t="shared" si="422"/>
        <v>-1110.5239804446046</v>
      </c>
      <c r="AJ495">
        <f t="shared" si="393"/>
        <v>21000</v>
      </c>
      <c r="AK495">
        <f t="shared" si="394"/>
        <v>9473.1930343291515</v>
      </c>
      <c r="AL495">
        <v>1</v>
      </c>
      <c r="AM495">
        <f t="shared" si="395"/>
        <v>185.83648670670615</v>
      </c>
      <c r="AN495">
        <f t="shared" si="423"/>
        <v>51.582540121656542</v>
      </c>
      <c r="AO495">
        <f t="shared" si="424"/>
        <v>-112.72499728721138</v>
      </c>
      <c r="AQ495">
        <f t="shared" si="396"/>
        <v>1.2664478329241229E-3</v>
      </c>
      <c r="AR495">
        <f t="shared" si="397"/>
        <v>-3.5587184105167853</v>
      </c>
      <c r="AT495">
        <f t="shared" si="418"/>
        <v>-3951.8445303953586</v>
      </c>
      <c r="AU495">
        <f t="shared" si="419"/>
        <v>-556.67403508818109</v>
      </c>
      <c r="AV495">
        <f t="shared" si="407"/>
        <v>-3.0016490725464715</v>
      </c>
      <c r="AW495">
        <f t="shared" si="408"/>
        <v>-271.56868880041225</v>
      </c>
      <c r="AX495">
        <f t="shared" si="409"/>
        <v>-1456.8742424769689</v>
      </c>
      <c r="AY495">
        <f t="shared" si="417"/>
        <v>-1.7550862862868304</v>
      </c>
      <c r="BA495">
        <f t="shared" si="398"/>
        <v>2.6929441229138726</v>
      </c>
      <c r="BB495">
        <f t="shared" si="410"/>
        <v>8.6045468427424048</v>
      </c>
      <c r="BC495">
        <f t="shared" si="411"/>
        <v>-1.2465627862596411</v>
      </c>
      <c r="BD495">
        <f t="shared" si="399"/>
        <v>-251.4227866323584</v>
      </c>
      <c r="BF495">
        <f t="shared" si="400"/>
        <v>-55.570596184316727</v>
      </c>
      <c r="BG495">
        <f t="shared" si="401"/>
        <v>-227.49672321656178</v>
      </c>
      <c r="BH495">
        <f t="shared" si="412"/>
        <v>-47.496723216561776</v>
      </c>
      <c r="BI495">
        <f t="shared" si="413"/>
        <v>-47.496723216561776</v>
      </c>
      <c r="BJ495">
        <f t="shared" si="402"/>
        <v>0</v>
      </c>
      <c r="BK495">
        <f t="shared" si="414"/>
        <v>0</v>
      </c>
      <c r="BM495">
        <f t="shared" si="415"/>
        <v>-64.175143027059136</v>
      </c>
      <c r="BN495">
        <f t="shared" si="403"/>
        <v>-156.07393658420338</v>
      </c>
      <c r="BQ495" s="66">
        <f t="shared" si="416"/>
        <v>25.50650764302754</v>
      </c>
    </row>
    <row r="496" spans="1:69" ht="13" x14ac:dyDescent="0.3">
      <c r="A496">
        <f t="shared" si="420"/>
        <v>1410000</v>
      </c>
      <c r="B496">
        <f t="shared" si="404"/>
        <v>1410</v>
      </c>
      <c r="C496">
        <f t="shared" si="373"/>
        <v>1.0937173330662886</v>
      </c>
      <c r="D496">
        <f t="shared" si="374"/>
        <v>0.41698787435973245</v>
      </c>
      <c r="F496">
        <f t="shared" si="375"/>
        <v>3.7446663014645817E-5</v>
      </c>
      <c r="G496">
        <f t="shared" si="376"/>
        <v>1.9078183619583729E-3</v>
      </c>
      <c r="H496">
        <f t="shared" si="377"/>
        <v>-3.1396848316380419</v>
      </c>
      <c r="J496">
        <f t="shared" si="378"/>
        <v>15</v>
      </c>
      <c r="M496">
        <f t="shared" si="379"/>
        <v>7.7899134778084366E-4</v>
      </c>
      <c r="N496">
        <f t="shared" si="380"/>
        <v>-1.5707963250000001</v>
      </c>
      <c r="O496">
        <f t="shared" si="381"/>
        <v>485.56106582827385</v>
      </c>
      <c r="P496">
        <f t="shared" si="382"/>
        <v>1.5687368521432365</v>
      </c>
      <c r="Q496">
        <f t="shared" si="383"/>
        <v>186.50050749417224</v>
      </c>
      <c r="R496">
        <f t="shared" si="384"/>
        <v>1.5654343853975883</v>
      </c>
      <c r="S496">
        <f t="shared" si="385"/>
        <v>0.91099539375866101</v>
      </c>
      <c r="T496">
        <f t="shared" si="386"/>
        <v>-0.42510509818052794</v>
      </c>
      <c r="U496">
        <f t="shared" si="387"/>
        <v>0.14069053223108227</v>
      </c>
      <c r="V496">
        <f t="shared" si="388"/>
        <v>-1.4296374770625466</v>
      </c>
      <c r="X496">
        <f t="shared" si="405"/>
        <v>-45.107059241151731</v>
      </c>
      <c r="Y496">
        <f t="shared" si="389"/>
        <v>-172.69318210191912</v>
      </c>
      <c r="Z496">
        <f t="shared" si="406"/>
        <v>7.3068178980808796</v>
      </c>
      <c r="AC496">
        <v>1</v>
      </c>
      <c r="AD496">
        <f t="shared" si="390"/>
        <v>485.56003609058405</v>
      </c>
      <c r="AE496">
        <f t="shared" si="391"/>
        <v>-0.43017177902548764</v>
      </c>
      <c r="AF496">
        <f t="shared" si="392"/>
        <v>6.1129109783700002E-2</v>
      </c>
      <c r="AG496">
        <f t="shared" si="421"/>
        <v>154.94744911568716</v>
      </c>
      <c r="AH496">
        <f t="shared" si="422"/>
        <v>-1106.7398180824846</v>
      </c>
      <c r="AJ496">
        <f t="shared" si="393"/>
        <v>21000</v>
      </c>
      <c r="AK496">
        <f t="shared" si="394"/>
        <v>9506.9054650562994</v>
      </c>
      <c r="AL496">
        <v>1</v>
      </c>
      <c r="AM496">
        <f t="shared" si="395"/>
        <v>186.4978265170503</v>
      </c>
      <c r="AN496">
        <f t="shared" si="423"/>
        <v>51.578245875465313</v>
      </c>
      <c r="AO496">
        <f t="shared" si="424"/>
        <v>-112.3252862799951</v>
      </c>
      <c r="AQ496">
        <f t="shared" si="396"/>
        <v>1.2574818598810598E-3</v>
      </c>
      <c r="AR496">
        <f t="shared" si="397"/>
        <v>-3.5460988448645887</v>
      </c>
      <c r="AT496">
        <f t="shared" si="418"/>
        <v>-3924.4139468614458</v>
      </c>
      <c r="AU496">
        <f t="shared" si="419"/>
        <v>-550.85067556869967</v>
      </c>
      <c r="AV496">
        <f t="shared" si="407"/>
        <v>-3.0021386685948888</v>
      </c>
      <c r="AW496">
        <f t="shared" si="408"/>
        <v>-269.27464707708265</v>
      </c>
      <c r="AX496">
        <f t="shared" si="409"/>
        <v>-1451.7667195165125</v>
      </c>
      <c r="AY496">
        <f t="shared" si="417"/>
        <v>-1.7541928053600517</v>
      </c>
      <c r="BA496">
        <f t="shared" si="398"/>
        <v>2.6839213434055926</v>
      </c>
      <c r="BB496">
        <f t="shared" si="410"/>
        <v>8.5753956798238136</v>
      </c>
      <c r="BC496">
        <f t="shared" si="411"/>
        <v>-1.247945863234837</v>
      </c>
      <c r="BD496">
        <f t="shared" si="399"/>
        <v>-251.50203110586938</v>
      </c>
      <c r="BF496">
        <f t="shared" si="400"/>
        <v>-55.656414793710773</v>
      </c>
      <c r="BG496">
        <f t="shared" si="401"/>
        <v>-227.50107582928243</v>
      </c>
      <c r="BH496">
        <f t="shared" si="412"/>
        <v>-47.501075829282428</v>
      </c>
      <c r="BI496">
        <f t="shared" si="413"/>
        <v>-47.501075829282428</v>
      </c>
      <c r="BJ496">
        <f t="shared" si="402"/>
        <v>0</v>
      </c>
      <c r="BK496">
        <f t="shared" si="414"/>
        <v>0</v>
      </c>
      <c r="BM496">
        <f t="shared" si="415"/>
        <v>-64.23181047353458</v>
      </c>
      <c r="BN496">
        <f t="shared" si="403"/>
        <v>-155.99904472341305</v>
      </c>
      <c r="BQ496" s="66">
        <f t="shared" si="416"/>
        <v>25.477356480108952</v>
      </c>
    </row>
    <row r="497" spans="1:69" ht="13" x14ac:dyDescent="0.3">
      <c r="A497">
        <f t="shared" si="420"/>
        <v>1415000</v>
      </c>
      <c r="B497">
        <f t="shared" si="404"/>
        <v>1415</v>
      </c>
      <c r="C497">
        <f t="shared" si="373"/>
        <v>1.0943544609805833</v>
      </c>
      <c r="D497">
        <f t="shared" si="374"/>
        <v>0.4183002461718987</v>
      </c>
      <c r="F497">
        <f t="shared" si="375"/>
        <v>3.7182480416119027E-5</v>
      </c>
      <c r="G497">
        <f t="shared" si="376"/>
        <v>1.9010764638571747E-3</v>
      </c>
      <c r="H497">
        <f t="shared" si="377"/>
        <v>-3.139691573536143</v>
      </c>
      <c r="J497">
        <f t="shared" si="378"/>
        <v>15</v>
      </c>
      <c r="M497">
        <f t="shared" si="379"/>
        <v>7.7623872817737772E-4</v>
      </c>
      <c r="N497">
        <f t="shared" si="380"/>
        <v>-1.5707963250000001</v>
      </c>
      <c r="O497">
        <f t="shared" si="381"/>
        <v>487.28290628924441</v>
      </c>
      <c r="P497">
        <f t="shared" si="382"/>
        <v>1.5687441294183571</v>
      </c>
      <c r="Q497">
        <f t="shared" si="383"/>
        <v>187.16183783123446</v>
      </c>
      <c r="R497">
        <f t="shared" si="384"/>
        <v>1.5654533318257506</v>
      </c>
      <c r="S497">
        <f t="shared" si="385"/>
        <v>0.91044545396519749</v>
      </c>
      <c r="T497">
        <f t="shared" si="386"/>
        <v>-0.42643659769821313</v>
      </c>
      <c r="U497">
        <f t="shared" si="387"/>
        <v>0.14020318176728083</v>
      </c>
      <c r="V497">
        <f t="shared" si="388"/>
        <v>-1.4301297064012313</v>
      </c>
      <c r="X497">
        <f t="shared" si="405"/>
        <v>-45.168135689818484</v>
      </c>
      <c r="Y497">
        <f t="shared" si="389"/>
        <v>-172.72136447719427</v>
      </c>
      <c r="Z497">
        <f t="shared" si="406"/>
        <v>7.2786355228057289</v>
      </c>
      <c r="AC497">
        <v>1</v>
      </c>
      <c r="AD497">
        <f t="shared" si="390"/>
        <v>487.28188019019603</v>
      </c>
      <c r="AE497">
        <f t="shared" si="391"/>
        <v>-0.43322805203928727</v>
      </c>
      <c r="AF497">
        <f t="shared" si="392"/>
        <v>6.1345879676550003E-2</v>
      </c>
      <c r="AG497">
        <f t="shared" si="421"/>
        <v>153.8758358285468</v>
      </c>
      <c r="AH497">
        <f t="shared" si="422"/>
        <v>-1102.9808190652354</v>
      </c>
      <c r="AJ497">
        <f t="shared" si="393"/>
        <v>21000</v>
      </c>
      <c r="AK497">
        <f t="shared" si="394"/>
        <v>9540.6178957834509</v>
      </c>
      <c r="AL497">
        <v>1</v>
      </c>
      <c r="AM497">
        <f t="shared" si="395"/>
        <v>187.15916632739447</v>
      </c>
      <c r="AN497">
        <f t="shared" si="423"/>
        <v>51.573997069110533</v>
      </c>
      <c r="AO497">
        <f t="shared" si="424"/>
        <v>-111.92839984276351</v>
      </c>
      <c r="AQ497">
        <f t="shared" si="396"/>
        <v>1.2486107644482057E-3</v>
      </c>
      <c r="AR497">
        <f t="shared" si="397"/>
        <v>-3.5335684633884226</v>
      </c>
      <c r="AT497">
        <f t="shared" si="418"/>
        <v>-3897.2661069462438</v>
      </c>
      <c r="AU497">
        <f t="shared" si="419"/>
        <v>-545.10799448495197</v>
      </c>
      <c r="AV497">
        <f t="shared" si="407"/>
        <v>-3.0026248736969148</v>
      </c>
      <c r="AW497">
        <f t="shared" si="408"/>
        <v>-267.00502591582472</v>
      </c>
      <c r="AX497">
        <f t="shared" si="409"/>
        <v>-1446.6946938928611</v>
      </c>
      <c r="AY497">
        <f t="shared" si="417"/>
        <v>-1.7533046611824654</v>
      </c>
      <c r="BA497">
        <f t="shared" si="398"/>
        <v>2.6749567283478464</v>
      </c>
      <c r="BB497">
        <f t="shared" si="410"/>
        <v>8.5463352202907199</v>
      </c>
      <c r="BC497">
        <f t="shared" si="411"/>
        <v>-1.2493202125144494</v>
      </c>
      <c r="BD497">
        <f t="shared" si="399"/>
        <v>-251.580775519258</v>
      </c>
      <c r="BF497">
        <f t="shared" si="400"/>
        <v>-55.741912189279638</v>
      </c>
      <c r="BG497">
        <f t="shared" si="401"/>
        <v>-227.50501315890358</v>
      </c>
      <c r="BH497">
        <f t="shared" si="412"/>
        <v>-47.50501315890358</v>
      </c>
      <c r="BI497">
        <f t="shared" si="413"/>
        <v>-47.50501315890358</v>
      </c>
      <c r="BJ497">
        <f t="shared" si="402"/>
        <v>0</v>
      </c>
      <c r="BK497">
        <f t="shared" si="414"/>
        <v>0</v>
      </c>
      <c r="BM497">
        <f t="shared" si="415"/>
        <v>-64.28824740957036</v>
      </c>
      <c r="BN497">
        <f t="shared" si="403"/>
        <v>-155.92423763964561</v>
      </c>
      <c r="BQ497" s="66">
        <f t="shared" si="416"/>
        <v>25.448296020575857</v>
      </c>
    </row>
    <row r="498" spans="1:69" ht="13" x14ac:dyDescent="0.3">
      <c r="A498">
        <f t="shared" si="420"/>
        <v>1420000</v>
      </c>
      <c r="B498">
        <f t="shared" si="404"/>
        <v>1420</v>
      </c>
      <c r="C498">
        <f t="shared" si="373"/>
        <v>1.0949934715279173</v>
      </c>
      <c r="D498">
        <f t="shared" si="374"/>
        <v>0.4196110885054436</v>
      </c>
      <c r="F498">
        <f t="shared" si="375"/>
        <v>3.6921083694748927E-5</v>
      </c>
      <c r="G498">
        <f t="shared" si="376"/>
        <v>1.8943820490654551E-3</v>
      </c>
      <c r="H498">
        <f t="shared" si="377"/>
        <v>-3.1396982679509349</v>
      </c>
      <c r="J498">
        <f t="shared" si="378"/>
        <v>15</v>
      </c>
      <c r="M498">
        <f t="shared" si="379"/>
        <v>7.7350549321900672E-4</v>
      </c>
      <c r="N498">
        <f t="shared" si="380"/>
        <v>-1.5707963250000001</v>
      </c>
      <c r="O498">
        <f t="shared" si="381"/>
        <v>489.00474677583918</v>
      </c>
      <c r="P498">
        <f t="shared" si="382"/>
        <v>1.5687513554452761</v>
      </c>
      <c r="Q498">
        <f t="shared" si="383"/>
        <v>187.82316823500852</v>
      </c>
      <c r="R498">
        <f t="shared" si="384"/>
        <v>1.5654721448321582</v>
      </c>
      <c r="S498">
        <f t="shared" si="385"/>
        <v>0.90989456751079389</v>
      </c>
      <c r="T498">
        <f t="shared" si="386"/>
        <v>-0.42776648826102021</v>
      </c>
      <c r="U498">
        <f t="shared" si="387"/>
        <v>0.13971916249880803</v>
      </c>
      <c r="V498">
        <f t="shared" si="388"/>
        <v>-1.4306185372403042</v>
      </c>
      <c r="X498">
        <f t="shared" si="405"/>
        <v>-45.22900172548448</v>
      </c>
      <c r="Y498">
        <f t="shared" si="389"/>
        <v>-172.74935543934652</v>
      </c>
      <c r="Z498">
        <f t="shared" si="406"/>
        <v>7.2506445606534839</v>
      </c>
      <c r="AC498">
        <v>1</v>
      </c>
      <c r="AD498">
        <f t="shared" si="390"/>
        <v>489.00372428980802</v>
      </c>
      <c r="AE498">
        <f t="shared" si="391"/>
        <v>-0.43629514371862244</v>
      </c>
      <c r="AF498">
        <f t="shared" si="392"/>
        <v>6.1562649569400003E-2</v>
      </c>
      <c r="AG498">
        <f t="shared" si="421"/>
        <v>152.81522781716251</v>
      </c>
      <c r="AH498">
        <f t="shared" si="422"/>
        <v>-1099.2467389922069</v>
      </c>
      <c r="AJ498">
        <f t="shared" si="393"/>
        <v>21000</v>
      </c>
      <c r="AK498">
        <f t="shared" si="394"/>
        <v>9574.3303265106006</v>
      </c>
      <c r="AL498">
        <v>1</v>
      </c>
      <c r="AM498">
        <f t="shared" si="395"/>
        <v>187.82050613773859</v>
      </c>
      <c r="AN498">
        <f t="shared" si="423"/>
        <v>51.569793063752897</v>
      </c>
      <c r="AO498">
        <f t="shared" si="424"/>
        <v>-111.53430814191111</v>
      </c>
      <c r="AQ498">
        <f t="shared" si="396"/>
        <v>1.2398332126768979E-3</v>
      </c>
      <c r="AR498">
        <f t="shared" si="397"/>
        <v>-3.52112632400239</v>
      </c>
      <c r="AT498">
        <f t="shared" si="418"/>
        <v>-3870.3971638443936</v>
      </c>
      <c r="AU498">
        <f t="shared" si="419"/>
        <v>-539.44460399136244</v>
      </c>
      <c r="AV498">
        <f t="shared" si="407"/>
        <v>-3.0031077227233167</v>
      </c>
      <c r="AW498">
        <f t="shared" si="408"/>
        <v>-264.75947949490148</v>
      </c>
      <c r="AX498">
        <f t="shared" si="409"/>
        <v>-1441.6577986631544</v>
      </c>
      <c r="AY498">
        <f t="shared" si="417"/>
        <v>-1.7524217988421475</v>
      </c>
      <c r="BA498">
        <f t="shared" si="398"/>
        <v>2.6660497390300897</v>
      </c>
      <c r="BB498">
        <f t="shared" si="410"/>
        <v>8.5173649509551517</v>
      </c>
      <c r="BC498">
        <f t="shared" si="411"/>
        <v>-1.2506859238811692</v>
      </c>
      <c r="BD498">
        <f t="shared" si="399"/>
        <v>-251.6590250166935</v>
      </c>
      <c r="BF498">
        <f t="shared" si="400"/>
        <v>-55.827090474470957</v>
      </c>
      <c r="BG498">
        <f t="shared" si="401"/>
        <v>-227.50854048464839</v>
      </c>
      <c r="BH498">
        <f t="shared" si="412"/>
        <v>-47.508540484648393</v>
      </c>
      <c r="BI498">
        <f t="shared" si="413"/>
        <v>-47.508540484648393</v>
      </c>
      <c r="BJ498">
        <f t="shared" si="402"/>
        <v>0</v>
      </c>
      <c r="BK498">
        <f t="shared" si="414"/>
        <v>0</v>
      </c>
      <c r="BM498">
        <f t="shared" si="415"/>
        <v>-64.344455425426105</v>
      </c>
      <c r="BN498">
        <f t="shared" si="403"/>
        <v>-155.84951546795489</v>
      </c>
      <c r="BQ498" s="66">
        <f t="shared" si="416"/>
        <v>25.41932575124029</v>
      </c>
    </row>
    <row r="499" spans="1:69" ht="13" x14ac:dyDescent="0.3">
      <c r="A499">
        <f t="shared" si="420"/>
        <v>1425000</v>
      </c>
      <c r="B499">
        <f t="shared" si="404"/>
        <v>1425</v>
      </c>
      <c r="C499">
        <f t="shared" si="373"/>
        <v>1.0956343614142479</v>
      </c>
      <c r="D499">
        <f t="shared" si="374"/>
        <v>0.42092039953558141</v>
      </c>
      <c r="F499">
        <f t="shared" si="375"/>
        <v>3.6662433816883989E-5</v>
      </c>
      <c r="G499">
        <f t="shared" si="376"/>
        <v>1.8877346176869466E-3</v>
      </c>
      <c r="H499">
        <f t="shared" si="377"/>
        <v>-3.1397049153823131</v>
      </c>
      <c r="J499">
        <f t="shared" si="378"/>
        <v>15</v>
      </c>
      <c r="M499">
        <f t="shared" si="379"/>
        <v>7.7079143885683472E-4</v>
      </c>
      <c r="N499">
        <f t="shared" si="380"/>
        <v>-1.5707963250000001</v>
      </c>
      <c r="O499">
        <f t="shared" si="381"/>
        <v>490.72658728778833</v>
      </c>
      <c r="P499">
        <f t="shared" si="382"/>
        <v>1.5687585307634457</v>
      </c>
      <c r="Q499">
        <f t="shared" si="383"/>
        <v>188.48449870479217</v>
      </c>
      <c r="R499">
        <f t="shared" si="384"/>
        <v>1.5654908258211973</v>
      </c>
      <c r="S499">
        <f t="shared" si="385"/>
        <v>0.90934274195329989</v>
      </c>
      <c r="T499">
        <f t="shared" si="386"/>
        <v>-0.4290947680879455</v>
      </c>
      <c r="U499">
        <f t="shared" si="387"/>
        <v>0.13923844073420605</v>
      </c>
      <c r="V499">
        <f t="shared" si="388"/>
        <v>-1.4311040044238601</v>
      </c>
      <c r="X499">
        <f t="shared" si="405"/>
        <v>-45.289658783341913</v>
      </c>
      <c r="Y499">
        <f t="shared" si="389"/>
        <v>-172.77715690457225</v>
      </c>
      <c r="Z499">
        <f t="shared" si="406"/>
        <v>7.2228430954277485</v>
      </c>
      <c r="AC499">
        <v>1</v>
      </c>
      <c r="AD499">
        <f t="shared" si="390"/>
        <v>490.72556838942</v>
      </c>
      <c r="AE499">
        <f t="shared" si="391"/>
        <v>-0.43937305406349325</v>
      </c>
      <c r="AF499">
        <f t="shared" si="392"/>
        <v>6.1779419462249997E-2</v>
      </c>
      <c r="AG499">
        <f t="shared" si="421"/>
        <v>151.76547590616147</v>
      </c>
      <c r="AH499">
        <f t="shared" si="422"/>
        <v>-1095.5373365339926</v>
      </c>
      <c r="AJ499">
        <f t="shared" si="393"/>
        <v>21000</v>
      </c>
      <c r="AK499">
        <f t="shared" si="394"/>
        <v>9608.0427572377503</v>
      </c>
      <c r="AL499">
        <v>1</v>
      </c>
      <c r="AM499">
        <f t="shared" si="395"/>
        <v>188.48184594808276</v>
      </c>
      <c r="AN499">
        <f t="shared" si="423"/>
        <v>51.565633231740442</v>
      </c>
      <c r="AO499">
        <f t="shared" si="424"/>
        <v>-111.14298176249025</v>
      </c>
      <c r="AQ499">
        <f t="shared" si="396"/>
        <v>1.2311478939799453E-3</v>
      </c>
      <c r="AR499">
        <f t="shared" si="397"/>
        <v>-3.5087714978428441</v>
      </c>
      <c r="AT499">
        <f t="shared" si="418"/>
        <v>-3843.8033355070966</v>
      </c>
      <c r="AU499">
        <f t="shared" si="419"/>
        <v>-533.85914470074454</v>
      </c>
      <c r="AV499">
        <f t="shared" si="407"/>
        <v>-3.0035872500716243</v>
      </c>
      <c r="AW499">
        <f t="shared" si="408"/>
        <v>-262.53766809930727</v>
      </c>
      <c r="AX499">
        <f t="shared" si="409"/>
        <v>-1436.6556719016285</v>
      </c>
      <c r="AY499">
        <f t="shared" si="417"/>
        <v>-1.7515441641713161</v>
      </c>
      <c r="BA499">
        <f t="shared" si="398"/>
        <v>2.6571998430274122</v>
      </c>
      <c r="BB499">
        <f t="shared" si="410"/>
        <v>8.4884843622762034</v>
      </c>
      <c r="BC499">
        <f t="shared" si="411"/>
        <v>-1.2520430859003082</v>
      </c>
      <c r="BD499">
        <f t="shared" si="399"/>
        <v>-251.73678467259447</v>
      </c>
      <c r="BF499">
        <f t="shared" si="400"/>
        <v>-55.91195173280633</v>
      </c>
      <c r="BG499">
        <f t="shared" si="401"/>
        <v>-227.51166301412982</v>
      </c>
      <c r="BH499">
        <f t="shared" si="412"/>
        <v>-47.511663014129823</v>
      </c>
      <c r="BI499">
        <f t="shared" si="413"/>
        <v>-47.511663014129823</v>
      </c>
      <c r="BJ499">
        <f t="shared" si="402"/>
        <v>0</v>
      </c>
      <c r="BK499">
        <f t="shared" si="414"/>
        <v>0</v>
      </c>
      <c r="BM499">
        <f t="shared" si="415"/>
        <v>-64.40043609508254</v>
      </c>
      <c r="BN499">
        <f t="shared" si="403"/>
        <v>-155.77487834153538</v>
      </c>
      <c r="BQ499" s="66">
        <f t="shared" si="416"/>
        <v>25.390445162561338</v>
      </c>
    </row>
    <row r="500" spans="1:69" ht="13" x14ac:dyDescent="0.3">
      <c r="A500">
        <f t="shared" si="420"/>
        <v>1430000</v>
      </c>
      <c r="B500">
        <f t="shared" si="404"/>
        <v>1430</v>
      </c>
      <c r="C500">
        <f t="shared" si="373"/>
        <v>1.0962771273435572</v>
      </c>
      <c r="D500">
        <f t="shared" si="374"/>
        <v>0.4222281774627884</v>
      </c>
      <c r="F500">
        <f t="shared" si="375"/>
        <v>3.6406492430131939E-5</v>
      </c>
      <c r="G500">
        <f t="shared" si="376"/>
        <v>1.8811336768181869E-3</v>
      </c>
      <c r="H500">
        <f t="shared" si="377"/>
        <v>-3.1397115163231821</v>
      </c>
      <c r="J500">
        <f t="shared" si="378"/>
        <v>15</v>
      </c>
      <c r="M500">
        <f t="shared" si="379"/>
        <v>7.6809636389579686E-4</v>
      </c>
      <c r="N500">
        <f t="shared" si="380"/>
        <v>-1.5707963250000001</v>
      </c>
      <c r="O500">
        <f t="shared" si="381"/>
        <v>492.44842782482601</v>
      </c>
      <c r="P500">
        <f t="shared" si="382"/>
        <v>1.5687656559047729</v>
      </c>
      <c r="Q500">
        <f t="shared" si="383"/>
        <v>189.14582923989312</v>
      </c>
      <c r="R500">
        <f t="shared" si="384"/>
        <v>1.5655093761776138</v>
      </c>
      <c r="S500">
        <f t="shared" si="385"/>
        <v>0.90878998483657014</v>
      </c>
      <c r="T500">
        <f t="shared" si="386"/>
        <v>-0.43042143542503181</v>
      </c>
      <c r="U500">
        <f t="shared" si="387"/>
        <v>0.13876098323003028</v>
      </c>
      <c r="V500">
        <f t="shared" si="388"/>
        <v>-1.4315861423244542</v>
      </c>
      <c r="X500">
        <f t="shared" si="405"/>
        <v>-45.350108284050386</v>
      </c>
      <c r="Y500">
        <f t="shared" si="389"/>
        <v>-172.80477076330968</v>
      </c>
      <c r="Z500">
        <f t="shared" si="406"/>
        <v>7.1952292366903237</v>
      </c>
      <c r="AC500">
        <v>1</v>
      </c>
      <c r="AD500">
        <f t="shared" si="390"/>
        <v>492.44741248903199</v>
      </c>
      <c r="AE500">
        <f t="shared" si="391"/>
        <v>-0.4424617830738995</v>
      </c>
      <c r="AF500">
        <f t="shared" si="392"/>
        <v>6.1996189355099998E-2</v>
      </c>
      <c r="AG500">
        <f t="shared" si="421"/>
        <v>150.72643342195227</v>
      </c>
      <c r="AH500">
        <f t="shared" si="422"/>
        <v>-1091.8523733858806</v>
      </c>
      <c r="AJ500">
        <f t="shared" si="393"/>
        <v>21000</v>
      </c>
      <c r="AK500">
        <f t="shared" si="394"/>
        <v>9641.7551879649</v>
      </c>
      <c r="AL500">
        <v>1</v>
      </c>
      <c r="AM500">
        <f t="shared" si="395"/>
        <v>189.14318575842691</v>
      </c>
      <c r="AN500">
        <f t="shared" si="423"/>
        <v>51.561516956374355</v>
      </c>
      <c r="AO500">
        <f t="shared" si="424"/>
        <v>-110.75439170089324</v>
      </c>
      <c r="AQ500">
        <f t="shared" si="396"/>
        <v>1.2225535206423883E-3</v>
      </c>
      <c r="AR500">
        <f t="shared" si="397"/>
        <v>-3.4965030690372307</v>
      </c>
      <c r="AT500">
        <f t="shared" si="418"/>
        <v>-3817.4809033474817</v>
      </c>
      <c r="AU500">
        <f t="shared" si="419"/>
        <v>-528.35028500799649</v>
      </c>
      <c r="AV500">
        <f t="shared" si="407"/>
        <v>-3.0040634896740732</v>
      </c>
      <c r="AW500">
        <f t="shared" si="408"/>
        <v>-260.33925799169344</v>
      </c>
      <c r="AX500">
        <f t="shared" si="409"/>
        <v>-1431.6879566145103</v>
      </c>
      <c r="AY500">
        <f t="shared" si="417"/>
        <v>-1.7506717037339066</v>
      </c>
      <c r="BA500">
        <f t="shared" si="398"/>
        <v>2.6484065141161319</v>
      </c>
      <c r="BB500">
        <f t="shared" si="410"/>
        <v>8.4596929483391357</v>
      </c>
      <c r="BC500">
        <f t="shared" si="411"/>
        <v>-1.2533917859401666</v>
      </c>
      <c r="BD500">
        <f t="shared" si="399"/>
        <v>-251.81405949279579</v>
      </c>
      <c r="BF500">
        <f t="shared" si="400"/>
        <v>-55.996498028128947</v>
      </c>
      <c r="BG500">
        <f t="shared" si="401"/>
        <v>-227.51438588452925</v>
      </c>
      <c r="BH500">
        <f t="shared" si="412"/>
        <v>-47.514385884529247</v>
      </c>
      <c r="BI500">
        <f t="shared" si="413"/>
        <v>-47.514385884529247</v>
      </c>
      <c r="BJ500">
        <f t="shared" si="402"/>
        <v>0</v>
      </c>
      <c r="BK500">
        <f t="shared" si="414"/>
        <v>0</v>
      </c>
      <c r="BM500">
        <f t="shared" si="415"/>
        <v>-64.456190976468093</v>
      </c>
      <c r="BN500">
        <f t="shared" si="403"/>
        <v>-155.70032639173346</v>
      </c>
      <c r="BQ500" s="66">
        <f t="shared" si="416"/>
        <v>25.361653748624271</v>
      </c>
    </row>
    <row r="501" spans="1:69" ht="13" x14ac:dyDescent="0.3">
      <c r="A501">
        <f t="shared" si="420"/>
        <v>1435000</v>
      </c>
      <c r="B501">
        <f t="shared" si="404"/>
        <v>1435</v>
      </c>
      <c r="C501">
        <f t="shared" si="373"/>
        <v>1.0969217660179176</v>
      </c>
      <c r="D501">
        <f t="shared" si="374"/>
        <v>0.42353442051272844</v>
      </c>
      <c r="F501">
        <f t="shared" si="375"/>
        <v>3.6153221849141106E-5</v>
      </c>
      <c r="G501">
        <f t="shared" si="376"/>
        <v>1.8745787404266716E-3</v>
      </c>
      <c r="H501">
        <f t="shared" si="377"/>
        <v>-3.1397180712595736</v>
      </c>
      <c r="J501">
        <f t="shared" si="378"/>
        <v>15</v>
      </c>
      <c r="M501">
        <f t="shared" si="379"/>
        <v>7.6542006994494041E-4</v>
      </c>
      <c r="N501">
        <f t="shared" si="380"/>
        <v>-1.5707963250000001</v>
      </c>
      <c r="O501">
        <f t="shared" si="381"/>
        <v>494.17026838668988</v>
      </c>
      <c r="P501">
        <f t="shared" si="382"/>
        <v>1.5687727313937514</v>
      </c>
      <c r="Q501">
        <f t="shared" si="383"/>
        <v>189.8071598396285</v>
      </c>
      <c r="R501">
        <f t="shared" si="384"/>
        <v>1.5655277972668546</v>
      </c>
      <c r="S501">
        <f t="shared" si="385"/>
        <v>0.9082363036902843</v>
      </c>
      <c r="T501">
        <f t="shared" si="386"/>
        <v>-0.43174648854528225</v>
      </c>
      <c r="U501">
        <f t="shared" si="387"/>
        <v>0.13828675718351024</v>
      </c>
      <c r="V501">
        <f t="shared" si="388"/>
        <v>-1.4320649848509985</v>
      </c>
      <c r="X501">
        <f t="shared" si="405"/>
        <v>-45.410351633930468</v>
      </c>
      <c r="Y501">
        <f t="shared" si="389"/>
        <v>-172.8321988806708</v>
      </c>
      <c r="Z501">
        <f t="shared" si="406"/>
        <v>7.1678011193291979</v>
      </c>
      <c r="AC501">
        <v>1</v>
      </c>
      <c r="AD501">
        <f t="shared" si="390"/>
        <v>494.16925658864403</v>
      </c>
      <c r="AE501">
        <f t="shared" si="391"/>
        <v>-0.44556133074984144</v>
      </c>
      <c r="AF501">
        <f t="shared" si="392"/>
        <v>6.2212959247949999E-2</v>
      </c>
      <c r="AG501">
        <f t="shared" si="421"/>
        <v>149.69795614289899</v>
      </c>
      <c r="AH501">
        <f t="shared" si="422"/>
        <v>-1088.1916142221166</v>
      </c>
      <c r="AJ501">
        <f t="shared" si="393"/>
        <v>21000</v>
      </c>
      <c r="AK501">
        <f t="shared" si="394"/>
        <v>9675.4676186920515</v>
      </c>
      <c r="AL501">
        <v>1</v>
      </c>
      <c r="AM501">
        <f t="shared" si="395"/>
        <v>189.80452556877106</v>
      </c>
      <c r="AN501">
        <f t="shared" si="423"/>
        <v>51.557443631680314</v>
      </c>
      <c r="AO501">
        <f t="shared" si="424"/>
        <v>-110.36850935768737</v>
      </c>
      <c r="AQ501">
        <f t="shared" si="396"/>
        <v>1.2140488273441675E-3</v>
      </c>
      <c r="AR501">
        <f t="shared" si="397"/>
        <v>-3.4843201344777603</v>
      </c>
      <c r="AT501">
        <f t="shared" si="418"/>
        <v>-3791.4262109758656</v>
      </c>
      <c r="AU501">
        <f t="shared" si="419"/>
        <v>-522.9167204320438</v>
      </c>
      <c r="AV501">
        <f t="shared" si="407"/>
        <v>-3.0045364750053918</v>
      </c>
      <c r="AW501">
        <f t="shared" si="408"/>
        <v>-258.16392128646953</v>
      </c>
      <c r="AX501">
        <f t="shared" si="409"/>
        <v>-1426.7543006566368</v>
      </c>
      <c r="AY501">
        <f t="shared" si="417"/>
        <v>-1.7498043648133914</v>
      </c>
      <c r="BA501">
        <f t="shared" si="398"/>
        <v>2.6396692321905677</v>
      </c>
      <c r="BB501">
        <f t="shared" si="410"/>
        <v>8.4309902068342453</v>
      </c>
      <c r="BC501">
        <f t="shared" si="411"/>
        <v>-1.2547321101920004</v>
      </c>
      <c r="BD501">
        <f t="shared" si="399"/>
        <v>-251.89085441569264</v>
      </c>
      <c r="BF501">
        <f t="shared" si="400"/>
        <v>-56.08073140484742</v>
      </c>
      <c r="BG501">
        <f t="shared" si="401"/>
        <v>-227.51671416375137</v>
      </c>
      <c r="BH501">
        <f t="shared" si="412"/>
        <v>-47.516714163751374</v>
      </c>
      <c r="BI501">
        <f t="shared" si="413"/>
        <v>-47.516714163751374</v>
      </c>
      <c r="BJ501">
        <f t="shared" si="402"/>
        <v>0</v>
      </c>
      <c r="BK501">
        <f t="shared" si="414"/>
        <v>0</v>
      </c>
      <c r="BM501">
        <f t="shared" si="415"/>
        <v>-64.511721611681665</v>
      </c>
      <c r="BN501">
        <f t="shared" si="403"/>
        <v>-155.62585974805873</v>
      </c>
      <c r="BQ501" s="66">
        <f t="shared" si="416"/>
        <v>25.332951007119384</v>
      </c>
    </row>
    <row r="502" spans="1:69" ht="13" x14ac:dyDescent="0.3">
      <c r="A502">
        <f t="shared" si="420"/>
        <v>1440000</v>
      </c>
      <c r="B502">
        <f t="shared" si="404"/>
        <v>1440</v>
      </c>
      <c r="C502">
        <f t="shared" si="373"/>
        <v>1.0975682741375508</v>
      </c>
      <c r="D502">
        <f t="shared" si="374"/>
        <v>0.42483912693617942</v>
      </c>
      <c r="F502">
        <f t="shared" si="375"/>
        <v>3.5902585041726838E-5</v>
      </c>
      <c r="G502">
        <f t="shared" si="376"/>
        <v>1.8680693292315387E-3</v>
      </c>
      <c r="H502">
        <f t="shared" si="377"/>
        <v>-3.1397245806707685</v>
      </c>
      <c r="J502">
        <f t="shared" si="378"/>
        <v>15</v>
      </c>
      <c r="M502">
        <f t="shared" si="379"/>
        <v>7.6276236136874271E-4</v>
      </c>
      <c r="N502">
        <f t="shared" si="380"/>
        <v>-1.5707963250000001</v>
      </c>
      <c r="O502">
        <f t="shared" si="381"/>
        <v>495.89210897312137</v>
      </c>
      <c r="P502">
        <f t="shared" si="382"/>
        <v>1.5687797577475902</v>
      </c>
      <c r="Q502">
        <f t="shared" si="383"/>
        <v>190.46849050332511</v>
      </c>
      <c r="R502">
        <f t="shared" si="384"/>
        <v>1.565546090435403</v>
      </c>
      <c r="S502">
        <f t="shared" si="385"/>
        <v>0.90768170602976805</v>
      </c>
      <c r="T502">
        <f t="shared" si="386"/>
        <v>-0.43306992574857334</v>
      </c>
      <c r="U502">
        <f t="shared" si="387"/>
        <v>0.13781573022535268</v>
      </c>
      <c r="V502">
        <f t="shared" si="388"/>
        <v>-1.4325405654564993</v>
      </c>
      <c r="X502">
        <f t="shared" si="405"/>
        <v>-45.470390225154091</v>
      </c>
      <c r="Y502">
        <f t="shared" si="389"/>
        <v>-172.85944309686371</v>
      </c>
      <c r="Z502">
        <f t="shared" si="406"/>
        <v>7.1405569031362859</v>
      </c>
      <c r="AC502">
        <v>1</v>
      </c>
      <c r="AD502">
        <f t="shared" si="390"/>
        <v>495.89110068825602</v>
      </c>
      <c r="AE502">
        <f t="shared" si="391"/>
        <v>-0.44867169709131899</v>
      </c>
      <c r="AF502">
        <f t="shared" si="392"/>
        <v>6.2429729140800007E-2</v>
      </c>
      <c r="AG502">
        <f t="shared" si="421"/>
        <v>148.67990225064159</v>
      </c>
      <c r="AH502">
        <f t="shared" si="422"/>
        <v>-1084.5548266509606</v>
      </c>
      <c r="AJ502">
        <f t="shared" si="393"/>
        <v>21000</v>
      </c>
      <c r="AK502">
        <f t="shared" si="394"/>
        <v>9709.1800494192012</v>
      </c>
      <c r="AL502">
        <v>1</v>
      </c>
      <c r="AM502">
        <f t="shared" si="395"/>
        <v>190.4658653791152</v>
      </c>
      <c r="AN502">
        <f t="shared" si="423"/>
        <v>51.553412662185522</v>
      </c>
      <c r="AO502">
        <f t="shared" si="424"/>
        <v>-109.98530653059913</v>
      </c>
      <c r="AQ502">
        <f t="shared" si="396"/>
        <v>1.2056325706943755E-3</v>
      </c>
      <c r="AR502">
        <f t="shared" si="397"/>
        <v>-3.472221803599802</v>
      </c>
      <c r="AT502">
        <f t="shared" si="418"/>
        <v>-3765.6356629641082</v>
      </c>
      <c r="AU502">
        <f t="shared" si="419"/>
        <v>-517.55717297547926</v>
      </c>
      <c r="AV502">
        <f t="shared" si="407"/>
        <v>-3.0050062390904344</v>
      </c>
      <c r="AW502">
        <f t="shared" si="408"/>
        <v>-256.01133582698822</v>
      </c>
      <c r="AX502">
        <f t="shared" si="409"/>
        <v>-1421.8543566497483</v>
      </c>
      <c r="AY502">
        <f t="shared" si="417"/>
        <v>-1.7489420954008397</v>
      </c>
      <c r="BA502">
        <f t="shared" si="398"/>
        <v>2.6309874831809896</v>
      </c>
      <c r="BB502">
        <f t="shared" si="410"/>
        <v>8.4023756390355491</v>
      </c>
      <c r="BC502">
        <f t="shared" si="411"/>
        <v>-1.2560641436895947</v>
      </c>
      <c r="BD502">
        <f t="shared" si="399"/>
        <v>-251.96717431336208</v>
      </c>
      <c r="BF502">
        <f t="shared" si="400"/>
        <v>-56.164653888175977</v>
      </c>
      <c r="BG502">
        <f t="shared" si="401"/>
        <v>-227.51865285155699</v>
      </c>
      <c r="BH502">
        <f t="shared" si="412"/>
        <v>-47.518652851556993</v>
      </c>
      <c r="BI502">
        <f t="shared" si="413"/>
        <v>-47.518652851556993</v>
      </c>
      <c r="BJ502">
        <f t="shared" si="402"/>
        <v>0</v>
      </c>
      <c r="BK502">
        <f t="shared" si="414"/>
        <v>0</v>
      </c>
      <c r="BM502">
        <f t="shared" si="415"/>
        <v>-64.567029527211531</v>
      </c>
      <c r="BN502">
        <f t="shared" si="403"/>
        <v>-155.55147853819494</v>
      </c>
      <c r="BQ502" s="66">
        <f t="shared" si="416"/>
        <v>25.304336439320689</v>
      </c>
    </row>
    <row r="503" spans="1:69" ht="13" x14ac:dyDescent="0.3">
      <c r="A503">
        <f t="shared" si="420"/>
        <v>1445000</v>
      </c>
      <c r="B503">
        <f t="shared" si="404"/>
        <v>1445</v>
      </c>
      <c r="C503">
        <f t="shared" si="373"/>
        <v>1.0982166484008904</v>
      </c>
      <c r="D503">
        <f t="shared" si="374"/>
        <v>0.42614229500895784</v>
      </c>
      <c r="F503">
        <f t="shared" si="375"/>
        <v>3.5654545615333338E-5</v>
      </c>
      <c r="G503">
        <f t="shared" si="376"/>
        <v>1.8616049705867342E-3</v>
      </c>
      <c r="H503">
        <f t="shared" si="377"/>
        <v>-3.1397310450294134</v>
      </c>
      <c r="J503">
        <f t="shared" si="378"/>
        <v>15</v>
      </c>
      <c r="M503">
        <f t="shared" si="379"/>
        <v>7.6012304523943907E-4</v>
      </c>
      <c r="N503">
        <f t="shared" si="380"/>
        <v>-1.5707963250000001</v>
      </c>
      <c r="O503">
        <f t="shared" si="381"/>
        <v>497.61394958386546</v>
      </c>
      <c r="P503">
        <f t="shared" si="382"/>
        <v>1.5687867354763398</v>
      </c>
      <c r="Q503">
        <f t="shared" si="383"/>
        <v>191.12982123031901</v>
      </c>
      <c r="R503">
        <f t="shared" si="384"/>
        <v>1.565564257011107</v>
      </c>
      <c r="S503">
        <f t="shared" si="385"/>
        <v>0.90712619935581618</v>
      </c>
      <c r="T503">
        <f t="shared" si="386"/>
        <v>-0.43439174536156783</v>
      </c>
      <c r="U503">
        <f t="shared" si="387"/>
        <v>0.13734787041268326</v>
      </c>
      <c r="V503">
        <f t="shared" si="388"/>
        <v>-1.4330129171456425</v>
      </c>
      <c r="X503">
        <f t="shared" si="405"/>
        <v>-45.530225435931882</v>
      </c>
      <c r="Y503">
        <f t="shared" si="389"/>
        <v>-172.88650522760787</v>
      </c>
      <c r="Z503">
        <f t="shared" si="406"/>
        <v>7.11349477239213</v>
      </c>
      <c r="AC503">
        <v>1</v>
      </c>
      <c r="AD503">
        <f t="shared" si="390"/>
        <v>497.612944787868</v>
      </c>
      <c r="AE503">
        <f t="shared" si="391"/>
        <v>-0.45179288209833196</v>
      </c>
      <c r="AF503">
        <f t="shared" si="392"/>
        <v>6.2646499033650008E-2</v>
      </c>
      <c r="AG503">
        <f t="shared" si="421"/>
        <v>147.67213228253109</v>
      </c>
      <c r="AH503">
        <f t="shared" si="422"/>
        <v>-1080.9417811705193</v>
      </c>
      <c r="AJ503">
        <f t="shared" si="393"/>
        <v>21000</v>
      </c>
      <c r="AK503">
        <f t="shared" si="394"/>
        <v>9742.8924801463509</v>
      </c>
      <c r="AL503">
        <v>1</v>
      </c>
      <c r="AM503">
        <f t="shared" si="395"/>
        <v>191.12720518945935</v>
      </c>
      <c r="AN503">
        <f t="shared" si="423"/>
        <v>51.549423462701064</v>
      </c>
      <c r="AO503">
        <f t="shared" si="424"/>
        <v>-109.60475540764412</v>
      </c>
      <c r="AQ503">
        <f t="shared" si="396"/>
        <v>1.1973035287767713E-3</v>
      </c>
      <c r="AR503">
        <f t="shared" si="397"/>
        <v>-3.460207198164869</v>
      </c>
      <c r="AT503">
        <f t="shared" si="418"/>
        <v>-3740.1057236383017</v>
      </c>
      <c r="AU503">
        <f t="shared" si="419"/>
        <v>-512.27039050136648</v>
      </c>
      <c r="AV503">
        <f t="shared" si="407"/>
        <v>-3.00547281451166</v>
      </c>
      <c r="AW503">
        <f t="shared" si="408"/>
        <v>-253.88118506573005</v>
      </c>
      <c r="AX503">
        <f t="shared" si="409"/>
        <v>-1416.9877819024291</v>
      </c>
      <c r="AY503">
        <f t="shared" si="417"/>
        <v>-1.7480848441832095</v>
      </c>
      <c r="BA503">
        <f t="shared" si="398"/>
        <v>2.6223607589726963</v>
      </c>
      <c r="BB503">
        <f t="shared" si="410"/>
        <v>8.3738487497791549</v>
      </c>
      <c r="BC503">
        <f t="shared" si="411"/>
        <v>-1.2573879703284505</v>
      </c>
      <c r="BD503">
        <f t="shared" si="399"/>
        <v>-252.04302399266214</v>
      </c>
      <c r="BF503">
        <f t="shared" si="400"/>
        <v>-56.248267484371119</v>
      </c>
      <c r="BG503">
        <f t="shared" si="401"/>
        <v>-227.52020688067341</v>
      </c>
      <c r="BH503">
        <f t="shared" si="412"/>
        <v>-47.520206880673413</v>
      </c>
      <c r="BI503">
        <f t="shared" si="413"/>
        <v>-47.520206880673413</v>
      </c>
      <c r="BJ503">
        <f t="shared" si="402"/>
        <v>0</v>
      </c>
      <c r="BK503">
        <f t="shared" si="414"/>
        <v>0</v>
      </c>
      <c r="BM503">
        <f t="shared" si="415"/>
        <v>-64.622116234150283</v>
      </c>
      <c r="BN503">
        <f t="shared" si="403"/>
        <v>-155.47718288801127</v>
      </c>
      <c r="BQ503" s="66">
        <f t="shared" si="416"/>
        <v>25.275809550064288</v>
      </c>
    </row>
    <row r="504" spans="1:69" ht="13" x14ac:dyDescent="0.3">
      <c r="A504">
        <f t="shared" si="420"/>
        <v>1450000</v>
      </c>
      <c r="B504">
        <f t="shared" si="404"/>
        <v>1450</v>
      </c>
      <c r="C504">
        <f t="shared" si="373"/>
        <v>1.0988668855046446</v>
      </c>
      <c r="D504">
        <f t="shared" si="374"/>
        <v>0.42744392303184381</v>
      </c>
      <c r="F504">
        <f t="shared" si="375"/>
        <v>3.5409067803821774E-5</v>
      </c>
      <c r="G504">
        <f t="shared" si="376"/>
        <v>1.8551851983665945E-3</v>
      </c>
      <c r="H504">
        <f t="shared" si="377"/>
        <v>-3.1397374648016334</v>
      </c>
      <c r="J504">
        <f t="shared" si="378"/>
        <v>15</v>
      </c>
      <c r="M504">
        <f t="shared" si="379"/>
        <v>7.5750193129033754E-4</v>
      </c>
      <c r="N504">
        <f t="shared" si="380"/>
        <v>-1.5707963250000001</v>
      </c>
      <c r="O504">
        <f t="shared" si="381"/>
        <v>499.33579021867064</v>
      </c>
      <c r="P504">
        <f t="shared" si="382"/>
        <v>1.5687936650830159</v>
      </c>
      <c r="Q504">
        <f t="shared" si="383"/>
        <v>191.79115201995543</v>
      </c>
      <c r="R504">
        <f t="shared" si="384"/>
        <v>1.5655822983034997</v>
      </c>
      <c r="S504">
        <f t="shared" si="385"/>
        <v>0.90656979115451908</v>
      </c>
      <c r="T504">
        <f t="shared" si="386"/>
        <v>-0.43571194573762628</v>
      </c>
      <c r="U504">
        <f t="shared" si="387"/>
        <v>0.13688314622212466</v>
      </c>
      <c r="V504">
        <f t="shared" si="388"/>
        <v>-1.4334820724822295</v>
      </c>
      <c r="X504">
        <f t="shared" si="405"/>
        <v>-45.5898586306973</v>
      </c>
      <c r="Y504">
        <f t="shared" si="389"/>
        <v>-172.91338706453979</v>
      </c>
      <c r="Z504">
        <f t="shared" si="406"/>
        <v>7.0866129354602094</v>
      </c>
      <c r="AC504">
        <v>1</v>
      </c>
      <c r="AD504">
        <f t="shared" si="390"/>
        <v>499.33478888747999</v>
      </c>
      <c r="AE504">
        <f t="shared" si="391"/>
        <v>-0.45492488577088064</v>
      </c>
      <c r="AF504">
        <f t="shared" si="392"/>
        <v>6.2863268926500002E-2</v>
      </c>
      <c r="AG504">
        <f t="shared" si="421"/>
        <v>146.67450908515161</v>
      </c>
      <c r="AH504">
        <f t="shared" si="422"/>
        <v>-1077.3522511253429</v>
      </c>
      <c r="AJ504">
        <f t="shared" si="393"/>
        <v>21000</v>
      </c>
      <c r="AK504">
        <f t="shared" si="394"/>
        <v>9776.6049108735006</v>
      </c>
      <c r="AL504">
        <v>1</v>
      </c>
      <c r="AM504">
        <f t="shared" si="395"/>
        <v>191.78854499980352</v>
      </c>
      <c r="AN504">
        <f t="shared" si="423"/>
        <v>51.545475458109486</v>
      </c>
      <c r="AO504">
        <f t="shared" si="424"/>
        <v>-109.22682856039891</v>
      </c>
      <c r="AQ504">
        <f t="shared" si="396"/>
        <v>1.1890605007062426E-3</v>
      </c>
      <c r="AR504">
        <f t="shared" si="397"/>
        <v>-3.4482754520481032</v>
      </c>
      <c r="AT504">
        <f t="shared" si="418"/>
        <v>-3714.83291589907</v>
      </c>
      <c r="AU504">
        <f t="shared" si="419"/>
        <v>-507.05514612669486</v>
      </c>
      <c r="AV504">
        <f t="shared" si="407"/>
        <v>-3.0059362334164672</v>
      </c>
      <c r="AW504">
        <f t="shared" si="408"/>
        <v>-251.77315794740423</v>
      </c>
      <c r="AX504">
        <f t="shared" si="409"/>
        <v>-1412.1542383316439</v>
      </c>
      <c r="AY504">
        <f t="shared" si="417"/>
        <v>-1.747232560531871</v>
      </c>
      <c r="BA504">
        <f t="shared" si="398"/>
        <v>2.6137885573262523</v>
      </c>
      <c r="BB504">
        <f t="shared" si="410"/>
        <v>8.3454090474415406</v>
      </c>
      <c r="BC504">
        <f t="shared" si="411"/>
        <v>-1.2587036728845962</v>
      </c>
      <c r="BD504">
        <f t="shared" si="399"/>
        <v>-252.11840819631001</v>
      </c>
      <c r="BF504">
        <f t="shared" si="400"/>
        <v>-56.331574180964672</v>
      </c>
      <c r="BG504">
        <f t="shared" si="401"/>
        <v>-227.52138111788281</v>
      </c>
      <c r="BH504">
        <f t="shared" si="412"/>
        <v>-47.521381117882811</v>
      </c>
      <c r="BI504">
        <f t="shared" si="413"/>
        <v>-47.521381117882811</v>
      </c>
      <c r="BJ504">
        <f t="shared" si="402"/>
        <v>0</v>
      </c>
      <c r="BK504">
        <f t="shared" si="414"/>
        <v>0</v>
      </c>
      <c r="BM504">
        <f t="shared" si="415"/>
        <v>-64.676983228406215</v>
      </c>
      <c r="BN504">
        <f t="shared" si="403"/>
        <v>-155.4029729215728</v>
      </c>
      <c r="BQ504" s="66">
        <f t="shared" si="416"/>
        <v>25.247369847726677</v>
      </c>
    </row>
    <row r="505" spans="1:69" ht="13" x14ac:dyDescent="0.3">
      <c r="A505">
        <f t="shared" si="420"/>
        <v>1455000</v>
      </c>
      <c r="B505">
        <f t="shared" si="404"/>
        <v>1455</v>
      </c>
      <c r="C505">
        <f t="shared" si="373"/>
        <v>1.0995189821438556</v>
      </c>
      <c r="D505">
        <f t="shared" si="374"/>
        <v>0.42874400933050483</v>
      </c>
      <c r="F505">
        <f t="shared" si="375"/>
        <v>3.5166116454575728E-5</v>
      </c>
      <c r="G505">
        <f t="shared" si="376"/>
        <v>1.8488095528537891E-3</v>
      </c>
      <c r="H505">
        <f t="shared" si="377"/>
        <v>-3.1397438404471463</v>
      </c>
      <c r="J505">
        <f t="shared" si="378"/>
        <v>15</v>
      </c>
      <c r="M505">
        <f t="shared" si="379"/>
        <v>7.5489883187009575E-4</v>
      </c>
      <c r="N505">
        <f t="shared" si="380"/>
        <v>-1.5707963250000001</v>
      </c>
      <c r="O505">
        <f t="shared" si="381"/>
        <v>501.05763087728883</v>
      </c>
      <c r="P505">
        <f t="shared" si="382"/>
        <v>1.5688005470637196</v>
      </c>
      <c r="Q505">
        <f t="shared" si="383"/>
        <v>192.45248287158861</v>
      </c>
      <c r="R505">
        <f t="shared" si="384"/>
        <v>1.5656002156041151</v>
      </c>
      <c r="S505">
        <f t="shared" si="385"/>
        <v>0.90601248889708919</v>
      </c>
      <c r="T505">
        <f t="shared" si="386"/>
        <v>-0.43703052525671898</v>
      </c>
      <c r="U505">
        <f t="shared" si="387"/>
        <v>0.13642152654300693</v>
      </c>
      <c r="V505">
        <f t="shared" si="388"/>
        <v>-1.4339480635964643</v>
      </c>
      <c r="X505">
        <f t="shared" si="405"/>
        <v>-45.649291160287916</v>
      </c>
      <c r="Y505">
        <f t="shared" si="389"/>
        <v>-172.9400903756119</v>
      </c>
      <c r="Z505">
        <f t="shared" si="406"/>
        <v>7.0599096243880979</v>
      </c>
      <c r="AC505">
        <v>1</v>
      </c>
      <c r="AD505">
        <f t="shared" si="390"/>
        <v>501.05663298709197</v>
      </c>
      <c r="AE505">
        <f t="shared" si="391"/>
        <v>-0.45806770810896486</v>
      </c>
      <c r="AF505">
        <f t="shared" si="392"/>
        <v>6.3080038819350009E-2</v>
      </c>
      <c r="AG505">
        <f t="shared" si="421"/>
        <v>145.68689776890187</v>
      </c>
      <c r="AH505">
        <f t="shared" si="422"/>
        <v>-1073.786012663774</v>
      </c>
      <c r="AJ505">
        <f t="shared" si="393"/>
        <v>21000</v>
      </c>
      <c r="AK505">
        <f t="shared" si="394"/>
        <v>9810.3173416006503</v>
      </c>
      <c r="AL505">
        <v>1</v>
      </c>
      <c r="AM505">
        <f t="shared" si="395"/>
        <v>192.44988481014764</v>
      </c>
      <c r="AN505">
        <f t="shared" si="423"/>
        <v>51.541568083157607</v>
      </c>
      <c r="AO505">
        <f t="shared" si="424"/>
        <v>-108.85149893741198</v>
      </c>
      <c r="AQ505">
        <f t="shared" si="396"/>
        <v>1.1809023061959227E-3</v>
      </c>
      <c r="AR505">
        <f t="shared" si="397"/>
        <v>-3.4364257110301355</v>
      </c>
      <c r="AT505">
        <f t="shared" si="418"/>
        <v>-3689.8138200687658</v>
      </c>
      <c r="AU505">
        <f t="shared" si="419"/>
        <v>-501.91023763198888</v>
      </c>
      <c r="AV505">
        <f t="shared" si="407"/>
        <v>-3.0063965275243807</v>
      </c>
      <c r="AW505">
        <f t="shared" si="408"/>
        <v>-249.68694879488399</v>
      </c>
      <c r="AX505">
        <f t="shared" si="409"/>
        <v>-1407.3533923858461</v>
      </c>
      <c r="AY505">
        <f t="shared" si="417"/>
        <v>-1.7463851944913507</v>
      </c>
      <c r="BA505">
        <f t="shared" si="398"/>
        <v>2.6052703817988343</v>
      </c>
      <c r="BB505">
        <f t="shared" si="410"/>
        <v>8.3170560439175905</v>
      </c>
      <c r="BC505">
        <f t="shared" si="411"/>
        <v>-1.26001133303303</v>
      </c>
      <c r="BD505">
        <f t="shared" si="399"/>
        <v>-252.19333160393833</v>
      </c>
      <c r="BF505">
        <f t="shared" si="400"/>
        <v>-56.414575946993388</v>
      </c>
      <c r="BG505">
        <f t="shared" si="401"/>
        <v>-227.52218036508992</v>
      </c>
      <c r="BH505">
        <f t="shared" si="412"/>
        <v>-47.522180365089923</v>
      </c>
      <c r="BI505">
        <f t="shared" si="413"/>
        <v>-47.522180365089923</v>
      </c>
      <c r="BJ505">
        <f t="shared" si="402"/>
        <v>0</v>
      </c>
      <c r="BK505">
        <f t="shared" si="414"/>
        <v>0</v>
      </c>
      <c r="BM505">
        <f t="shared" si="415"/>
        <v>-64.731631990910969</v>
      </c>
      <c r="BN505">
        <f t="shared" si="403"/>
        <v>-155.32884876115159</v>
      </c>
      <c r="BQ505" s="66">
        <f t="shared" si="416"/>
        <v>25.219016844202727</v>
      </c>
    </row>
    <row r="506" spans="1:69" ht="13" x14ac:dyDescent="0.3">
      <c r="A506">
        <f t="shared" si="420"/>
        <v>1460000</v>
      </c>
      <c r="B506">
        <f t="shared" si="404"/>
        <v>1460</v>
      </c>
      <c r="C506">
        <f t="shared" si="373"/>
        <v>1.1001729350119605</v>
      </c>
      <c r="D506">
        <f t="shared" si="374"/>
        <v>0.4300425522554191</v>
      </c>
      <c r="F506">
        <f t="shared" si="375"/>
        <v>3.4925657015915145E-5</v>
      </c>
      <c r="G506">
        <f t="shared" si="376"/>
        <v>1.8424775806295676E-3</v>
      </c>
      <c r="H506">
        <f t="shared" si="377"/>
        <v>-3.1397501724193706</v>
      </c>
      <c r="J506">
        <f t="shared" si="378"/>
        <v>15</v>
      </c>
      <c r="M506">
        <f t="shared" si="379"/>
        <v>7.5231356189793791E-4</v>
      </c>
      <c r="N506">
        <f t="shared" si="380"/>
        <v>-1.5707963250000001</v>
      </c>
      <c r="O506">
        <f t="shared" si="381"/>
        <v>502.77947155947544</v>
      </c>
      <c r="P506">
        <f t="shared" si="382"/>
        <v>1.5688073819077564</v>
      </c>
      <c r="Q506">
        <f t="shared" si="383"/>
        <v>193.11381378458159</v>
      </c>
      <c r="R506">
        <f t="shared" si="384"/>
        <v>1.5656180101867954</v>
      </c>
      <c r="S506">
        <f t="shared" si="385"/>
        <v>0.9054543000396903</v>
      </c>
      <c r="T506">
        <f t="shared" si="386"/>
        <v>-0.43834748232533632</v>
      </c>
      <c r="U506">
        <f t="shared" si="387"/>
        <v>0.135962980670708</v>
      </c>
      <c r="V506">
        <f t="shared" si="388"/>
        <v>-1.4344109221921013</v>
      </c>
      <c r="X506">
        <f t="shared" si="405"/>
        <v>-45.708524362123654</v>
      </c>
      <c r="Y506">
        <f t="shared" si="389"/>
        <v>-172.96661690548285</v>
      </c>
      <c r="Z506">
        <f t="shared" si="406"/>
        <v>7.0333830945171485</v>
      </c>
      <c r="AC506">
        <v>1</v>
      </c>
      <c r="AD506">
        <f t="shared" si="390"/>
        <v>502.77847708670407</v>
      </c>
      <c r="AE506">
        <f t="shared" si="391"/>
        <v>-0.46122134911258461</v>
      </c>
      <c r="AF506">
        <f t="shared" si="392"/>
        <v>6.3296808712200003E-2</v>
      </c>
      <c r="AG506">
        <f t="shared" si="421"/>
        <v>144.70916566360694</v>
      </c>
      <c r="AH506">
        <f t="shared" si="422"/>
        <v>-1070.2428446960284</v>
      </c>
      <c r="AJ506">
        <f t="shared" si="393"/>
        <v>21000</v>
      </c>
      <c r="AK506">
        <f t="shared" si="394"/>
        <v>9844.0297723278018</v>
      </c>
      <c r="AL506">
        <v>1</v>
      </c>
      <c r="AM506">
        <f t="shared" si="395"/>
        <v>193.11122462049181</v>
      </c>
      <c r="AN506">
        <f t="shared" si="423"/>
        <v>51.537700782254014</v>
      </c>
      <c r="AO506">
        <f t="shared" si="424"/>
        <v>-108.47873985774943</v>
      </c>
      <c r="AQ506">
        <f t="shared" si="396"/>
        <v>1.1728277851346658E-3</v>
      </c>
      <c r="AR506">
        <f t="shared" si="397"/>
        <v>-3.4246571325932242</v>
      </c>
      <c r="AT506">
        <f t="shared" si="418"/>
        <v>-3665.0450727648622</v>
      </c>
      <c r="AU506">
        <f t="shared" si="419"/>
        <v>-496.83448688658706</v>
      </c>
      <c r="AV506">
        <f t="shared" si="407"/>
        <v>-3.0068537281341019</v>
      </c>
      <c r="AW506">
        <f t="shared" si="408"/>
        <v>-247.62225719789785</v>
      </c>
      <c r="AX506">
        <f t="shared" si="409"/>
        <v>-1402.5849149696121</v>
      </c>
      <c r="AY506">
        <f t="shared" si="417"/>
        <v>-1.7455426967682959</v>
      </c>
      <c r="BA506">
        <f t="shared" si="398"/>
        <v>2.5968057416666932</v>
      </c>
      <c r="BB506">
        <f t="shared" si="410"/>
        <v>8.2887892545985018</v>
      </c>
      <c r="BC506">
        <f t="shared" si="411"/>
        <v>-1.261311031365806</v>
      </c>
      <c r="BD506">
        <f t="shared" si="399"/>
        <v>-252.26779883313168</v>
      </c>
      <c r="BF506">
        <f t="shared" si="400"/>
        <v>-56.497274733225169</v>
      </c>
      <c r="BG506">
        <f t="shared" si="401"/>
        <v>-227.52260936036896</v>
      </c>
      <c r="BH506">
        <f t="shared" si="412"/>
        <v>-47.522609360368961</v>
      </c>
      <c r="BI506">
        <f t="shared" si="413"/>
        <v>-47.522609360368961</v>
      </c>
      <c r="BJ506">
        <f t="shared" si="402"/>
        <v>0</v>
      </c>
      <c r="BK506">
        <f t="shared" si="414"/>
        <v>0</v>
      </c>
      <c r="BM506">
        <f t="shared" si="415"/>
        <v>-64.786063987823667</v>
      </c>
      <c r="BN506">
        <f t="shared" si="403"/>
        <v>-155.25481052723728</v>
      </c>
      <c r="BQ506" s="66">
        <f t="shared" si="416"/>
        <v>25.19075005488364</v>
      </c>
    </row>
    <row r="507" spans="1:69" ht="13" x14ac:dyDescent="0.3">
      <c r="A507">
        <f t="shared" si="420"/>
        <v>1465000</v>
      </c>
      <c r="B507">
        <f t="shared" si="404"/>
        <v>1465</v>
      </c>
      <c r="C507">
        <f t="shared" si="373"/>
        <v>1.100828740800853</v>
      </c>
      <c r="D507">
        <f t="shared" si="374"/>
        <v>0.43133955018179854</v>
      </c>
      <c r="F507">
        <f t="shared" si="375"/>
        <v>3.468765552481063E-5</v>
      </c>
      <c r="G507">
        <f t="shared" si="376"/>
        <v>1.836188834466251E-3</v>
      </c>
      <c r="H507">
        <f t="shared" si="377"/>
        <v>-3.139756461165534</v>
      </c>
      <c r="J507">
        <f t="shared" si="378"/>
        <v>15</v>
      </c>
      <c r="M507">
        <f t="shared" si="379"/>
        <v>7.4974593881978798E-4</v>
      </c>
      <c r="N507">
        <f t="shared" si="380"/>
        <v>-1.5707963250000001</v>
      </c>
      <c r="O507">
        <f t="shared" si="381"/>
        <v>504.50131226498911</v>
      </c>
      <c r="P507">
        <f t="shared" si="382"/>
        <v>1.5688141700977516</v>
      </c>
      <c r="Q507">
        <f t="shared" si="383"/>
        <v>193.77514475830611</v>
      </c>
      <c r="R507">
        <f t="shared" si="384"/>
        <v>1.5656356833079934</v>
      </c>
      <c r="S507">
        <f t="shared" si="385"/>
        <v>0.90489523202326916</v>
      </c>
      <c r="T507">
        <f t="shared" si="386"/>
        <v>-0.43966281537639923</v>
      </c>
      <c r="U507">
        <f t="shared" si="387"/>
        <v>0.1355074783001213</v>
      </c>
      <c r="V507">
        <f t="shared" si="388"/>
        <v>-1.4348706795534485</v>
      </c>
      <c r="X507">
        <f t="shared" si="405"/>
        <v>-45.767559560382267</v>
      </c>
      <c r="Y507">
        <f t="shared" si="389"/>
        <v>-172.99296837590026</v>
      </c>
      <c r="Z507">
        <f t="shared" si="406"/>
        <v>7.0070316240997386</v>
      </c>
      <c r="AC507">
        <v>1</v>
      </c>
      <c r="AD507">
        <f t="shared" si="390"/>
        <v>504.50032118631606</v>
      </c>
      <c r="AE507">
        <f t="shared" si="391"/>
        <v>-0.46438580878174002</v>
      </c>
      <c r="AF507">
        <f t="shared" si="392"/>
        <v>6.3513578605049997E-2</v>
      </c>
      <c r="AG507">
        <f t="shared" si="421"/>
        <v>143.74118227513583</v>
      </c>
      <c r="AH507">
        <f t="shared" si="422"/>
        <v>-1066.7225288529958</v>
      </c>
      <c r="AJ507">
        <f t="shared" si="393"/>
        <v>21000</v>
      </c>
      <c r="AK507">
        <f t="shared" si="394"/>
        <v>9877.7422030549515</v>
      </c>
      <c r="AL507">
        <v>1</v>
      </c>
      <c r="AM507">
        <f t="shared" si="395"/>
        <v>193.77256443083596</v>
      </c>
      <c r="AN507">
        <f t="shared" si="423"/>
        <v>51.533873009271737</v>
      </c>
      <c r="AO507">
        <f t="shared" si="424"/>
        <v>-108.10852500467347</v>
      </c>
      <c r="AQ507">
        <f t="shared" si="396"/>
        <v>1.1648357971745975E-3</v>
      </c>
      <c r="AR507">
        <f t="shared" si="397"/>
        <v>-3.412968885721571</v>
      </c>
      <c r="AT507">
        <f t="shared" si="418"/>
        <v>-3640.5233657988629</v>
      </c>
      <c r="AU507">
        <f t="shared" si="419"/>
        <v>-491.82673928913215</v>
      </c>
      <c r="AV507">
        <f t="shared" si="407"/>
        <v>-3.0073078661304145</v>
      </c>
      <c r="AW507">
        <f t="shared" si="408"/>
        <v>-245.57878790440262</v>
      </c>
      <c r="AX507">
        <f t="shared" si="409"/>
        <v>-1397.8484813697671</v>
      </c>
      <c r="AY507">
        <f t="shared" si="417"/>
        <v>-1.7447050187206532</v>
      </c>
      <c r="BA507">
        <f t="shared" si="398"/>
        <v>2.5883941518487128</v>
      </c>
      <c r="BB507">
        <f t="shared" si="410"/>
        <v>8.2606081983495372</v>
      </c>
      <c r="BC507">
        <f t="shared" si="411"/>
        <v>-1.2626028474097613</v>
      </c>
      <c r="BD507">
        <f t="shared" si="399"/>
        <v>-252.34181444044219</v>
      </c>
      <c r="BF507">
        <f t="shared" si="400"/>
        <v>-56.579672472381887</v>
      </c>
      <c r="BG507">
        <f t="shared" si="401"/>
        <v>-227.52267277898974</v>
      </c>
      <c r="BH507">
        <f t="shared" si="412"/>
        <v>-47.522672778989744</v>
      </c>
      <c r="BI507">
        <f t="shared" si="413"/>
        <v>-47.522672778989744</v>
      </c>
      <c r="BJ507">
        <f t="shared" si="402"/>
        <v>0</v>
      </c>
      <c r="BK507">
        <f t="shared" si="414"/>
        <v>0</v>
      </c>
      <c r="BM507">
        <f t="shared" si="415"/>
        <v>-64.840280670731431</v>
      </c>
      <c r="BN507">
        <f t="shared" si="403"/>
        <v>-155.18085833854761</v>
      </c>
      <c r="BQ507" s="66">
        <f t="shared" si="416"/>
        <v>25.162568998634672</v>
      </c>
    </row>
    <row r="508" spans="1:69" ht="13" x14ac:dyDescent="0.3">
      <c r="A508">
        <f t="shared" si="420"/>
        <v>1470000</v>
      </c>
      <c r="B508">
        <f t="shared" si="404"/>
        <v>1470</v>
      </c>
      <c r="C508">
        <f t="shared" si="373"/>
        <v>1.1014863962009434</v>
      </c>
      <c r="D508">
        <f t="shared" si="374"/>
        <v>0.43263500150951095</v>
      </c>
      <c r="F508">
        <f t="shared" si="375"/>
        <v>3.4452078594889658E-5</v>
      </c>
      <c r="G508">
        <f t="shared" si="376"/>
        <v>1.8299428732219227E-3</v>
      </c>
      <c r="H508">
        <f t="shared" si="377"/>
        <v>-3.1397627071267782</v>
      </c>
      <c r="J508">
        <f t="shared" si="378"/>
        <v>15</v>
      </c>
      <c r="M508">
        <f t="shared" si="379"/>
        <v>7.4719578256529889E-4</v>
      </c>
      <c r="N508">
        <f t="shared" si="380"/>
        <v>-1.5707963250000001</v>
      </c>
      <c r="O508">
        <f t="shared" si="381"/>
        <v>506.22315299359184</v>
      </c>
      <c r="P508">
        <f t="shared" si="382"/>
        <v>1.5688209121097643</v>
      </c>
      <c r="Q508">
        <f t="shared" si="383"/>
        <v>194.43647579214246</v>
      </c>
      <c r="R508">
        <f t="shared" si="384"/>
        <v>1.5656532362070683</v>
      </c>
      <c r="S508">
        <f t="shared" si="385"/>
        <v>0.9043352922733886</v>
      </c>
      <c r="T508">
        <f t="shared" si="386"/>
        <v>-0.44097652286916877</v>
      </c>
      <c r="U508">
        <f t="shared" si="387"/>
        <v>0.13505498951924752</v>
      </c>
      <c r="V508">
        <f t="shared" si="388"/>
        <v>-1.4353273665522384</v>
      </c>
      <c r="X508">
        <f t="shared" si="405"/>
        <v>-45.826398066171841</v>
      </c>
      <c r="Y508">
        <f t="shared" si="389"/>
        <v>-173.01914648607658</v>
      </c>
      <c r="Z508">
        <f t="shared" si="406"/>
        <v>6.9808535139234209</v>
      </c>
      <c r="AC508">
        <v>1</v>
      </c>
      <c r="AD508">
        <f t="shared" si="390"/>
        <v>506.2221652859281</v>
      </c>
      <c r="AE508">
        <f t="shared" si="391"/>
        <v>-0.46756108711643091</v>
      </c>
      <c r="AF508">
        <f t="shared" si="392"/>
        <v>6.3730348497900005E-2</v>
      </c>
      <c r="AG508">
        <f t="shared" si="421"/>
        <v>142.78281924299802</v>
      </c>
      <c r="AH508">
        <f t="shared" si="422"/>
        <v>-1063.2248494457515</v>
      </c>
      <c r="AJ508">
        <f t="shared" si="393"/>
        <v>21000</v>
      </c>
      <c r="AK508">
        <f t="shared" si="394"/>
        <v>9911.4546337821012</v>
      </c>
      <c r="AL508">
        <v>1</v>
      </c>
      <c r="AM508">
        <f t="shared" si="395"/>
        <v>194.4339042411801</v>
      </c>
      <c r="AN508">
        <f t="shared" si="423"/>
        <v>51.530084227355324</v>
      </c>
      <c r="AO508">
        <f t="shared" si="424"/>
        <v>-107.74082841944943</v>
      </c>
      <c r="AQ508">
        <f t="shared" si="396"/>
        <v>1.1569252213284719E-3</v>
      </c>
      <c r="AR508">
        <f t="shared" si="397"/>
        <v>-3.401360150705707</v>
      </c>
      <c r="AT508">
        <f t="shared" si="418"/>
        <v>-3616.245445100099</v>
      </c>
      <c r="AU508">
        <f t="shared" si="419"/>
        <v>-486.8858632228164</v>
      </c>
      <c r="AV508">
        <f t="shared" si="407"/>
        <v>-3.0077589719909623</v>
      </c>
      <c r="AW508">
        <f t="shared" si="408"/>
        <v>-243.55625071456222</v>
      </c>
      <c r="AX508">
        <f t="shared" si="409"/>
        <v>-1393.143771182976</v>
      </c>
      <c r="AY508">
        <f t="shared" si="417"/>
        <v>-1.7438721123470549</v>
      </c>
      <c r="BA508">
        <f t="shared" si="398"/>
        <v>2.5800351328310493</v>
      </c>
      <c r="BB508">
        <f t="shared" si="410"/>
        <v>8.2325123974876444</v>
      </c>
      <c r="BC508">
        <f t="shared" si="411"/>
        <v>-1.2638868596439075</v>
      </c>
      <c r="BD508">
        <f t="shared" si="399"/>
        <v>-252.41538292238596</v>
      </c>
      <c r="BF508">
        <f t="shared" si="400"/>
        <v>-56.661771079358942</v>
      </c>
      <c r="BG508">
        <f t="shared" si="401"/>
        <v>-227.52237523442491</v>
      </c>
      <c r="BH508">
        <f t="shared" si="412"/>
        <v>-47.522375234424914</v>
      </c>
      <c r="BI508">
        <f t="shared" si="413"/>
        <v>-47.522375234424914</v>
      </c>
      <c r="BJ508">
        <f t="shared" si="402"/>
        <v>0</v>
      </c>
      <c r="BK508">
        <f t="shared" si="414"/>
        <v>0</v>
      </c>
      <c r="BM508">
        <f t="shared" si="415"/>
        <v>-64.894283476846596</v>
      </c>
      <c r="BN508">
        <f t="shared" si="403"/>
        <v>-155.10699231203895</v>
      </c>
      <c r="BQ508" s="66">
        <f t="shared" si="416"/>
        <v>25.134473197772781</v>
      </c>
    </row>
    <row r="509" spans="1:69" ht="13" x14ac:dyDescent="0.3">
      <c r="A509">
        <f t="shared" si="420"/>
        <v>1475000</v>
      </c>
      <c r="B509">
        <f t="shared" si="404"/>
        <v>1475</v>
      </c>
      <c r="C509">
        <f t="shared" si="373"/>
        <v>1.1021458979012175</v>
      </c>
      <c r="D509">
        <f t="shared" si="374"/>
        <v>0.4339289046630021</v>
      </c>
      <c r="F509">
        <f t="shared" si="375"/>
        <v>3.4218893404727026E-5</v>
      </c>
      <c r="G509">
        <f t="shared" si="376"/>
        <v>1.8237392617372556E-3</v>
      </c>
      <c r="H509">
        <f t="shared" si="377"/>
        <v>-3.1397689107382631</v>
      </c>
      <c r="J509">
        <f t="shared" si="378"/>
        <v>15</v>
      </c>
      <c r="M509">
        <f t="shared" si="379"/>
        <v>7.4466291550575562E-4</v>
      </c>
      <c r="N509">
        <f t="shared" si="380"/>
        <v>-1.5707963250000001</v>
      </c>
      <c r="O509">
        <f t="shared" si="381"/>
        <v>507.94499374504875</v>
      </c>
      <c r="P509">
        <f t="shared" si="382"/>
        <v>1.568827608413399</v>
      </c>
      <c r="Q509">
        <f t="shared" si="383"/>
        <v>195.0978068854794</v>
      </c>
      <c r="R509">
        <f t="shared" si="384"/>
        <v>1.5656706701065746</v>
      </c>
      <c r="S509">
        <f t="shared" si="385"/>
        <v>0.90377448820006234</v>
      </c>
      <c r="T509">
        <f t="shared" si="386"/>
        <v>-0.44228860328915542</v>
      </c>
      <c r="U509">
        <f t="shared" si="387"/>
        <v>0.13460548480290804</v>
      </c>
      <c r="V509">
        <f t="shared" si="388"/>
        <v>-1.4357810136543621</v>
      </c>
      <c r="X509">
        <f t="shared" si="405"/>
        <v>-45.88504117770065</v>
      </c>
      <c r="Y509">
        <f t="shared" si="389"/>
        <v>-173.04515291305665</v>
      </c>
      <c r="Z509">
        <f t="shared" si="406"/>
        <v>6.9548470869433459</v>
      </c>
      <c r="AC509">
        <v>1</v>
      </c>
      <c r="AD509">
        <f t="shared" si="390"/>
        <v>507.94400938554008</v>
      </c>
      <c r="AE509">
        <f t="shared" si="391"/>
        <v>-0.47074718411665739</v>
      </c>
      <c r="AF509">
        <f t="shared" si="392"/>
        <v>6.3947118390749999E-2</v>
      </c>
      <c r="AG509">
        <f t="shared" si="421"/>
        <v>141.83395029889391</v>
      </c>
      <c r="AH509">
        <f t="shared" si="422"/>
        <v>-1059.7495934257597</v>
      </c>
      <c r="AJ509">
        <f t="shared" si="393"/>
        <v>21000</v>
      </c>
      <c r="AK509">
        <f t="shared" si="394"/>
        <v>9945.1670645092508</v>
      </c>
      <c r="AL509">
        <v>1</v>
      </c>
      <c r="AM509">
        <f t="shared" si="395"/>
        <v>195.09524405152425</v>
      </c>
      <c r="AN509">
        <f t="shared" si="423"/>
        <v>51.52633390873266</v>
      </c>
      <c r="AO509">
        <f t="shared" si="424"/>
        <v>-107.37562449527891</v>
      </c>
      <c r="AQ509">
        <f t="shared" si="396"/>
        <v>1.1490949555765637E-3</v>
      </c>
      <c r="AR509">
        <f t="shared" si="397"/>
        <v>-3.3898301189508624</v>
      </c>
      <c r="AT509">
        <f t="shared" si="418"/>
        <v>-3592.2081096637535</v>
      </c>
      <c r="AU509">
        <f t="shared" si="419"/>
        <v>-482.01074952495009</v>
      </c>
      <c r="AV509">
        <f t="shared" si="407"/>
        <v>-3.0082070757928929</v>
      </c>
      <c r="AW509">
        <f t="shared" si="408"/>
        <v>-241.55436037726295</v>
      </c>
      <c r="AX509">
        <f t="shared" si="409"/>
        <v>-1388.4704682447561</v>
      </c>
      <c r="AY509">
        <f t="shared" si="417"/>
        <v>-1.7430439302764096</v>
      </c>
      <c r="BA509">
        <f t="shared" si="398"/>
        <v>2.5717282105928461</v>
      </c>
      <c r="BB509">
        <f t="shared" si="410"/>
        <v>8.2045013777589819</v>
      </c>
      <c r="BC509">
        <f t="shared" si="411"/>
        <v>-1.2651631455164833</v>
      </c>
      <c r="BD509">
        <f t="shared" si="399"/>
        <v>-252.48850871642031</v>
      </c>
      <c r="BF509">
        <f t="shared" si="400"/>
        <v>-56.743572451441537</v>
      </c>
      <c r="BG509">
        <f t="shared" si="401"/>
        <v>-227.52172127933704</v>
      </c>
      <c r="BH509">
        <f t="shared" si="412"/>
        <v>-47.521721279337044</v>
      </c>
      <c r="BI509">
        <f t="shared" si="413"/>
        <v>-47.521721279337044</v>
      </c>
      <c r="BJ509">
        <f t="shared" si="402"/>
        <v>0</v>
      </c>
      <c r="BK509">
        <f t="shared" si="414"/>
        <v>0</v>
      </c>
      <c r="BM509">
        <f t="shared" si="415"/>
        <v>-64.948073829200524</v>
      </c>
      <c r="BN509">
        <f t="shared" si="403"/>
        <v>-155.03321256291676</v>
      </c>
      <c r="BQ509" s="66">
        <f t="shared" si="416"/>
        <v>25.106462178044119</v>
      </c>
    </row>
    <row r="510" spans="1:69" ht="13" x14ac:dyDescent="0.3">
      <c r="A510">
        <f t="shared" si="420"/>
        <v>1480000</v>
      </c>
      <c r="B510">
        <f t="shared" si="404"/>
        <v>1480</v>
      </c>
      <c r="C510">
        <f t="shared" si="373"/>
        <v>1.1028072425892974</v>
      </c>
      <c r="D510">
        <f t="shared" si="374"/>
        <v>0.43522125809121653</v>
      </c>
      <c r="F510">
        <f t="shared" si="375"/>
        <v>3.3988067686411672E-5</v>
      </c>
      <c r="G510">
        <f t="shared" si="376"/>
        <v>1.8175775707344377E-3</v>
      </c>
      <c r="H510">
        <f t="shared" si="377"/>
        <v>-3.1397750724292659</v>
      </c>
      <c r="J510">
        <f t="shared" si="378"/>
        <v>15</v>
      </c>
      <c r="M510">
        <f t="shared" si="379"/>
        <v>7.4214716241283076E-4</v>
      </c>
      <c r="N510">
        <f t="shared" si="380"/>
        <v>-1.5707963250000001</v>
      </c>
      <c r="O510">
        <f t="shared" si="381"/>
        <v>509.66683451912826</v>
      </c>
      <c r="P510">
        <f t="shared" si="382"/>
        <v>1.5688342594719134</v>
      </c>
      <c r="Q510">
        <f t="shared" si="383"/>
        <v>195.75913803771388</v>
      </c>
      <c r="R510">
        <f t="shared" si="384"/>
        <v>1.565687986212547</v>
      </c>
      <c r="S510">
        <f t="shared" si="385"/>
        <v>0.90321282719759222</v>
      </c>
      <c r="T510">
        <f t="shared" si="386"/>
        <v>-0.44359905514802733</v>
      </c>
      <c r="U510">
        <f t="shared" si="387"/>
        <v>0.13415893500657708</v>
      </c>
      <c r="V510">
        <f t="shared" si="388"/>
        <v>-1.4362316509264745</v>
      </c>
      <c r="X510">
        <f t="shared" si="405"/>
        <v>-45.943490180444215</v>
      </c>
      <c r="Y510">
        <f t="shared" si="389"/>
        <v>-173.07098931207912</v>
      </c>
      <c r="Z510">
        <f t="shared" si="406"/>
        <v>6.9290106879208793</v>
      </c>
      <c r="AC510">
        <v>1</v>
      </c>
      <c r="AD510">
        <f t="shared" si="390"/>
        <v>509.66585348515207</v>
      </c>
      <c r="AE510">
        <f t="shared" si="391"/>
        <v>-0.47394409978241947</v>
      </c>
      <c r="AF510">
        <f t="shared" si="392"/>
        <v>6.4163888283599993E-2</v>
      </c>
      <c r="AG510">
        <f t="shared" si="421"/>
        <v>140.89445122619557</v>
      </c>
      <c r="AH510">
        <f t="shared" si="422"/>
        <v>-1056.2965503457579</v>
      </c>
      <c r="AJ510">
        <f t="shared" si="393"/>
        <v>21000</v>
      </c>
      <c r="AK510">
        <f t="shared" si="394"/>
        <v>9978.8794952364005</v>
      </c>
      <c r="AL510">
        <v>1</v>
      </c>
      <c r="AM510">
        <f t="shared" si="395"/>
        <v>195.75658386186842</v>
      </c>
      <c r="AN510">
        <f t="shared" si="423"/>
        <v>51.522621534531162</v>
      </c>
      <c r="AO510">
        <f t="shared" si="424"/>
        <v>-107.01288797135595</v>
      </c>
      <c r="AQ510">
        <f t="shared" si="396"/>
        <v>1.1413439164828438E-3</v>
      </c>
      <c r="AR510">
        <f t="shared" si="397"/>
        <v>-3.3783779927892175</v>
      </c>
      <c r="AT510">
        <f t="shared" si="418"/>
        <v>-3568.4082105225029</v>
      </c>
      <c r="AU510">
        <f t="shared" si="419"/>
        <v>-477.20031097043187</v>
      </c>
      <c r="AV510">
        <f t="shared" si="407"/>
        <v>-3.0086522072193698</v>
      </c>
      <c r="AW510">
        <f t="shared" si="408"/>
        <v>-239.57283648909555</v>
      </c>
      <c r="AX510">
        <f t="shared" si="409"/>
        <v>-1383.8282605598863</v>
      </c>
      <c r="AY510">
        <f t="shared" si="417"/>
        <v>-1.7422204257576948</v>
      </c>
      <c r="BA510">
        <f t="shared" si="398"/>
        <v>2.5634729165329904</v>
      </c>
      <c r="BB510">
        <f t="shared" si="410"/>
        <v>8.1765746683162881</v>
      </c>
      <c r="BC510">
        <f t="shared" si="411"/>
        <v>-1.266431781461675</v>
      </c>
      <c r="BD510">
        <f t="shared" si="399"/>
        <v>-252.56119620190145</v>
      </c>
      <c r="BF510">
        <f t="shared" si="400"/>
        <v>-56.82507846851783</v>
      </c>
      <c r="BG510">
        <f t="shared" si="401"/>
        <v>-227.52071540654714</v>
      </c>
      <c r="BH510">
        <f t="shared" si="412"/>
        <v>-47.52071540654714</v>
      </c>
      <c r="BI510">
        <f t="shared" si="413"/>
        <v>-47.52071540654714</v>
      </c>
      <c r="BJ510">
        <f t="shared" si="402"/>
        <v>0</v>
      </c>
      <c r="BK510">
        <f t="shared" si="414"/>
        <v>0</v>
      </c>
      <c r="BM510">
        <f t="shared" si="415"/>
        <v>-65.001653136834108</v>
      </c>
      <c r="BN510">
        <f t="shared" si="403"/>
        <v>-154.95951920464572</v>
      </c>
      <c r="BQ510" s="66">
        <f t="shared" si="416"/>
        <v>25.078535468601423</v>
      </c>
    </row>
    <row r="511" spans="1:69" ht="13" x14ac:dyDescent="0.3">
      <c r="A511">
        <f t="shared" si="420"/>
        <v>1485000</v>
      </c>
      <c r="B511">
        <f t="shared" si="404"/>
        <v>1485</v>
      </c>
      <c r="C511">
        <f t="shared" si="373"/>
        <v>1.1034704269515005</v>
      </c>
      <c r="D511">
        <f t="shared" si="374"/>
        <v>0.43651206026751843</v>
      </c>
      <c r="F511">
        <f t="shared" si="375"/>
        <v>3.3759569714382658E-5</v>
      </c>
      <c r="G511">
        <f t="shared" si="376"/>
        <v>1.8114573767181359E-3</v>
      </c>
      <c r="H511">
        <f t="shared" si="377"/>
        <v>-3.1397811926232819</v>
      </c>
      <c r="J511">
        <f t="shared" si="378"/>
        <v>15</v>
      </c>
      <c r="M511">
        <f t="shared" si="379"/>
        <v>7.3964835041817471E-4</v>
      </c>
      <c r="N511">
        <f t="shared" si="380"/>
        <v>-1.5707963250000001</v>
      </c>
      <c r="O511">
        <f t="shared" si="381"/>
        <v>511.38867531560192</v>
      </c>
      <c r="P511">
        <f t="shared" si="382"/>
        <v>1.5688408657423267</v>
      </c>
      <c r="Q511">
        <f t="shared" si="383"/>
        <v>196.42046924825101</v>
      </c>
      <c r="R511">
        <f t="shared" si="384"/>
        <v>1.5657051857147779</v>
      </c>
      <c r="S511">
        <f t="shared" si="385"/>
        <v>0.90265031664440709</v>
      </c>
      <c r="T511">
        <f t="shared" si="386"/>
        <v>-0.44490787698351869</v>
      </c>
      <c r="U511">
        <f t="shared" si="387"/>
        <v>0.13371531136033038</v>
      </c>
      <c r="V511">
        <f t="shared" si="388"/>
        <v>-1.4366793080424713</v>
      </c>
      <c r="X511">
        <f t="shared" si="405"/>
        <v>-46.001746347309719</v>
      </c>
      <c r="Y511">
        <f t="shared" si="389"/>
        <v>-173.09665731693022</v>
      </c>
      <c r="Z511">
        <f t="shared" si="406"/>
        <v>6.9033426830697806</v>
      </c>
      <c r="AC511">
        <v>1</v>
      </c>
      <c r="AD511">
        <f t="shared" si="390"/>
        <v>511.38769758476406</v>
      </c>
      <c r="AE511">
        <f t="shared" si="391"/>
        <v>-0.4771518341137172</v>
      </c>
      <c r="AF511">
        <f t="shared" si="392"/>
        <v>6.4380658176450001E-2</v>
      </c>
      <c r="AG511">
        <f t="shared" si="421"/>
        <v>139.96419982033376</v>
      </c>
      <c r="AH511">
        <f t="shared" si="422"/>
        <v>-1052.8655123213084</v>
      </c>
      <c r="AJ511">
        <f t="shared" si="393"/>
        <v>21000</v>
      </c>
      <c r="AK511">
        <f t="shared" si="394"/>
        <v>10012.59192596355</v>
      </c>
      <c r="AL511">
        <v>1</v>
      </c>
      <c r="AM511">
        <f t="shared" si="395"/>
        <v>196.41792367221257</v>
      </c>
      <c r="AN511">
        <f t="shared" si="423"/>
        <v>51.518946594598241</v>
      </c>
      <c r="AO511">
        <f t="shared" si="424"/>
        <v>-106.65259392704296</v>
      </c>
      <c r="AQ511">
        <f t="shared" si="396"/>
        <v>1.133671038820184E-3</v>
      </c>
      <c r="AR511">
        <f t="shared" si="397"/>
        <v>-3.3670029852959464</v>
      </c>
      <c r="AT511">
        <f t="shared" si="418"/>
        <v>-3544.8426497411838</v>
      </c>
      <c r="AU511">
        <f t="shared" si="419"/>
        <v>-472.4534817687134</v>
      </c>
      <c r="AV511">
        <f t="shared" si="407"/>
        <v>-3.009094395565961</v>
      </c>
      <c r="AW511">
        <f t="shared" si="408"/>
        <v>-237.61140339573515</v>
      </c>
      <c r="AX511">
        <f t="shared" si="409"/>
        <v>-1379.2168402341747</v>
      </c>
      <c r="AY511">
        <f t="shared" si="417"/>
        <v>-1.7414015526499418</v>
      </c>
      <c r="BA511">
        <f t="shared" si="398"/>
        <v>2.5552687873979312</v>
      </c>
      <c r="BB511">
        <f t="shared" si="410"/>
        <v>8.1487318016962398</v>
      </c>
      <c r="BC511">
        <f t="shared" si="411"/>
        <v>-1.2676928429160192</v>
      </c>
      <c r="BD511">
        <f t="shared" si="399"/>
        <v>-252.63344970102457</v>
      </c>
      <c r="BF511">
        <f t="shared" si="400"/>
        <v>-56.906290993288842</v>
      </c>
      <c r="BG511">
        <f t="shared" si="401"/>
        <v>-227.51936204998466</v>
      </c>
      <c r="BH511">
        <f t="shared" si="412"/>
        <v>-47.519362049984665</v>
      </c>
      <c r="BI511">
        <f t="shared" si="413"/>
        <v>-47.519362049984665</v>
      </c>
      <c r="BJ511">
        <f t="shared" si="402"/>
        <v>0</v>
      </c>
      <c r="BK511">
        <f t="shared" si="414"/>
        <v>0</v>
      </c>
      <c r="BM511">
        <f t="shared" si="415"/>
        <v>-65.055022794985078</v>
      </c>
      <c r="BN511">
        <f t="shared" si="403"/>
        <v>-154.88591234896015</v>
      </c>
      <c r="BQ511" s="66">
        <f t="shared" si="416"/>
        <v>25.050692601981375</v>
      </c>
    </row>
    <row r="512" spans="1:69" ht="13" x14ac:dyDescent="0.3">
      <c r="A512">
        <f t="shared" si="420"/>
        <v>1490000</v>
      </c>
      <c r="B512">
        <f t="shared" si="404"/>
        <v>1490</v>
      </c>
      <c r="C512">
        <f t="shared" si="373"/>
        <v>1.1041354476728995</v>
      </c>
      <c r="D512">
        <f t="shared" si="374"/>
        <v>0.43780130968961206</v>
      </c>
      <c r="F512">
        <f t="shared" si="375"/>
        <v>3.3533368294526846E-5</v>
      </c>
      <c r="G512">
        <f t="shared" si="376"/>
        <v>1.8053782618784541E-3</v>
      </c>
      <c r="H512">
        <f t="shared" si="377"/>
        <v>-3.1397872717381219</v>
      </c>
      <c r="J512">
        <f t="shared" si="378"/>
        <v>15</v>
      </c>
      <c r="M512">
        <f t="shared" si="379"/>
        <v>7.3716630897381846E-4</v>
      </c>
      <c r="N512">
        <f t="shared" si="380"/>
        <v>-1.5707963250000001</v>
      </c>
      <c r="O512">
        <f t="shared" si="381"/>
        <v>513.11051613424422</v>
      </c>
      <c r="P512">
        <f t="shared" si="382"/>
        <v>1.568847427675524</v>
      </c>
      <c r="Q512">
        <f t="shared" si="383"/>
        <v>197.08180051650385</v>
      </c>
      <c r="R512">
        <f t="shared" si="384"/>
        <v>1.5657222697870896</v>
      </c>
      <c r="S512">
        <f t="shared" si="385"/>
        <v>0.90208696390290377</v>
      </c>
      <c r="T512">
        <f t="shared" si="386"/>
        <v>-0.44621506735933708</v>
      </c>
      <c r="U512">
        <f t="shared" si="387"/>
        <v>0.13327458546290757</v>
      </c>
      <c r="V512">
        <f t="shared" si="388"/>
        <v>-1.4371240142898403</v>
      </c>
      <c r="X512">
        <f t="shared" si="405"/>
        <v>-46.05981093879781</v>
      </c>
      <c r="Y512">
        <f t="shared" si="389"/>
        <v>-173.12215854029105</v>
      </c>
      <c r="Z512">
        <f t="shared" si="406"/>
        <v>6.8778414597089466</v>
      </c>
      <c r="AC512">
        <v>1</v>
      </c>
      <c r="AD512">
        <f t="shared" si="390"/>
        <v>513.10954168437604</v>
      </c>
      <c r="AE512">
        <f t="shared" si="391"/>
        <v>-0.48037038711055036</v>
      </c>
      <c r="AF512">
        <f t="shared" si="392"/>
        <v>6.4597428069300009E-2</v>
      </c>
      <c r="AG512">
        <f t="shared" si="421"/>
        <v>139.04307585006833</v>
      </c>
      <c r="AH512">
        <f t="shared" si="422"/>
        <v>-1049.4562739930079</v>
      </c>
      <c r="AJ512">
        <f t="shared" si="393"/>
        <v>21000</v>
      </c>
      <c r="AK512">
        <f t="shared" si="394"/>
        <v>10046.304356690702</v>
      </c>
      <c r="AL512">
        <v>1</v>
      </c>
      <c r="AM512">
        <f t="shared" si="395"/>
        <v>197.07926348255668</v>
      </c>
      <c r="AN512">
        <f t="shared" si="423"/>
        <v>51.51530858732616</v>
      </c>
      <c r="AO512">
        <f t="shared" si="424"/>
        <v>-106.29471777616425</v>
      </c>
      <c r="AQ512">
        <f t="shared" si="396"/>
        <v>1.1260752752043517E-3</v>
      </c>
      <c r="AR512">
        <f t="shared" si="397"/>
        <v>-3.355704320108968</v>
      </c>
      <c r="AT512">
        <f t="shared" si="418"/>
        <v>-3521.5083794338943</v>
      </c>
      <c r="AU512">
        <f t="shared" si="419"/>
        <v>-467.76921707386481</v>
      </c>
      <c r="AV512">
        <f t="shared" si="407"/>
        <v>-3.0095336697469066</v>
      </c>
      <c r="AW512">
        <f t="shared" si="408"/>
        <v>-235.66979009565827</v>
      </c>
      <c r="AX512">
        <f t="shared" si="409"/>
        <v>-1374.6359034075606</v>
      </c>
      <c r="AY512">
        <f t="shared" si="417"/>
        <v>-1.7405872654124153</v>
      </c>
      <c r="BA512">
        <f t="shared" si="398"/>
        <v>2.5471153652105141</v>
      </c>
      <c r="BB512">
        <f t="shared" si="410"/>
        <v>8.1209723137966812</v>
      </c>
      <c r="BC512">
        <f t="shared" si="411"/>
        <v>-1.2689464043344914</v>
      </c>
      <c r="BD512">
        <f t="shared" si="399"/>
        <v>-252.70527347974553</v>
      </c>
      <c r="BF512">
        <f t="shared" si="400"/>
        <v>-56.987211871475424</v>
      </c>
      <c r="BG512">
        <f t="shared" si="401"/>
        <v>-227.51766558561948</v>
      </c>
      <c r="BH512">
        <f t="shared" si="412"/>
        <v>-47.517665585619483</v>
      </c>
      <c r="BI512">
        <f t="shared" si="413"/>
        <v>-47.517665585619483</v>
      </c>
      <c r="BJ512">
        <f t="shared" si="402"/>
        <v>0</v>
      </c>
      <c r="BK512">
        <f t="shared" si="414"/>
        <v>0</v>
      </c>
      <c r="BM512">
        <f t="shared" si="415"/>
        <v>-65.108184185272108</v>
      </c>
      <c r="BN512">
        <f t="shared" si="403"/>
        <v>-154.81239210587398</v>
      </c>
      <c r="BQ512" s="66">
        <f t="shared" si="416"/>
        <v>25.022933114081816</v>
      </c>
    </row>
    <row r="513" spans="1:69" ht="13" x14ac:dyDescent="0.3">
      <c r="A513">
        <f t="shared" si="420"/>
        <v>1495000</v>
      </c>
      <c r="B513">
        <f t="shared" si="404"/>
        <v>1495</v>
      </c>
      <c r="C513">
        <f t="shared" si="373"/>
        <v>1.1048023014373793</v>
      </c>
      <c r="D513">
        <f t="shared" si="374"/>
        <v>0.4390890048794609</v>
      </c>
      <c r="F513">
        <f t="shared" si="375"/>
        <v>3.3309432753531519E-5</v>
      </c>
      <c r="G513">
        <f t="shared" si="376"/>
        <v>1.7993398139958434E-3</v>
      </c>
      <c r="H513">
        <f t="shared" si="377"/>
        <v>-3.1397933101860045</v>
      </c>
      <c r="J513">
        <f t="shared" si="378"/>
        <v>15</v>
      </c>
      <c r="M513">
        <f t="shared" si="379"/>
        <v>7.3470086981337088E-4</v>
      </c>
      <c r="N513">
        <f t="shared" si="380"/>
        <v>-1.5707963250000001</v>
      </c>
      <c r="O513">
        <f t="shared" si="381"/>
        <v>514.83235697483269</v>
      </c>
      <c r="P513">
        <f t="shared" si="382"/>
        <v>1.5688539457163575</v>
      </c>
      <c r="Q513">
        <f t="shared" si="383"/>
        <v>197.74313184189333</v>
      </c>
      <c r="R513">
        <f t="shared" si="384"/>
        <v>1.5657392395876026</v>
      </c>
      <c r="S513">
        <f t="shared" si="385"/>
        <v>0.90152277631928979</v>
      </c>
      <c r="T513">
        <f t="shared" si="386"/>
        <v>-0.44752062486507038</v>
      </c>
      <c r="U513">
        <f t="shared" si="387"/>
        <v>0.13283672927588594</v>
      </c>
      <c r="V513">
        <f t="shared" si="388"/>
        <v>-1.4375657985758923</v>
      </c>
      <c r="X513">
        <f t="shared" si="405"/>
        <v>-46.117685203161841</v>
      </c>
      <c r="Y513">
        <f t="shared" si="389"/>
        <v>-173.14749457407797</v>
      </c>
      <c r="Z513">
        <f t="shared" si="406"/>
        <v>6.8525054259220326</v>
      </c>
      <c r="AC513">
        <v>1</v>
      </c>
      <c r="AD513">
        <f t="shared" si="390"/>
        <v>514.83138578398803</v>
      </c>
      <c r="AE513">
        <f t="shared" si="391"/>
        <v>-0.48359975877291916</v>
      </c>
      <c r="AF513">
        <f t="shared" si="392"/>
        <v>6.4814197962150003E-2</v>
      </c>
      <c r="AG513">
        <f t="shared" si="421"/>
        <v>138.13096101961924</v>
      </c>
      <c r="AH513">
        <f t="shared" si="422"/>
        <v>-1046.0686324893361</v>
      </c>
      <c r="AJ513">
        <f t="shared" si="393"/>
        <v>21000</v>
      </c>
      <c r="AK513">
        <f t="shared" si="394"/>
        <v>10080.016787417851</v>
      </c>
      <c r="AL513">
        <v>1</v>
      </c>
      <c r="AM513">
        <f t="shared" si="395"/>
        <v>197.74060329290086</v>
      </c>
      <c r="AN513">
        <f t="shared" si="423"/>
        <v>51.511707019480681</v>
      </c>
      <c r="AO513">
        <f t="shared" si="424"/>
        <v>-105.9392352614138</v>
      </c>
      <c r="AQ513">
        <f t="shared" si="396"/>
        <v>1.1185555957365582E-3</v>
      </c>
      <c r="AR513">
        <f t="shared" si="397"/>
        <v>-3.3444812312523093</v>
      </c>
      <c r="AT513">
        <f t="shared" si="418"/>
        <v>-3498.4024008029614</v>
      </c>
      <c r="AU513">
        <f t="shared" si="419"/>
        <v>-463.14649250735636</v>
      </c>
      <c r="AV513">
        <f t="shared" si="407"/>
        <v>-3.009970058301263</v>
      </c>
      <c r="AW513">
        <f t="shared" si="408"/>
        <v>-233.74773014612961</v>
      </c>
      <c r="AX513">
        <f t="shared" si="409"/>
        <v>-1370.0851501885154</v>
      </c>
      <c r="AY513">
        <f t="shared" si="417"/>
        <v>-1.7397775190949767</v>
      </c>
      <c r="BA513">
        <f t="shared" si="398"/>
        <v>2.5390121971998303</v>
      </c>
      <c r="BB513">
        <f t="shared" si="410"/>
        <v>8.0932957438537851</v>
      </c>
      <c r="BC513">
        <f t="shared" si="411"/>
        <v>-1.2701925392062863</v>
      </c>
      <c r="BD513">
        <f t="shared" si="399"/>
        <v>-252.77667174868503</v>
      </c>
      <c r="BF513">
        <f t="shared" si="400"/>
        <v>-57.067842932022103</v>
      </c>
      <c r="BG513">
        <f t="shared" si="401"/>
        <v>-227.51563033237593</v>
      </c>
      <c r="BH513">
        <f t="shared" si="412"/>
        <v>-47.515630332375935</v>
      </c>
      <c r="BI513">
        <f t="shared" si="413"/>
        <v>-47.515630332375935</v>
      </c>
      <c r="BJ513">
        <f t="shared" si="402"/>
        <v>0</v>
      </c>
      <c r="BK513">
        <f t="shared" si="414"/>
        <v>0</v>
      </c>
      <c r="BM513">
        <f t="shared" si="415"/>
        <v>-65.16113867587589</v>
      </c>
      <c r="BN513">
        <f t="shared" si="403"/>
        <v>-154.73895858369093</v>
      </c>
      <c r="BQ513" s="66">
        <f t="shared" si="416"/>
        <v>24.995256544138922</v>
      </c>
    </row>
    <row r="514" spans="1:69" ht="13" x14ac:dyDescent="0.3">
      <c r="A514">
        <f t="shared" si="420"/>
        <v>1500000</v>
      </c>
      <c r="B514">
        <f t="shared" si="404"/>
        <v>1500</v>
      </c>
      <c r="C514">
        <f t="shared" si="373"/>
        <v>1.1054709849276985</v>
      </c>
      <c r="D514">
        <f t="shared" si="374"/>
        <v>0.44037514438320757</v>
      </c>
      <c r="F514">
        <f t="shared" si="375"/>
        <v>3.3087732928484936E-5</v>
      </c>
      <c r="G514">
        <f t="shared" si="376"/>
        <v>1.7933416263479069E-3</v>
      </c>
      <c r="H514">
        <f t="shared" si="377"/>
        <v>-3.1397993083736524</v>
      </c>
      <c r="J514">
        <f t="shared" si="378"/>
        <v>15</v>
      </c>
      <c r="M514">
        <f t="shared" si="379"/>
        <v>7.3225186691399302E-4</v>
      </c>
      <c r="N514">
        <f t="shared" si="380"/>
        <v>-1.5707963250000001</v>
      </c>
      <c r="O514">
        <f t="shared" si="381"/>
        <v>516.55419783714785</v>
      </c>
      <c r="P514">
        <f t="shared" si="382"/>
        <v>1.5688604203037488</v>
      </c>
      <c r="Q514">
        <f t="shared" si="383"/>
        <v>198.40446322384807</v>
      </c>
      <c r="R514">
        <f t="shared" si="384"/>
        <v>1.5657560962589958</v>
      </c>
      <c r="S514">
        <f t="shared" si="385"/>
        <v>0.90095776122342863</v>
      </c>
      <c r="T514">
        <f t="shared" si="386"/>
        <v>-0.44882454811609362</v>
      </c>
      <c r="U514">
        <f t="shared" si="387"/>
        <v>0.13240171511796303</v>
      </c>
      <c r="V514">
        <f t="shared" si="388"/>
        <v>-1.4380046894338712</v>
      </c>
      <c r="X514">
        <f t="shared" si="405"/>
        <v>-46.175370376564572</v>
      </c>
      <c r="Y514">
        <f t="shared" si="389"/>
        <v>-173.17266698977653</v>
      </c>
      <c r="Z514">
        <f t="shared" si="406"/>
        <v>6.8273330102234695</v>
      </c>
      <c r="AC514">
        <v>1</v>
      </c>
      <c r="AD514">
        <f t="shared" si="390"/>
        <v>516.55322988360001</v>
      </c>
      <c r="AE514">
        <f t="shared" si="391"/>
        <v>-0.48683994910082357</v>
      </c>
      <c r="AF514">
        <f t="shared" si="392"/>
        <v>6.5030967854999996E-2</v>
      </c>
      <c r="AG514">
        <f t="shared" si="421"/>
        <v>137.22773893163821</v>
      </c>
      <c r="AH514">
        <f t="shared" si="422"/>
        <v>-1042.7023873901387</v>
      </c>
      <c r="AJ514">
        <f t="shared" si="393"/>
        <v>21000</v>
      </c>
      <c r="AK514">
        <f t="shared" si="394"/>
        <v>10113.729218145001</v>
      </c>
      <c r="AL514">
        <v>1</v>
      </c>
      <c r="AM514">
        <f t="shared" si="395"/>
        <v>198.401943103245</v>
      </c>
      <c r="AN514">
        <f t="shared" si="423"/>
        <v>51.508141406034106</v>
      </c>
      <c r="AO514">
        <f t="shared" si="424"/>
        <v>-105.58612244887505</v>
      </c>
      <c r="AQ514">
        <f t="shared" si="396"/>
        <v>1.1111109876543346E-3</v>
      </c>
      <c r="AR514">
        <f t="shared" si="397"/>
        <v>-3.333332962963004</v>
      </c>
      <c r="AT514">
        <f t="shared" si="418"/>
        <v>-3475.5217631992309</v>
      </c>
      <c r="AU514">
        <f t="shared" si="419"/>
        <v>-458.58430369319376</v>
      </c>
      <c r="AV514">
        <f t="shared" si="407"/>
        <v>-3.010403589398928</v>
      </c>
      <c r="AW514">
        <f t="shared" si="408"/>
        <v>-231.84496157139986</v>
      </c>
      <c r="AX514">
        <f t="shared" si="409"/>
        <v>-1365.5642845897162</v>
      </c>
      <c r="AY514">
        <f t="shared" si="417"/>
        <v>-1.738972269328632</v>
      </c>
      <c r="BA514">
        <f t="shared" si="398"/>
        <v>2.5309588357320756</v>
      </c>
      <c r="BB514">
        <f t="shared" si="410"/>
        <v>8.065701634419197</v>
      </c>
      <c r="BC514">
        <f t="shared" si="411"/>
        <v>-1.271431320070296</v>
      </c>
      <c r="BD514">
        <f t="shared" si="399"/>
        <v>-252.84764866401545</v>
      </c>
      <c r="BF514">
        <f t="shared" si="400"/>
        <v>-57.148185987297921</v>
      </c>
      <c r="BG514">
        <f t="shared" si="401"/>
        <v>-227.5132605530298</v>
      </c>
      <c r="BH514">
        <f t="shared" si="412"/>
        <v>-47.513260553029795</v>
      </c>
      <c r="BI514">
        <f t="shared" si="413"/>
        <v>-47.513260553029795</v>
      </c>
      <c r="BJ514">
        <f t="shared" si="402"/>
        <v>0</v>
      </c>
      <c r="BK514">
        <f t="shared" si="414"/>
        <v>0</v>
      </c>
      <c r="BM514">
        <f t="shared" si="415"/>
        <v>-65.21388762171712</v>
      </c>
      <c r="BN514">
        <f t="shared" si="403"/>
        <v>-154.66561188901434</v>
      </c>
      <c r="BQ514" s="66">
        <f t="shared" si="416"/>
        <v>24.96766243470433</v>
      </c>
    </row>
    <row r="515" spans="1:69" ht="13" x14ac:dyDescent="0.3">
      <c r="A515">
        <f t="shared" si="420"/>
        <v>1505000</v>
      </c>
      <c r="B515">
        <f t="shared" si="404"/>
        <v>1505</v>
      </c>
      <c r="C515">
        <f t="shared" si="373"/>
        <v>1.1061414948255446</v>
      </c>
      <c r="D515">
        <f t="shared" si="374"/>
        <v>0.44165972677109183</v>
      </c>
      <c r="F515">
        <f t="shared" si="375"/>
        <v>3.2868239156718481E-5</v>
      </c>
      <c r="G515">
        <f t="shared" si="376"/>
        <v>1.7873832976180719E-3</v>
      </c>
      <c r="H515">
        <f t="shared" si="377"/>
        <v>-3.1398052667023824</v>
      </c>
      <c r="J515">
        <f t="shared" si="378"/>
        <v>15</v>
      </c>
      <c r="M515">
        <f t="shared" si="379"/>
        <v>7.2981913645912919E-4</v>
      </c>
      <c r="N515">
        <f t="shared" si="380"/>
        <v>-1.5707963250000001</v>
      </c>
      <c r="O515">
        <f t="shared" si="381"/>
        <v>518.27603872097336</v>
      </c>
      <c r="P515">
        <f t="shared" si="382"/>
        <v>1.5688668518707867</v>
      </c>
      <c r="Q515">
        <f t="shared" si="383"/>
        <v>199.06579466180432</v>
      </c>
      <c r="R515">
        <f t="shared" si="384"/>
        <v>1.5657728409287637</v>
      </c>
      <c r="S515">
        <f t="shared" si="385"/>
        <v>0.90039192592868544</v>
      </c>
      <c r="T515">
        <f t="shared" si="386"/>
        <v>-0.45012683575347445</v>
      </c>
      <c r="U515">
        <f t="shared" si="387"/>
        <v>0.13196951565934598</v>
      </c>
      <c r="V515">
        <f t="shared" si="388"/>
        <v>-1.4384407150289482</v>
      </c>
      <c r="X515">
        <f t="shared" si="405"/>
        <v>-46.232867683232371</v>
      </c>
      <c r="Y515">
        <f t="shared" si="389"/>
        <v>-173.19767733876932</v>
      </c>
      <c r="Z515">
        <f t="shared" si="406"/>
        <v>6.8023226612306757</v>
      </c>
      <c r="AC515">
        <v>1</v>
      </c>
      <c r="AD515">
        <f t="shared" si="390"/>
        <v>518.275073983212</v>
      </c>
      <c r="AE515">
        <f t="shared" si="391"/>
        <v>-0.49009095809426356</v>
      </c>
      <c r="AF515">
        <f t="shared" si="392"/>
        <v>6.5247737747850004E-2</v>
      </c>
      <c r="AG515">
        <f t="shared" si="421"/>
        <v>136.33329505099761</v>
      </c>
      <c r="AH515">
        <f t="shared" si="422"/>
        <v>-1039.3573406907269</v>
      </c>
      <c r="AJ515">
        <f t="shared" si="393"/>
        <v>21000</v>
      </c>
      <c r="AK515">
        <f t="shared" si="394"/>
        <v>10147.441648872151</v>
      </c>
      <c r="AL515">
        <v>1</v>
      </c>
      <c r="AM515">
        <f t="shared" si="395"/>
        <v>199.06328291358915</v>
      </c>
      <c r="AN515">
        <f t="shared" si="423"/>
        <v>51.504611270001796</v>
      </c>
      <c r="AO515">
        <f t="shared" si="424"/>
        <v>-105.23535572264963</v>
      </c>
      <c r="AQ515">
        <f t="shared" si="396"/>
        <v>1.1037404549905129E-3</v>
      </c>
      <c r="AR515">
        <f t="shared" si="397"/>
        <v>-3.3222587695214436</v>
      </c>
      <c r="AT515">
        <f t="shared" si="418"/>
        <v>-3452.8635632031442</v>
      </c>
      <c r="AU515">
        <f t="shared" si="419"/>
        <v>-454.08166580504297</v>
      </c>
      <c r="AV515">
        <f t="shared" si="407"/>
        <v>-3.0108342908465566</v>
      </c>
      <c r="AW515">
        <f t="shared" si="408"/>
        <v>-229.96122677305519</v>
      </c>
      <c r="AX515">
        <f t="shared" si="409"/>
        <v>-1361.0730144649601</v>
      </c>
      <c r="AY515">
        <f t="shared" si="417"/>
        <v>-1.7381714723162598</v>
      </c>
      <c r="BA515">
        <f t="shared" si="398"/>
        <v>2.5229548382423959</v>
      </c>
      <c r="BB515">
        <f t="shared" si="410"/>
        <v>8.0381895313371157</v>
      </c>
      <c r="BC515">
        <f t="shared" si="411"/>
        <v>-1.2726628185302968</v>
      </c>
      <c r="BD515">
        <f t="shared" si="399"/>
        <v>-252.91820832833099</v>
      </c>
      <c r="BF515">
        <f t="shared" si="400"/>
        <v>-57.228242833294452</v>
      </c>
      <c r="BG515">
        <f t="shared" si="401"/>
        <v>-227.51056045508818</v>
      </c>
      <c r="BH515">
        <f t="shared" si="412"/>
        <v>-47.510560455088182</v>
      </c>
      <c r="BI515">
        <f t="shared" si="413"/>
        <v>-47.510560455088182</v>
      </c>
      <c r="BJ515">
        <f t="shared" si="402"/>
        <v>0</v>
      </c>
      <c r="BK515">
        <f t="shared" si="414"/>
        <v>0</v>
      </c>
      <c r="BM515">
        <f t="shared" si="415"/>
        <v>-65.266432364631569</v>
      </c>
      <c r="BN515">
        <f t="shared" si="403"/>
        <v>-154.59235212675719</v>
      </c>
      <c r="BQ515" s="66">
        <f t="shared" si="416"/>
        <v>24.940150331622249</v>
      </c>
    </row>
    <row r="516" spans="1:69" ht="13" x14ac:dyDescent="0.3">
      <c r="A516">
        <f t="shared" si="420"/>
        <v>1510000</v>
      </c>
      <c r="B516">
        <f t="shared" si="404"/>
        <v>1510</v>
      </c>
      <c r="C516">
        <f t="shared" si="373"/>
        <v>1.1068138278115947</v>
      </c>
      <c r="D516">
        <f t="shared" si="374"/>
        <v>0.44294275063736921</v>
      </c>
      <c r="F516">
        <f t="shared" si="375"/>
        <v>3.2650922265883747E-5</v>
      </c>
      <c r="G516">
        <f t="shared" si="376"/>
        <v>1.7814644318060683E-3</v>
      </c>
      <c r="H516">
        <f t="shared" si="377"/>
        <v>-3.1398111855681941</v>
      </c>
      <c r="J516">
        <f t="shared" si="378"/>
        <v>15</v>
      </c>
      <c r="M516">
        <f t="shared" si="379"/>
        <v>7.2740251680197972E-4</v>
      </c>
      <c r="N516">
        <f t="shared" si="380"/>
        <v>-1.5707963250000001</v>
      </c>
      <c r="O516">
        <f t="shared" si="381"/>
        <v>519.99787962609537</v>
      </c>
      <c r="P516">
        <f t="shared" si="382"/>
        <v>1.5688732408448234</v>
      </c>
      <c r="Q516">
        <f t="shared" si="383"/>
        <v>199.72712615520584</v>
      </c>
      <c r="R516">
        <f t="shared" si="384"/>
        <v>1.5657894747094681</v>
      </c>
      <c r="S516">
        <f t="shared" si="385"/>
        <v>0.89982527773177601</v>
      </c>
      <c r="T516">
        <f t="shared" si="386"/>
        <v>-0.45142748644387914</v>
      </c>
      <c r="U516">
        <f t="shared" si="387"/>
        <v>0.13154010391624515</v>
      </c>
      <c r="V516">
        <f t="shared" si="388"/>
        <v>-1.4388739031641011</v>
      </c>
      <c r="X516">
        <f t="shared" si="405"/>
        <v>-46.290178335607088</v>
      </c>
      <c r="Y516">
        <f t="shared" si="389"/>
        <v>-173.22252715265694</v>
      </c>
      <c r="Z516">
        <f t="shared" si="406"/>
        <v>6.7774728473430628</v>
      </c>
      <c r="AC516">
        <v>1</v>
      </c>
      <c r="AD516">
        <f t="shared" si="390"/>
        <v>519.9969180828241</v>
      </c>
      <c r="AE516">
        <f t="shared" si="391"/>
        <v>-0.49335278575323904</v>
      </c>
      <c r="AF516">
        <f t="shared" si="392"/>
        <v>6.5464507640699998E-2</v>
      </c>
      <c r="AG516">
        <f t="shared" si="421"/>
        <v>135.44751666937782</v>
      </c>
      <c r="AH516">
        <f t="shared" si="422"/>
        <v>-1036.0332967665865</v>
      </c>
      <c r="AJ516">
        <f t="shared" si="393"/>
        <v>21000</v>
      </c>
      <c r="AK516">
        <f t="shared" si="394"/>
        <v>10181.154079599301</v>
      </c>
      <c r="AL516">
        <v>1</v>
      </c>
      <c r="AM516">
        <f t="shared" si="395"/>
        <v>199.72462272393329</v>
      </c>
      <c r="AN516">
        <f t="shared" si="423"/>
        <v>51.501116142282754</v>
      </c>
      <c r="AO516">
        <f t="shared" si="424"/>
        <v>-104.88691177959315</v>
      </c>
      <c r="AQ516">
        <f t="shared" si="396"/>
        <v>1.096443018240097E-3</v>
      </c>
      <c r="AR516">
        <f t="shared" si="397"/>
        <v>-3.3112579150850934</v>
      </c>
      <c r="AT516">
        <f t="shared" si="418"/>
        <v>-3430.4249437260728</v>
      </c>
      <c r="AU516">
        <f t="shared" si="419"/>
        <v>-449.63761312500145</v>
      </c>
      <c r="AV516">
        <f t="shared" si="407"/>
        <v>-3.0112621900933583</v>
      </c>
      <c r="AW516">
        <f t="shared" si="408"/>
        <v>-228.09627244245976</v>
      </c>
      <c r="AX516">
        <f t="shared" si="409"/>
        <v>-1356.6110514472985</v>
      </c>
      <c r="AY516">
        <f t="shared" si="417"/>
        <v>-1.7373750848235108</v>
      </c>
      <c r="BA516">
        <f t="shared" si="398"/>
        <v>2.5149997671676996</v>
      </c>
      <c r="BB516">
        <f t="shared" si="410"/>
        <v>8.0107589837213258</v>
      </c>
      <c r="BC516">
        <f t="shared" si="411"/>
        <v>-1.2738871052698475</v>
      </c>
      <c r="BD516">
        <f t="shared" si="399"/>
        <v>-252.98835479150125</v>
      </c>
      <c r="BF516">
        <f t="shared" si="400"/>
        <v>-57.308015249820841</v>
      </c>
      <c r="BG516">
        <f t="shared" si="401"/>
        <v>-227.50753419165304</v>
      </c>
      <c r="BH516">
        <f t="shared" si="412"/>
        <v>-47.507534191653036</v>
      </c>
      <c r="BI516">
        <f t="shared" si="413"/>
        <v>-47.507534191653036</v>
      </c>
      <c r="BJ516">
        <f t="shared" si="402"/>
        <v>0</v>
      </c>
      <c r="BK516">
        <f t="shared" si="414"/>
        <v>0</v>
      </c>
      <c r="BM516">
        <f t="shared" si="415"/>
        <v>-65.318774233542158</v>
      </c>
      <c r="BN516">
        <f t="shared" si="403"/>
        <v>-154.51917940015184</v>
      </c>
      <c r="BQ516" s="66">
        <f t="shared" si="416"/>
        <v>24.912719784006462</v>
      </c>
    </row>
    <row r="517" spans="1:69" ht="13" x14ac:dyDescent="0.3">
      <c r="A517">
        <f t="shared" si="420"/>
        <v>1515000</v>
      </c>
      <c r="B517">
        <f t="shared" si="404"/>
        <v>1515</v>
      </c>
      <c r="C517">
        <f t="shared" si="373"/>
        <v>1.1074879805655715</v>
      </c>
      <c r="D517">
        <f t="shared" si="374"/>
        <v>0.44422421460022854</v>
      </c>
      <c r="F517">
        <f t="shared" si="375"/>
        <v>3.2435753564258645E-5</v>
      </c>
      <c r="G517">
        <f t="shared" si="376"/>
        <v>1.7755846381401871E-3</v>
      </c>
      <c r="H517">
        <f t="shared" si="377"/>
        <v>-3.1398170653618602</v>
      </c>
      <c r="J517">
        <f t="shared" si="378"/>
        <v>15</v>
      </c>
      <c r="M517">
        <f t="shared" si="379"/>
        <v>7.2500184842969604E-4</v>
      </c>
      <c r="N517">
        <f t="shared" si="380"/>
        <v>-1.5707963250000001</v>
      </c>
      <c r="O517">
        <f t="shared" si="381"/>
        <v>521.71972055230322</v>
      </c>
      <c r="P517">
        <f t="shared" si="382"/>
        <v>1.5688795876475696</v>
      </c>
      <c r="Q517">
        <f t="shared" si="383"/>
        <v>200.3884577035036</v>
      </c>
      <c r="R517">
        <f t="shared" si="384"/>
        <v>1.5658059986989836</v>
      </c>
      <c r="S517">
        <f t="shared" si="385"/>
        <v>0.89925782391261821</v>
      </c>
      <c r="T517">
        <f t="shared" si="386"/>
        <v>-0.45272649887947725</v>
      </c>
      <c r="U517">
        <f t="shared" si="387"/>
        <v>0.13111345324546972</v>
      </c>
      <c r="V517">
        <f t="shared" si="388"/>
        <v>-1.4393042812858827</v>
      </c>
      <c r="X517">
        <f t="shared" si="405"/>
        <v>-46.347303534495403</v>
      </c>
      <c r="Y517">
        <f t="shared" si="389"/>
        <v>-173.24721794357359</v>
      </c>
      <c r="Z517">
        <f t="shared" si="406"/>
        <v>6.7527820564264118</v>
      </c>
      <c r="AC517">
        <v>1</v>
      </c>
      <c r="AD517">
        <f t="shared" si="390"/>
        <v>521.71876218243608</v>
      </c>
      <c r="AE517">
        <f t="shared" si="391"/>
        <v>-0.49662543207775012</v>
      </c>
      <c r="AF517">
        <f t="shared" si="392"/>
        <v>6.5681277533550006E-2</v>
      </c>
      <c r="AG517">
        <f t="shared" si="421"/>
        <v>134.57029287063253</v>
      </c>
      <c r="AH517">
        <f t="shared" si="422"/>
        <v>-1032.7300623386802</v>
      </c>
      <c r="AJ517">
        <f t="shared" si="393"/>
        <v>21000</v>
      </c>
      <c r="AK517">
        <f t="shared" si="394"/>
        <v>10214.86651032645</v>
      </c>
      <c r="AL517">
        <v>1</v>
      </c>
      <c r="AM517">
        <f t="shared" si="395"/>
        <v>200.38596253427747</v>
      </c>
      <c r="AN517">
        <f t="shared" si="423"/>
        <v>51.497655561503692</v>
      </c>
      <c r="AO517">
        <f t="shared" si="424"/>
        <v>-104.54076762415484</v>
      </c>
      <c r="AQ517">
        <f t="shared" si="396"/>
        <v>1.0892177140348208E-3</v>
      </c>
      <c r="AR517">
        <f t="shared" si="397"/>
        <v>-3.300329673525507</v>
      </c>
      <c r="AT517">
        <f t="shared" si="418"/>
        <v>-3408.2030931314152</v>
      </c>
      <c r="AU517">
        <f t="shared" si="419"/>
        <v>-445.25119861368211</v>
      </c>
      <c r="AV517">
        <f t="shared" si="407"/>
        <v>-3.0116873142367884</v>
      </c>
      <c r="AW517">
        <f t="shared" si="408"/>
        <v>-226.24984947523731</v>
      </c>
      <c r="AX517">
        <f t="shared" si="409"/>
        <v>-1352.1781108883504</v>
      </c>
      <c r="AY517">
        <f t="shared" si="417"/>
        <v>-1.7365830641698825</v>
      </c>
      <c r="BA517">
        <f t="shared" si="398"/>
        <v>2.5070931898804494</v>
      </c>
      <c r="BB517">
        <f t="shared" si="410"/>
        <v>7.9834095439322583</v>
      </c>
      <c r="BC517">
        <f t="shared" si="411"/>
        <v>-1.2751042500669059</v>
      </c>
      <c r="BD517">
        <f t="shared" si="399"/>
        <v>-253.05809205150865</v>
      </c>
      <c r="BF517">
        <f t="shared" si="400"/>
        <v>-57.387505000696052</v>
      </c>
      <c r="BG517">
        <f t="shared" si="401"/>
        <v>-227.50418586226854</v>
      </c>
      <c r="BH517">
        <f t="shared" si="412"/>
        <v>-47.504185862268542</v>
      </c>
      <c r="BI517">
        <f t="shared" si="413"/>
        <v>-47.504185862268542</v>
      </c>
      <c r="BJ517">
        <f t="shared" si="402"/>
        <v>0</v>
      </c>
      <c r="BK517">
        <f t="shared" si="414"/>
        <v>0</v>
      </c>
      <c r="BM517">
        <f t="shared" si="415"/>
        <v>-65.370914544628306</v>
      </c>
      <c r="BN517">
        <f t="shared" si="403"/>
        <v>-154.44609381075986</v>
      </c>
      <c r="BQ517" s="66">
        <f t="shared" si="416"/>
        <v>24.885370344217396</v>
      </c>
    </row>
    <row r="518" spans="1:69" ht="13" x14ac:dyDescent="0.3">
      <c r="A518">
        <f>A517+5000</f>
        <v>1520000</v>
      </c>
      <c r="B518">
        <f t="shared" si="404"/>
        <v>1520</v>
      </c>
      <c r="C518">
        <f t="shared" si="373"/>
        <v>1.1081639497663016</v>
      </c>
      <c r="D518">
        <f t="shared" si="374"/>
        <v>0.44550411730170947</v>
      </c>
      <c r="F518">
        <f t="shared" si="375"/>
        <v>3.2222704831276234E-5</v>
      </c>
      <c r="G518">
        <f t="shared" si="376"/>
        <v>1.7697435309912658E-3</v>
      </c>
      <c r="H518">
        <f t="shared" si="377"/>
        <v>-3.1398229064690089</v>
      </c>
      <c r="J518">
        <f t="shared" si="378"/>
        <v>15</v>
      </c>
      <c r="M518">
        <f t="shared" si="379"/>
        <v>7.2261697392828257E-4</v>
      </c>
      <c r="N518">
        <f t="shared" si="380"/>
        <v>-1.5707963250000001</v>
      </c>
      <c r="O518">
        <f t="shared" si="381"/>
        <v>523.4415614993884</v>
      </c>
      <c r="P518">
        <f t="shared" si="382"/>
        <v>1.5688858926951876</v>
      </c>
      <c r="Q518">
        <f t="shared" si="383"/>
        <v>201.04978930615596</v>
      </c>
      <c r="R518">
        <f t="shared" si="384"/>
        <v>1.5658224139807402</v>
      </c>
      <c r="S518">
        <f t="shared" si="385"/>
        <v>0.89868957173418262</v>
      </c>
      <c r="T518">
        <f t="shared" si="386"/>
        <v>-0.45402387177784659</v>
      </c>
      <c r="U518">
        <f t="shared" si="387"/>
        <v>0.13068953733912328</v>
      </c>
      <c r="V518">
        <f t="shared" si="388"/>
        <v>-1.4397318764900795</v>
      </c>
      <c r="X518">
        <f t="shared" si="405"/>
        <v>-46.40424446921601</v>
      </c>
      <c r="Y518">
        <f t="shared" si="389"/>
        <v>-173.27175120449607</v>
      </c>
      <c r="Z518">
        <f t="shared" si="406"/>
        <v>6.7282487955039301</v>
      </c>
      <c r="AC518">
        <v>1</v>
      </c>
      <c r="AD518">
        <f t="shared" si="390"/>
        <v>523.44060628204807</v>
      </c>
      <c r="AE518">
        <f t="shared" si="391"/>
        <v>-0.49990889706779679</v>
      </c>
      <c r="AF518">
        <f t="shared" si="392"/>
        <v>6.58980474264E-2</v>
      </c>
      <c r="AG518">
        <f t="shared" si="421"/>
        <v>133.70151449691301</v>
      </c>
      <c r="AH518">
        <f t="shared" si="422"/>
        <v>-1029.4474464393375</v>
      </c>
      <c r="AJ518">
        <f t="shared" si="393"/>
        <v>21000</v>
      </c>
      <c r="AK518">
        <f t="shared" si="394"/>
        <v>10248.578941053602</v>
      </c>
      <c r="AL518">
        <v>1</v>
      </c>
      <c r="AM518">
        <f t="shared" si="395"/>
        <v>201.04730234462161</v>
      </c>
      <c r="AN518">
        <f t="shared" si="423"/>
        <v>51.494229073866883</v>
      </c>
      <c r="AO518">
        <f t="shared" si="424"/>
        <v>-104.19690056331932</v>
      </c>
      <c r="AQ518">
        <f t="shared" si="396"/>
        <v>1.0820635948251822E-3</v>
      </c>
      <c r="AR518">
        <f t="shared" si="397"/>
        <v>-3.2894733282685542</v>
      </c>
      <c r="AT518">
        <f t="shared" si="418"/>
        <v>-3386.1952443749615</v>
      </c>
      <c r="AU518">
        <f t="shared" si="419"/>
        <v>-440.92149349128454</v>
      </c>
      <c r="AV518">
        <f t="shared" si="407"/>
        <v>-3.0121096900281286</v>
      </c>
      <c r="AW518">
        <f t="shared" si="408"/>
        <v>-224.42171288773574</v>
      </c>
      <c r="AX518">
        <f t="shared" si="409"/>
        <v>-1347.7739117987892</v>
      </c>
      <c r="AY518">
        <f t="shared" si="417"/>
        <v>-1.7357953682199592</v>
      </c>
      <c r="BA518">
        <f t="shared" si="398"/>
        <v>2.4992346786233859</v>
      </c>
      <c r="BB518">
        <f t="shared" si="410"/>
        <v>7.9561407675539764</v>
      </c>
      <c r="BC518">
        <f t="shared" si="411"/>
        <v>-1.2763143218081694</v>
      </c>
      <c r="BD518">
        <f t="shared" si="399"/>
        <v>-253.12742405527035</v>
      </c>
      <c r="BF518">
        <f t="shared" si="400"/>
        <v>-57.466713833938343</v>
      </c>
      <c r="BG518">
        <f t="shared" si="401"/>
        <v>-227.50051951375184</v>
      </c>
      <c r="BH518">
        <f t="shared" si="412"/>
        <v>-47.50051951375184</v>
      </c>
      <c r="BI518">
        <f t="shared" si="413"/>
        <v>-47.50051951375184</v>
      </c>
      <c r="BJ518">
        <f t="shared" si="402"/>
        <v>0</v>
      </c>
      <c r="BK518">
        <f t="shared" si="414"/>
        <v>0</v>
      </c>
      <c r="BM518">
        <f t="shared" si="415"/>
        <v>-65.422854601492318</v>
      </c>
      <c r="BN518">
        <f t="shared" si="403"/>
        <v>-154.37309545848152</v>
      </c>
      <c r="BQ518" s="66">
        <f t="shared" si="416"/>
        <v>24.858101567839114</v>
      </c>
    </row>
    <row r="519" spans="1:69" ht="13" x14ac:dyDescent="0.3">
      <c r="A519">
        <f t="shared" si="420"/>
        <v>1525000</v>
      </c>
      <c r="B519">
        <f t="shared" si="404"/>
        <v>1525</v>
      </c>
      <c r="C519">
        <f t="shared" si="373"/>
        <v>1.1088417320917723</v>
      </c>
      <c r="D519">
        <f t="shared" si="374"/>
        <v>0.44678245740761902</v>
      </c>
      <c r="F519">
        <f t="shared" si="375"/>
        <v>3.2011748308270724E-5</v>
      </c>
      <c r="G519">
        <f t="shared" si="376"/>
        <v>1.7639407297883694E-3</v>
      </c>
      <c r="H519">
        <f t="shared" si="377"/>
        <v>-3.139828709270212</v>
      </c>
      <c r="J519">
        <f t="shared" si="378"/>
        <v>15</v>
      </c>
      <c r="M519">
        <f t="shared" si="379"/>
        <v>7.2024773794818978E-4</v>
      </c>
      <c r="N519">
        <f t="shared" si="380"/>
        <v>-1.5707963250000001</v>
      </c>
      <c r="O519">
        <f t="shared" si="381"/>
        <v>525.16340246714594</v>
      </c>
      <c r="P519">
        <f t="shared" si="382"/>
        <v>1.5688921563983815</v>
      </c>
      <c r="Q519">
        <f t="shared" si="383"/>
        <v>201.71112096262823</v>
      </c>
      <c r="R519">
        <f t="shared" si="384"/>
        <v>1.5658387216239591</v>
      </c>
      <c r="S519">
        <f t="shared" si="385"/>
        <v>0.89812052844234813</v>
      </c>
      <c r="T519">
        <f t="shared" si="386"/>
        <v>-0.45531960388187681</v>
      </c>
      <c r="U519">
        <f t="shared" si="387"/>
        <v>0.13026833021939729</v>
      </c>
      <c r="V519">
        <f t="shared" si="388"/>
        <v>-1.4401567155272639</v>
      </c>
      <c r="X519">
        <f t="shared" si="405"/>
        <v>-46.461002317744331</v>
      </c>
      <c r="Y519">
        <f t="shared" si="389"/>
        <v>-173.29612840954749</v>
      </c>
      <c r="Z519">
        <f t="shared" si="406"/>
        <v>6.7038715904525077</v>
      </c>
      <c r="AC519">
        <v>1</v>
      </c>
      <c r="AD519">
        <f t="shared" si="390"/>
        <v>525.16245038166005</v>
      </c>
      <c r="AE519">
        <f t="shared" si="391"/>
        <v>-0.503203180723379</v>
      </c>
      <c r="AF519">
        <f t="shared" si="392"/>
        <v>6.6114817319249994E-2</v>
      </c>
      <c r="AG519">
        <f t="shared" si="421"/>
        <v>132.84107411553191</v>
      </c>
      <c r="AH519">
        <f t="shared" si="422"/>
        <v>-1026.1852603787161</v>
      </c>
      <c r="AJ519">
        <f t="shared" si="393"/>
        <v>21000</v>
      </c>
      <c r="AK519">
        <f t="shared" si="394"/>
        <v>10282.29137178075</v>
      </c>
      <c r="AL519">
        <v>1</v>
      </c>
      <c r="AM519">
        <f t="shared" si="395"/>
        <v>201.70864215496576</v>
      </c>
      <c r="AN519">
        <f t="shared" si="423"/>
        <v>51.490836233001268</v>
      </c>
      <c r="AO519">
        <f t="shared" si="424"/>
        <v>-103.85528820164774</v>
      </c>
      <c r="AQ519">
        <f t="shared" si="396"/>
        <v>1.0749797285697685E-3</v>
      </c>
      <c r="AR519">
        <f t="shared" si="397"/>
        <v>-3.2786881721377941</v>
      </c>
      <c r="AT519">
        <f t="shared" si="418"/>
        <v>-3364.3986741640433</v>
      </c>
      <c r="AU519">
        <f t="shared" si="419"/>
        <v>-436.64758682933876</v>
      </c>
      <c r="AV519">
        <f t="shared" si="407"/>
        <v>-3.012529343877965</v>
      </c>
      <c r="AW519">
        <f t="shared" si="408"/>
        <v>-222.61162173542391</v>
      </c>
      <c r="AX519">
        <f t="shared" si="409"/>
        <v>-1343.3981767899543</v>
      </c>
      <c r="AY519">
        <f t="shared" si="417"/>
        <v>-1.7350119553748156</v>
      </c>
      <c r="BA519">
        <f t="shared" si="398"/>
        <v>2.4914238104452004</v>
      </c>
      <c r="BB519">
        <f t="shared" si="410"/>
        <v>7.9289522133712058</v>
      </c>
      <c r="BC519">
        <f t="shared" si="411"/>
        <v>-1.2775173885031494</v>
      </c>
      <c r="BD519">
        <f t="shared" si="399"/>
        <v>-253.19635469944421</v>
      </c>
      <c r="BF519">
        <f t="shared" si="400"/>
        <v>-57.545643481951949</v>
      </c>
      <c r="BG519">
        <f t="shared" si="401"/>
        <v>-227.49653914100972</v>
      </c>
      <c r="BH519">
        <f t="shared" si="412"/>
        <v>-47.49653914100972</v>
      </c>
      <c r="BI519">
        <f t="shared" si="413"/>
        <v>-47.49653914100972</v>
      </c>
      <c r="BJ519">
        <f t="shared" si="402"/>
        <v>0</v>
      </c>
      <c r="BK519">
        <f t="shared" si="414"/>
        <v>0</v>
      </c>
      <c r="BM519">
        <f t="shared" si="415"/>
        <v>-65.47459569532316</v>
      </c>
      <c r="BN519">
        <f t="shared" si="403"/>
        <v>-154.30018444156553</v>
      </c>
      <c r="BQ519" s="66">
        <f t="shared" si="416"/>
        <v>24.830913013656343</v>
      </c>
    </row>
    <row r="520" spans="1:69" ht="13" x14ac:dyDescent="0.3">
      <c r="A520">
        <f t="shared" si="420"/>
        <v>1530000</v>
      </c>
      <c r="B520">
        <f t="shared" si="404"/>
        <v>1530</v>
      </c>
      <c r="C520">
        <f t="shared" si="373"/>
        <v>1.109521324219189</v>
      </c>
      <c r="D520">
        <f t="shared" si="374"/>
        <v>0.44805923360744815</v>
      </c>
      <c r="F520">
        <f t="shared" si="375"/>
        <v>3.1802856689434722E-5</v>
      </c>
      <c r="G520">
        <f t="shared" si="376"/>
        <v>1.7581758589361239E-3</v>
      </c>
      <c r="H520">
        <f t="shared" si="377"/>
        <v>-3.1398344741410642</v>
      </c>
      <c r="J520">
        <f t="shared" si="378"/>
        <v>15</v>
      </c>
      <c r="M520">
        <f t="shared" si="379"/>
        <v>7.1789398717058133E-4</v>
      </c>
      <c r="N520">
        <f t="shared" si="380"/>
        <v>-1.5707963250000001</v>
      </c>
      <c r="O520">
        <f t="shared" si="381"/>
        <v>526.88524345537303</v>
      </c>
      <c r="P520">
        <f t="shared" si="382"/>
        <v>1.5688983791624869</v>
      </c>
      <c r="Q520">
        <f t="shared" si="383"/>
        <v>202.3724526723928</v>
      </c>
      <c r="R520">
        <f t="shared" si="384"/>
        <v>1.5658549226838858</v>
      </c>
      <c r="S520">
        <f t="shared" si="385"/>
        <v>0.89755070126575798</v>
      </c>
      <c r="T520">
        <f t="shared" si="386"/>
        <v>-0.45661369395967355</v>
      </c>
      <c r="U520">
        <f t="shared" si="387"/>
        <v>0.12984980623346021</v>
      </c>
      <c r="V520">
        <f t="shared" si="388"/>
        <v>-1.4405788248082416</v>
      </c>
      <c r="X520">
        <f t="shared" si="405"/>
        <v>-46.517578246855066</v>
      </c>
      <c r="Y520">
        <f t="shared" si="389"/>
        <v>-173.32035101429474</v>
      </c>
      <c r="Z520">
        <f t="shared" si="406"/>
        <v>6.6796489857052563</v>
      </c>
      <c r="AC520">
        <v>1</v>
      </c>
      <c r="AD520">
        <f t="shared" si="390"/>
        <v>526.88429448127204</v>
      </c>
      <c r="AE520">
        <f t="shared" si="391"/>
        <v>-0.50650828304449691</v>
      </c>
      <c r="AF520">
        <f t="shared" si="392"/>
        <v>6.6331587212100002E-2</v>
      </c>
      <c r="AG520">
        <f t="shared" si="421"/>
        <v>131.98886598654877</v>
      </c>
      <c r="AH520">
        <f t="shared" si="422"/>
        <v>-1022.9433177118276</v>
      </c>
      <c r="AJ520">
        <f t="shared" si="393"/>
        <v>21000</v>
      </c>
      <c r="AK520">
        <f t="shared" si="394"/>
        <v>10316.003802507901</v>
      </c>
      <c r="AL520">
        <v>1</v>
      </c>
      <c r="AM520">
        <f t="shared" si="395"/>
        <v>202.3699819653099</v>
      </c>
      <c r="AN520">
        <f t="shared" si="423"/>
        <v>51.487476599817171</v>
      </c>
      <c r="AO520">
        <f t="shared" si="424"/>
        <v>-103.51590843641601</v>
      </c>
      <c r="AQ520">
        <f t="shared" si="396"/>
        <v>1.0679651984316718E-3</v>
      </c>
      <c r="AR520">
        <f t="shared" si="397"/>
        <v>-3.2679735072009155</v>
      </c>
      <c r="AT520">
        <f t="shared" si="418"/>
        <v>-3342.8107021350074</v>
      </c>
      <c r="AU520">
        <f t="shared" si="419"/>
        <v>-432.4285851528179</v>
      </c>
      <c r="AV520">
        <f t="shared" si="407"/>
        <v>-3.0129463018615605</v>
      </c>
      <c r="AW520">
        <f t="shared" si="408"/>
        <v>-220.81933903316857</v>
      </c>
      <c r="AX520">
        <f t="shared" si="409"/>
        <v>-1339.0506320165787</v>
      </c>
      <c r="AY520">
        <f t="shared" si="417"/>
        <v>-1.734232784563583</v>
      </c>
      <c r="BA520">
        <f t="shared" si="398"/>
        <v>2.4836601671371255</v>
      </c>
      <c r="BB520">
        <f t="shared" si="410"/>
        <v>7.9018434433463449</v>
      </c>
      <c r="BC520">
        <f t="shared" si="411"/>
        <v>-1.2787135172979776</v>
      </c>
      <c r="BD520">
        <f t="shared" si="399"/>
        <v>-253.26488783122022</v>
      </c>
      <c r="BF520">
        <f t="shared" si="400"/>
        <v>-57.624295661711173</v>
      </c>
      <c r="BG520">
        <f t="shared" si="401"/>
        <v>-227.49224868783887</v>
      </c>
      <c r="BH520">
        <f t="shared" si="412"/>
        <v>-47.492248687838867</v>
      </c>
      <c r="BI520">
        <f t="shared" si="413"/>
        <v>-47.492248687838867</v>
      </c>
      <c r="BJ520">
        <f t="shared" si="402"/>
        <v>0</v>
      </c>
      <c r="BK520">
        <f t="shared" si="414"/>
        <v>0</v>
      </c>
      <c r="BM520">
        <f t="shared" si="415"/>
        <v>-65.526139105057524</v>
      </c>
      <c r="BN520">
        <f t="shared" si="403"/>
        <v>-154.22736085661865</v>
      </c>
      <c r="BQ520" s="66">
        <f t="shared" si="416"/>
        <v>24.803804243631479</v>
      </c>
    </row>
    <row r="521" spans="1:69" ht="13" x14ac:dyDescent="0.3">
      <c r="A521">
        <f t="shared" si="420"/>
        <v>1535000</v>
      </c>
      <c r="B521">
        <f t="shared" si="404"/>
        <v>1535</v>
      </c>
      <c r="C521">
        <f t="shared" ref="C521:C584" si="425">SQRT((A521/Fesr)^2+1)</f>
        <v>1.1102027228250313</v>
      </c>
      <c r="D521">
        <f t="shared" ref="D521:D584" si="426">ATAN(A521/Fesr)</f>
        <v>0.44933444461428762</v>
      </c>
      <c r="F521">
        <f t="shared" ref="F521:F584" si="427">(Ro/(Ro+Rdcr))/SQRT((A521/(Q*Fo))^2+(1-(A521^2/Fo^2))^2)</f>
        <v>3.1596003112982413E-5</v>
      </c>
      <c r="G521">
        <f t="shared" ref="G521:G584" si="428">-ATAN(A521*Fo/(Q*(Fo^2-A521^2)))</f>
        <v>1.7524485477336659E-3</v>
      </c>
      <c r="H521">
        <f t="shared" ref="H521:H584" si="429">IF(G521&gt;0,G521-Pi,G521)</f>
        <v>-3.1398402014522664</v>
      </c>
      <c r="J521">
        <f t="shared" ref="J521:J584" si="430">Vin/Vramp</f>
        <v>15</v>
      </c>
      <c r="M521">
        <f t="shared" ref="M521:M584" si="431">1/(2*Pi*_Rfb1*(Cc1ea_u+Cc2ea_u)*A521)</f>
        <v>7.155555702742602E-4</v>
      </c>
      <c r="N521">
        <f t="shared" ref="N521:N584" si="432">-Pi/2</f>
        <v>-1.5707963250000001</v>
      </c>
      <c r="O521">
        <f t="shared" ref="O521:O584" si="433">SQRT(1+(A521/Fz1_u)^2)</f>
        <v>528.6070844638698</v>
      </c>
      <c r="P521">
        <f t="shared" ref="P521:P584" si="434">ATAN2(Fz1_u,A521)</f>
        <v>1.5689045613875578</v>
      </c>
      <c r="Q521">
        <f t="shared" ref="Q521:Q584" si="435">SQRT(1+(A521/Fz2_u)^2)</f>
        <v>203.03378443492892</v>
      </c>
      <c r="R521">
        <f t="shared" ref="R521:R584" si="436">ATAN2(Fz2_u,A521)</f>
        <v>1.565871018202017</v>
      </c>
      <c r="S521">
        <f t="shared" ref="S521:S584" si="437">1/SQRT(1+(A521/Fp1_u)^2)</f>
        <v>0.89698009741567741</v>
      </c>
      <c r="T521">
        <f t="shared" ref="T521:T584" si="438">-ATAN2(Fp1_u,A521)</f>
        <v>-0.4579061408044614</v>
      </c>
      <c r="U521">
        <f t="shared" ref="U521:U584" si="439">1/SQRT(1+(A521/Fp2_u)^2)</f>
        <v>0.12943394004844017</v>
      </c>
      <c r="V521">
        <f t="shared" ref="V521:V584" si="440">-ATAN2(Fp2_u,A521)</f>
        <v>-1.4409982304093976</v>
      </c>
      <c r="X521">
        <f t="shared" si="405"/>
        <v>-46.573973412262582</v>
      </c>
      <c r="Y521">
        <f t="shared" ref="Y521:Y584" si="441">(180/Pi)*(D521+H521+N521+P521+R521+T521+V521)</f>
        <v>-173.34442045604075</v>
      </c>
      <c r="Z521">
        <f t="shared" si="406"/>
        <v>6.6555795439592487</v>
      </c>
      <c r="AC521">
        <v>1</v>
      </c>
      <c r="AD521">
        <f t="shared" ref="AD521:AD584" si="442">Rcea1_u*Cc1ea_u*A521*2*Pi</f>
        <v>528.60613858088402</v>
      </c>
      <c r="AE521">
        <f t="shared" ref="AE521:AE584" si="443">-Rcea1_u*Cc1ea_u*Cc2ea_u*(A521*2*Pi)^2</f>
        <v>-0.50982420403115025</v>
      </c>
      <c r="AF521">
        <f t="shared" ref="AF521:AF584" si="444">(Cc2ea_u+Cc1ea_u)*A521*2*Pi</f>
        <v>6.6548357104950009E-2</v>
      </c>
      <c r="AG521">
        <f t="shared" si="421"/>
        <v>131.14478603105962</v>
      </c>
      <c r="AH521">
        <f t="shared" si="422"/>
        <v>-1019.7214342061175</v>
      </c>
      <c r="AJ521">
        <f t="shared" ref="AJ521:AJ584" si="445">_Rfb1</f>
        <v>21000</v>
      </c>
      <c r="AK521">
        <f t="shared" ref="AK521:AK584" si="446">_Rfb1*Rcea2_u*Cc3ea_u*A521*2*Pi</f>
        <v>10349.716233235051</v>
      </c>
      <c r="AL521">
        <v>1</v>
      </c>
      <c r="AM521">
        <f t="shared" ref="AM521:AM584" si="447">(_Rfb1+Rcea2_u)*Cc3ea_u*A521*2*Pi</f>
        <v>203.03132177565405</v>
      </c>
      <c r="AN521">
        <f t="shared" si="423"/>
        <v>51.484149742364181</v>
      </c>
      <c r="AO521">
        <f t="shared" si="424"/>
        <v>-103.1787394528484</v>
      </c>
      <c r="AQ521">
        <f t="shared" ref="AQ521:AQ584" si="448">Eadcg/(1+(Eadcg*A521/GBP)^2)</f>
        <v>1.0610191024818191E-3</v>
      </c>
      <c r="AR521">
        <f t="shared" ref="AR521:AR584" si="449">-(A521*Eadcg*Eadcg/GBP)/(1+(Eadcg*A521/GBP)^2)</f>
        <v>-3.2573286446191849</v>
      </c>
      <c r="AT521">
        <f t="shared" si="418"/>
        <v>-3321.428690048574</v>
      </c>
      <c r="AU521">
        <f t="shared" si="419"/>
        <v>-428.26361205232735</v>
      </c>
      <c r="AV521">
        <f t="shared" si="407"/>
        <v>-3.0133605897241305</v>
      </c>
      <c r="AW521">
        <f t="shared" si="408"/>
        <v>-219.04463167734357</v>
      </c>
      <c r="AX521">
        <f t="shared" si="409"/>
        <v>-1334.7310071206048</v>
      </c>
      <c r="AY521">
        <f t="shared" si="417"/>
        <v>-1.7334578152351696</v>
      </c>
      <c r="BA521">
        <f t="shared" ref="BA521:BA584" si="450">SQRT(AT521^2+AU521^2)/SQRT(AW521^2+AX521^2)</f>
        <v>2.4759433351704403</v>
      </c>
      <c r="BB521">
        <f t="shared" si="410"/>
        <v>7.8748140225965111</v>
      </c>
      <c r="BC521">
        <f t="shared" si="411"/>
        <v>-1.2799027744889608</v>
      </c>
      <c r="BD521">
        <f t="shared" ref="BD521:BD584" si="451">BC521*180/Pi-180</f>
        <v>-253.33302724909703</v>
      </c>
      <c r="BF521">
        <f t="shared" ref="BF521:BF584" si="452">20*LOG(BA521*J521*F521*C521)</f>
        <v>-57.702672074941674</v>
      </c>
      <c r="BG521">
        <f t="shared" ref="BG521:BG584" si="453">(180/Pi)*(D521+H521+BC521)</f>
        <v>-227.48765204771186</v>
      </c>
      <c r="BH521">
        <f t="shared" si="412"/>
        <v>-47.487652047711862</v>
      </c>
      <c r="BI521">
        <f t="shared" si="413"/>
        <v>-47.487652047711862</v>
      </c>
      <c r="BJ521">
        <f t="shared" ref="BJ521:BJ584" si="454">SUM((BF522&lt;0)*(BF521&gt;0))*A521</f>
        <v>0</v>
      </c>
      <c r="BK521">
        <f t="shared" si="414"/>
        <v>0</v>
      </c>
      <c r="BM521">
        <f t="shared" si="415"/>
        <v>-65.577486097538184</v>
      </c>
      <c r="BN521">
        <f t="shared" ref="BN521:BN584" si="455">(H521+D521)*180/Pi</f>
        <v>-154.15462479861486</v>
      </c>
      <c r="BQ521" s="66">
        <f t="shared" si="416"/>
        <v>24.776774822881649</v>
      </c>
    </row>
    <row r="522" spans="1:69" ht="13" x14ac:dyDescent="0.3">
      <c r="A522">
        <f t="shared" si="420"/>
        <v>1540000</v>
      </c>
      <c r="B522">
        <f t="shared" ref="B522:B585" si="456">A522/1000</f>
        <v>1540</v>
      </c>
      <c r="C522">
        <f t="shared" si="425"/>
        <v>1.110885924585109</v>
      </c>
      <c r="D522">
        <f t="shared" si="426"/>
        <v>0.45060808916474338</v>
      </c>
      <c r="F522">
        <f t="shared" si="427"/>
        <v>3.1391161152513254E-5</v>
      </c>
      <c r="G522">
        <f t="shared" si="428"/>
        <v>1.7467584302951718E-3</v>
      </c>
      <c r="H522">
        <f t="shared" si="429"/>
        <v>-3.1398458915697049</v>
      </c>
      <c r="J522">
        <f t="shared" si="430"/>
        <v>15</v>
      </c>
      <c r="M522">
        <f t="shared" si="431"/>
        <v>7.1323233790323984E-4</v>
      </c>
      <c r="N522">
        <f t="shared" si="432"/>
        <v>-1.5707963250000001</v>
      </c>
      <c r="O522">
        <f t="shared" si="433"/>
        <v>530.32892549243854</v>
      </c>
      <c r="P522">
        <f t="shared" si="434"/>
        <v>1.5689107034684533</v>
      </c>
      <c r="Q522">
        <f t="shared" si="435"/>
        <v>203.69511624972259</v>
      </c>
      <c r="R522">
        <f t="shared" si="436"/>
        <v>1.5658870092063237</v>
      </c>
      <c r="S522">
        <f t="shared" si="437"/>
        <v>0.89640872408585337</v>
      </c>
      <c r="T522">
        <f t="shared" si="438"/>
        <v>-0.45919694323448679</v>
      </c>
      <c r="U522">
        <f t="shared" si="439"/>
        <v>0.12902070664649951</v>
      </c>
      <c r="V522">
        <f t="shared" si="440"/>
        <v>-1.4414149580779407</v>
      </c>
      <c r="X522">
        <f t="shared" ref="X522:X585" si="457">20*LOG(C522*J522*O522*Q522*F522*M522*S522*U522)</f>
        <v>-46.630188958759035</v>
      </c>
      <c r="Y522">
        <f t="shared" si="441"/>
        <v>-173.36833815411114</v>
      </c>
      <c r="Z522">
        <f t="shared" ref="Z522:Z585" si="458">Y522+180</f>
        <v>6.631661845888857</v>
      </c>
      <c r="AC522">
        <v>1</v>
      </c>
      <c r="AD522">
        <f t="shared" si="442"/>
        <v>530.32798268049601</v>
      </c>
      <c r="AE522">
        <f t="shared" si="443"/>
        <v>-0.51315094368333902</v>
      </c>
      <c r="AF522">
        <f t="shared" si="444"/>
        <v>6.6765126997800003E-2</v>
      </c>
      <c r="AG522">
        <f t="shared" si="421"/>
        <v>130.30873180017275</v>
      </c>
      <c r="AH522">
        <f t="shared" si="422"/>
        <v>-1016.5194278095826</v>
      </c>
      <c r="AJ522">
        <f t="shared" si="445"/>
        <v>21000</v>
      </c>
      <c r="AK522">
        <f t="shared" si="446"/>
        <v>10383.428663962201</v>
      </c>
      <c r="AL522">
        <v>1</v>
      </c>
      <c r="AM522">
        <f t="shared" si="447"/>
        <v>203.69266158599822</v>
      </c>
      <c r="AN522">
        <f t="shared" si="423"/>
        <v>51.480855235692331</v>
      </c>
      <c r="AO522">
        <f t="shared" si="424"/>
        <v>-102.84375971944344</v>
      </c>
      <c r="AQ522">
        <f t="shared" si="448"/>
        <v>1.0541405534090326E-3</v>
      </c>
      <c r="AR522">
        <f t="shared" si="449"/>
        <v>-3.2467529044998202</v>
      </c>
      <c r="AT522">
        <f t="shared" si="418"/>
        <v>-3300.2500410026037</v>
      </c>
      <c r="AU522">
        <f t="shared" si="419"/>
        <v>-424.15180780608119</v>
      </c>
      <c r="AV522">
        <f t="shared" ref="AV522:AV585" si="459">ATAN2(AT522,AU522)</f>
        <v>-3.0137722328860135</v>
      </c>
      <c r="AW522">
        <f t="shared" ref="AW522:AW585" si="460">AG522-AH522*AO522/_Rfb2+AG522*AN522/_Rfb2+AN522-AO522*AR522+AQ522*AN522</f>
        <v>-217.28727036972037</v>
      </c>
      <c r="AX522">
        <f t="shared" ref="AX522:AX585" si="461">AH522+AH522*AN522/_Rfb2+AG522*AO522/_Rfb2+AO522+AO522*AQ522+AN522*AR522</f>
        <v>-1330.4390351760544</v>
      </c>
      <c r="AY522">
        <f t="shared" si="417"/>
        <v>-1.7326870073501377</v>
      </c>
      <c r="BA522">
        <f t="shared" si="450"/>
        <v>2.4682729056348687</v>
      </c>
      <c r="BB522">
        <f t="shared" ref="BB522:BB585" si="462">20*LOG(BA522)</f>
        <v>7.8478635193705761</v>
      </c>
      <c r="BC522">
        <f t="shared" ref="BC522:BC585" si="463">AV522-AY522</f>
        <v>-1.2810852255358758</v>
      </c>
      <c r="BD522">
        <f t="shared" si="451"/>
        <v>-253.40077670364349</v>
      </c>
      <c r="BF522">
        <f t="shared" si="452"/>
        <v>-57.780774408299308</v>
      </c>
      <c r="BG522">
        <f t="shared" si="453"/>
        <v>-227.48275306454852</v>
      </c>
      <c r="BH522">
        <f t="shared" ref="BH522:BH585" si="464">IF(BG522&gt;180,BG522-180,BG522+180)</f>
        <v>-47.482753064548518</v>
      </c>
      <c r="BI522">
        <f t="shared" ref="BI522:BI585" si="465">IF(BH522&gt;180,BH522-360,BH522)</f>
        <v>-47.482753064548518</v>
      </c>
      <c r="BJ522">
        <f t="shared" si="454"/>
        <v>0</v>
      </c>
      <c r="BK522">
        <f t="shared" ref="BK522:BK585" si="466">IF(BJ522&gt;0,BI522,0)</f>
        <v>0</v>
      </c>
      <c r="BM522">
        <f t="shared" ref="BM522:BM585" si="467">20*LOG(J522*F522*C522)</f>
        <v>-65.628637927669871</v>
      </c>
      <c r="BN522">
        <f t="shared" si="455"/>
        <v>-154.08197636090506</v>
      </c>
      <c r="BQ522" s="66">
        <f t="shared" ref="BQ522:BQ585" si="468">20*LOG(BA522*7)</f>
        <v>24.749824319655712</v>
      </c>
    </row>
    <row r="523" spans="1:69" ht="13" x14ac:dyDescent="0.3">
      <c r="A523">
        <f t="shared" si="420"/>
        <v>1545000</v>
      </c>
      <c r="B523">
        <f t="shared" si="456"/>
        <v>1545</v>
      </c>
      <c r="C523">
        <f t="shared" si="425"/>
        <v>1.1115709261746196</v>
      </c>
      <c r="D523">
        <f t="shared" si="426"/>
        <v>0.45188016601885189</v>
      </c>
      <c r="F523">
        <f t="shared" si="427"/>
        <v>3.1188304808571016E-5</v>
      </c>
      <c r="G523">
        <f t="shared" si="428"/>
        <v>1.7411051454719302E-3</v>
      </c>
      <c r="H523">
        <f t="shared" si="429"/>
        <v>-3.1398515448545283</v>
      </c>
      <c r="J523">
        <f t="shared" si="430"/>
        <v>15</v>
      </c>
      <c r="M523">
        <f t="shared" si="431"/>
        <v>7.1092414263494458E-4</v>
      </c>
      <c r="N523">
        <f t="shared" si="432"/>
        <v>-1.5707963250000001</v>
      </c>
      <c r="O523">
        <f t="shared" si="433"/>
        <v>532.05076654088464</v>
      </c>
      <c r="P523">
        <f t="shared" si="434"/>
        <v>1.568916805794921</v>
      </c>
      <c r="Q523">
        <f t="shared" si="435"/>
        <v>204.35644811626645</v>
      </c>
      <c r="R523">
        <f t="shared" si="436"/>
        <v>1.565902896711471</v>
      </c>
      <c r="S523">
        <f t="shared" si="437"/>
        <v>0.89583658845237735</v>
      </c>
      <c r="T523">
        <f t="shared" si="438"/>
        <v>-0.46048610009292029</v>
      </c>
      <c r="U523">
        <f t="shared" si="439"/>
        <v>0.12861008131999913</v>
      </c>
      <c r="V523">
        <f t="shared" si="440"/>
        <v>-1.441829033237052</v>
      </c>
      <c r="X523">
        <f t="shared" si="457"/>
        <v>-46.686226020350389</v>
      </c>
      <c r="Y523">
        <f t="shared" si="441"/>
        <v>-173.39210551013548</v>
      </c>
      <c r="Z523">
        <f t="shared" si="458"/>
        <v>6.6078944898645204</v>
      </c>
      <c r="AC523">
        <v>1</v>
      </c>
      <c r="AD523">
        <f t="shared" si="442"/>
        <v>532.04982678010799</v>
      </c>
      <c r="AE523">
        <f t="shared" si="443"/>
        <v>-0.51648850200106367</v>
      </c>
      <c r="AF523">
        <f t="shared" si="444"/>
        <v>6.6981896890649997E-2</v>
      </c>
      <c r="AG523">
        <f t="shared" si="421"/>
        <v>129.48060244465415</v>
      </c>
      <c r="AH523">
        <f t="shared" si="422"/>
        <v>-1013.3371186194249</v>
      </c>
      <c r="AJ523">
        <f t="shared" si="445"/>
        <v>21000</v>
      </c>
      <c r="AK523">
        <f t="shared" si="446"/>
        <v>10417.14109468935</v>
      </c>
      <c r="AL523">
        <v>1</v>
      </c>
      <c r="AM523">
        <f t="shared" si="447"/>
        <v>204.35400139634237</v>
      </c>
      <c r="AN523">
        <f t="shared" si="423"/>
        <v>51.477592661716415</v>
      </c>
      <c r="AO523">
        <f t="shared" si="424"/>
        <v>-102.51094798339109</v>
      </c>
      <c r="AQ523">
        <f t="shared" si="448"/>
        <v>1.0473286782366462E-3</v>
      </c>
      <c r="AR523">
        <f t="shared" si="449"/>
        <v>-3.2362456157512369</v>
      </c>
      <c r="AT523">
        <f t="shared" si="418"/>
        <v>-3279.2721986618894</v>
      </c>
      <c r="AU523">
        <f t="shared" si="419"/>
        <v>-420.09232901139274</v>
      </c>
      <c r="AV523">
        <f t="shared" si="459"/>
        <v>-3.014181256447753</v>
      </c>
      <c r="AW523">
        <f t="shared" si="460"/>
        <v>-215.54702954309789</v>
      </c>
      <c r="AX523">
        <f t="shared" si="461"/>
        <v>-1326.1744526349469</v>
      </c>
      <c r="AY523">
        <f t="shared" ref="AY523:AY586" si="469">ATAN2(AW523,AX523)</f>
        <v>-1.7319203213727283</v>
      </c>
      <c r="BA523">
        <f t="shared" si="450"/>
        <v>2.4606484741778654</v>
      </c>
      <c r="BB523">
        <f t="shared" si="462"/>
        <v>7.8209915050262415</v>
      </c>
      <c r="BC523">
        <f t="shared" si="463"/>
        <v>-1.2822609350750247</v>
      </c>
      <c r="BD523">
        <f t="shared" si="451"/>
        <v>-253.46813989824699</v>
      </c>
      <c r="BF523">
        <f t="shared" si="452"/>
        <v>-57.85860433354631</v>
      </c>
      <c r="BG523">
        <f t="shared" si="453"/>
        <v>-227.47755553347318</v>
      </c>
      <c r="BH523">
        <f t="shared" si="464"/>
        <v>-47.477555533473179</v>
      </c>
      <c r="BI523">
        <f t="shared" si="465"/>
        <v>-47.477555533473179</v>
      </c>
      <c r="BJ523">
        <f t="shared" si="454"/>
        <v>0</v>
      </c>
      <c r="BK523">
        <f t="shared" si="466"/>
        <v>0</v>
      </c>
      <c r="BM523">
        <f t="shared" si="467"/>
        <v>-65.679595838572553</v>
      </c>
      <c r="BN523">
        <f t="shared" si="455"/>
        <v>-154.00941563522619</v>
      </c>
      <c r="BQ523" s="66">
        <f t="shared" si="468"/>
        <v>24.722952305311377</v>
      </c>
    </row>
    <row r="524" spans="1:69" ht="13" x14ac:dyDescent="0.3">
      <c r="A524">
        <f t="shared" si="420"/>
        <v>1550000</v>
      </c>
      <c r="B524">
        <f t="shared" si="456"/>
        <v>1550</v>
      </c>
      <c r="C524">
        <f t="shared" si="425"/>
        <v>1.1122577242682021</v>
      </c>
      <c r="D524">
        <f t="shared" si="426"/>
        <v>0.4531506739599947</v>
      </c>
      <c r="F524">
        <f t="shared" si="427"/>
        <v>3.0987408500393099E-5</v>
      </c>
      <c r="G524">
        <f t="shared" si="428"/>
        <v>1.7354883367759221E-3</v>
      </c>
      <c r="H524">
        <f t="shared" si="429"/>
        <v>-3.1398571616632243</v>
      </c>
      <c r="J524">
        <f t="shared" si="430"/>
        <v>15</v>
      </c>
      <c r="M524">
        <f t="shared" si="431"/>
        <v>7.086308389490254E-4</v>
      </c>
      <c r="N524">
        <f t="shared" si="432"/>
        <v>-1.5707963250000001</v>
      </c>
      <c r="O524">
        <f t="shared" si="433"/>
        <v>533.77260760901572</v>
      </c>
      <c r="P524">
        <f t="shared" si="434"/>
        <v>1.568922868751679</v>
      </c>
      <c r="Q524">
        <f t="shared" si="435"/>
        <v>205.01778003405971</v>
      </c>
      <c r="R524">
        <f t="shared" si="436"/>
        <v>1.5659186817190316</v>
      </c>
      <c r="S524">
        <f t="shared" si="437"/>
        <v>0.89526369767354863</v>
      </c>
      <c r="T524">
        <f t="shared" si="438"/>
        <v>-0.46177361024775865</v>
      </c>
      <c r="U524">
        <f t="shared" si="439"/>
        <v>0.12820203966675064</v>
      </c>
      <c r="V524">
        <f t="shared" si="440"/>
        <v>-1.4422404809909357</v>
      </c>
      <c r="X524">
        <f t="shared" si="457"/>
        <v>-46.742085720390406</v>
      </c>
      <c r="Y524">
        <f t="shared" si="441"/>
        <v>-173.41572390832349</v>
      </c>
      <c r="Z524">
        <f t="shared" si="458"/>
        <v>6.5842760916765144</v>
      </c>
      <c r="AC524">
        <v>1</v>
      </c>
      <c r="AD524">
        <f t="shared" si="442"/>
        <v>533.77167087971998</v>
      </c>
      <c r="AE524">
        <f t="shared" si="443"/>
        <v>-0.51983687898432374</v>
      </c>
      <c r="AF524">
        <f t="shared" si="444"/>
        <v>6.7198666783500005E-2</v>
      </c>
      <c r="AG524">
        <f t="shared" si="421"/>
        <v>128.66029868522713</v>
      </c>
      <c r="AH524">
        <f t="shared" si="422"/>
        <v>-1010.1743288512271</v>
      </c>
      <c r="AJ524">
        <f t="shared" si="445"/>
        <v>21000</v>
      </c>
      <c r="AK524">
        <f t="shared" si="446"/>
        <v>10450.853525416502</v>
      </c>
      <c r="AL524">
        <v>1</v>
      </c>
      <c r="AM524">
        <f t="shared" si="447"/>
        <v>205.01534120668651</v>
      </c>
      <c r="AN524">
        <f t="shared" si="423"/>
        <v>51.47436160908331</v>
      </c>
      <c r="AO524">
        <f t="shared" si="424"/>
        <v>-102.18028326607826</v>
      </c>
      <c r="AQ524">
        <f t="shared" si="448"/>
        <v>1.0405826180455132E-3</v>
      </c>
      <c r="AR524">
        <f t="shared" si="449"/>
        <v>-3.2258061159410909</v>
      </c>
      <c r="AT524">
        <f t="shared" si="418"/>
        <v>-3258.492646504531</v>
      </c>
      <c r="AU524">
        <f t="shared" si="419"/>
        <v>-416.08434822541159</v>
      </c>
      <c r="AV524">
        <f t="shared" si="459"/>
        <v>-3.0145876851950777</v>
      </c>
      <c r="AW524">
        <f t="shared" si="460"/>
        <v>-213.8236872886211</v>
      </c>
      <c r="AX524">
        <f t="shared" si="461"/>
        <v>-1321.936999274227</v>
      </c>
      <c r="AY524">
        <f t="shared" si="469"/>
        <v>-1.7311577182630336</v>
      </c>
      <c r="BA524">
        <f t="shared" si="450"/>
        <v>2.4530696409447819</v>
      </c>
      <c r="BB524">
        <f t="shared" si="462"/>
        <v>7.7941975540071802</v>
      </c>
      <c r="BC524">
        <f t="shared" si="463"/>
        <v>-1.2834299669320441</v>
      </c>
      <c r="BD524">
        <f t="shared" si="451"/>
        <v>-253.53512048984706</v>
      </c>
      <c r="BF524">
        <f t="shared" si="452"/>
        <v>-57.936163507724991</v>
      </c>
      <c r="BG524">
        <f t="shared" si="453"/>
        <v>-227.47206320155772</v>
      </c>
      <c r="BH524">
        <f t="shared" si="464"/>
        <v>-47.472063201557717</v>
      </c>
      <c r="BI524">
        <f t="shared" si="465"/>
        <v>-47.472063201557717</v>
      </c>
      <c r="BJ524">
        <f t="shared" si="454"/>
        <v>0</v>
      </c>
      <c r="BK524">
        <f t="shared" si="466"/>
        <v>0</v>
      </c>
      <c r="BM524">
        <f t="shared" si="467"/>
        <v>-65.730361061732168</v>
      </c>
      <c r="BN524">
        <f t="shared" si="455"/>
        <v>-153.93694271171066</v>
      </c>
      <c r="BQ524" s="66">
        <f t="shared" si="468"/>
        <v>24.696158354292315</v>
      </c>
    </row>
    <row r="525" spans="1:69" ht="13" x14ac:dyDescent="0.3">
      <c r="A525">
        <f t="shared" si="420"/>
        <v>1555000</v>
      </c>
      <c r="B525">
        <f t="shared" si="456"/>
        <v>1555</v>
      </c>
      <c r="C525">
        <f t="shared" si="425"/>
        <v>1.1129463155399937</v>
      </c>
      <c r="D525">
        <f t="shared" si="426"/>
        <v>0.45441961179481261</v>
      </c>
      <c r="F525">
        <f t="shared" si="427"/>
        <v>3.0788447057845323E-5</v>
      </c>
      <c r="G525">
        <f t="shared" si="428"/>
        <v>1.7299076523048778E-3</v>
      </c>
      <c r="H525">
        <f t="shared" si="429"/>
        <v>-3.1398627423476952</v>
      </c>
      <c r="J525">
        <f t="shared" si="430"/>
        <v>15</v>
      </c>
      <c r="M525">
        <f t="shared" si="431"/>
        <v>7.063522831967777E-4</v>
      </c>
      <c r="N525">
        <f t="shared" si="432"/>
        <v>-1.5707963250000001</v>
      </c>
      <c r="O525">
        <f t="shared" si="433"/>
        <v>535.4944486966416</v>
      </c>
      <c r="P525">
        <f t="shared" si="434"/>
        <v>1.5689288927184977</v>
      </c>
      <c r="Q525">
        <f t="shared" si="435"/>
        <v>205.67911200260806</v>
      </c>
      <c r="R525">
        <f t="shared" si="436"/>
        <v>1.5659343652176967</v>
      </c>
      <c r="S525">
        <f t="shared" si="437"/>
        <v>0.89469005888973951</v>
      </c>
      <c r="T525">
        <f t="shared" si="438"/>
        <v>-0.46305947259172631</v>
      </c>
      <c r="U525">
        <f t="shared" si="439"/>
        <v>0.12779655758535474</v>
      </c>
      <c r="V525">
        <f t="shared" si="440"/>
        <v>-1.4426493261297786</v>
      </c>
      <c r="X525">
        <f t="shared" si="457"/>
        <v>-46.797769171712488</v>
      </c>
      <c r="Y525">
        <f t="shared" si="441"/>
        <v>-173.43919471573585</v>
      </c>
      <c r="Z525">
        <f t="shared" si="458"/>
        <v>6.5608052842641484</v>
      </c>
      <c r="AC525">
        <v>1</v>
      </c>
      <c r="AD525">
        <f t="shared" si="442"/>
        <v>535.49351497933196</v>
      </c>
      <c r="AE525">
        <f t="shared" si="443"/>
        <v>-0.52319607463311946</v>
      </c>
      <c r="AF525">
        <f t="shared" si="444"/>
        <v>6.7415436676349999E-2</v>
      </c>
      <c r="AG525">
        <f t="shared" si="421"/>
        <v>127.84772278350806</v>
      </c>
      <c r="AH525">
        <f t="shared" si="422"/>
        <v>-1007.030882808639</v>
      </c>
      <c r="AJ525">
        <f t="shared" si="445"/>
        <v>21000</v>
      </c>
      <c r="AK525">
        <f t="shared" si="446"/>
        <v>10484.56595614365</v>
      </c>
      <c r="AL525">
        <v>1</v>
      </c>
      <c r="AM525">
        <f t="shared" si="447"/>
        <v>205.67668101703066</v>
      </c>
      <c r="AN525">
        <f t="shared" si="423"/>
        <v>51.471161673042282</v>
      </c>
      <c r="AO525">
        <f t="shared" si="424"/>
        <v>-101.85174485868116</v>
      </c>
      <c r="AQ525">
        <f t="shared" si="448"/>
        <v>1.0339015277032364E-3</v>
      </c>
      <c r="AR525">
        <f t="shared" si="449"/>
        <v>-3.215433751157065</v>
      </c>
      <c r="AT525">
        <f t="shared" si="418"/>
        <v>-3237.9089070844934</v>
      </c>
      <c r="AU525">
        <f t="shared" si="419"/>
        <v>-412.12705361484404</v>
      </c>
      <c r="AV525">
        <f t="shared" si="459"/>
        <v>-3.0149915436037955</v>
      </c>
      <c r="AW525">
        <f t="shared" si="460"/>
        <v>-212.11702528474984</v>
      </c>
      <c r="AX525">
        <f t="shared" si="461"/>
        <v>-1317.7264181436901</v>
      </c>
      <c r="AY525">
        <f t="shared" si="469"/>
        <v>-1.7303991594693156</v>
      </c>
      <c r="BA525">
        <f t="shared" si="450"/>
        <v>2.445536010519882</v>
      </c>
      <c r="BB525">
        <f t="shared" si="462"/>
        <v>7.7674812438201695</v>
      </c>
      <c r="BC525">
        <f t="shared" si="463"/>
        <v>-1.28459238413448</v>
      </c>
      <c r="BD525">
        <f t="shared" si="451"/>
        <v>-253.60172208965614</v>
      </c>
      <c r="BF525">
        <f t="shared" si="452"/>
        <v>-58.013453573328952</v>
      </c>
      <c r="BG525">
        <f t="shared" si="453"/>
        <v>-227.46627976855152</v>
      </c>
      <c r="BH525">
        <f t="shared" si="464"/>
        <v>-47.466279768551516</v>
      </c>
      <c r="BI525">
        <f t="shared" si="465"/>
        <v>-47.466279768551516</v>
      </c>
      <c r="BJ525">
        <f t="shared" si="454"/>
        <v>0</v>
      </c>
      <c r="BK525">
        <f t="shared" si="466"/>
        <v>0</v>
      </c>
      <c r="BM525">
        <f t="shared" si="467"/>
        <v>-65.780934817149131</v>
      </c>
      <c r="BN525">
        <f t="shared" si="455"/>
        <v>-153.86455767889538</v>
      </c>
      <c r="BQ525" s="66">
        <f t="shared" si="468"/>
        <v>24.669442044105306</v>
      </c>
    </row>
    <row r="526" spans="1:69" ht="13" x14ac:dyDescent="0.3">
      <c r="A526">
        <f t="shared" si="420"/>
        <v>1560000</v>
      </c>
      <c r="B526">
        <f t="shared" si="456"/>
        <v>1560</v>
      </c>
      <c r="C526">
        <f t="shared" si="425"/>
        <v>1.1136366966636848</v>
      </c>
      <c r="D526">
        <f t="shared" si="426"/>
        <v>0.45568697835311939</v>
      </c>
      <c r="F526">
        <f t="shared" si="427"/>
        <v>3.0591395713537342E-5</v>
      </c>
      <c r="G526">
        <f t="shared" si="428"/>
        <v>1.7243627446687725E-3</v>
      </c>
      <c r="H526">
        <f t="shared" si="429"/>
        <v>-3.1398682872553314</v>
      </c>
      <c r="J526">
        <f t="shared" si="430"/>
        <v>15</v>
      </c>
      <c r="M526">
        <f t="shared" si="431"/>
        <v>7.0408833357114712E-4</v>
      </c>
      <c r="N526">
        <f t="shared" si="432"/>
        <v>-1.5707963250000001</v>
      </c>
      <c r="O526">
        <f t="shared" si="433"/>
        <v>537.21628980357514</v>
      </c>
      <c r="P526">
        <f t="shared" si="434"/>
        <v>1.5689348780702788</v>
      </c>
      <c r="Q526">
        <f t="shared" si="435"/>
        <v>206.34044402142342</v>
      </c>
      <c r="R526">
        <f t="shared" si="436"/>
        <v>1.5659499481834831</v>
      </c>
      <c r="S526">
        <f t="shared" si="437"/>
        <v>0.89411567922326307</v>
      </c>
      <c r="T526">
        <f t="shared" si="438"/>
        <v>-0.46434368604217652</v>
      </c>
      <c r="U526">
        <f t="shared" si="439"/>
        <v>0.12739361127062351</v>
      </c>
      <c r="V526">
        <f t="shared" si="440"/>
        <v>-1.4430555931346156</v>
      </c>
      <c r="X526">
        <f t="shared" si="457"/>
        <v>-46.853277476759601</v>
      </c>
      <c r="Y526">
        <f t="shared" si="441"/>
        <v>-173.46251928255037</v>
      </c>
      <c r="Z526">
        <f t="shared" si="458"/>
        <v>6.5374807174496254</v>
      </c>
      <c r="AC526">
        <v>1</v>
      </c>
      <c r="AD526">
        <f t="shared" si="442"/>
        <v>537.21535907894406</v>
      </c>
      <c r="AE526">
        <f t="shared" si="443"/>
        <v>-0.52656608894745072</v>
      </c>
      <c r="AF526">
        <f t="shared" si="444"/>
        <v>6.7632206569199993E-2</v>
      </c>
      <c r="AG526">
        <f t="shared" si="421"/>
        <v>127.04277851356504</v>
      </c>
      <c r="AH526">
        <f t="shared" si="422"/>
        <v>-1003.9066068535682</v>
      </c>
      <c r="AJ526">
        <f t="shared" si="445"/>
        <v>21000</v>
      </c>
      <c r="AK526">
        <f t="shared" si="446"/>
        <v>10518.278386870801</v>
      </c>
      <c r="AL526">
        <v>1</v>
      </c>
      <c r="AM526">
        <f t="shared" si="447"/>
        <v>206.33802082737478</v>
      </c>
      <c r="AN526">
        <f t="shared" si="423"/>
        <v>51.467992455318338</v>
      </c>
      <c r="AO526">
        <f t="shared" si="424"/>
        <v>-101.52531231784234</v>
      </c>
      <c r="AQ526">
        <f t="shared" si="448"/>
        <v>1.0272845755994642E-3</v>
      </c>
      <c r="AR526">
        <f t="shared" si="449"/>
        <v>-3.2051278758703283</v>
      </c>
      <c r="AT526">
        <f t="shared" si="418"/>
        <v>-3217.5185413099575</v>
      </c>
      <c r="AU526">
        <f t="shared" si="419"/>
        <v>-408.21964861441035</v>
      </c>
      <c r="AV526">
        <f t="shared" si="459"/>
        <v>-3.0153928558445924</v>
      </c>
      <c r="AW526">
        <f t="shared" si="460"/>
        <v>-210.42682872783124</v>
      </c>
      <c r="AX526">
        <f t="shared" si="461"/>
        <v>-1313.5424555148786</v>
      </c>
      <c r="AY526">
        <f t="shared" si="469"/>
        <v>-1.729644606920463</v>
      </c>
      <c r="BA526">
        <f t="shared" si="450"/>
        <v>2.4380471918682147</v>
      </c>
      <c r="BB526">
        <f t="shared" si="462"/>
        <v>7.7408421550123041</v>
      </c>
      <c r="BC526">
        <f t="shared" si="463"/>
        <v>-1.2857482489241294</v>
      </c>
      <c r="BD526">
        <f t="shared" si="451"/>
        <v>-253.66794826386649</v>
      </c>
      <c r="BF526">
        <f t="shared" si="452"/>
        <v>-58.090476158471859</v>
      </c>
      <c r="BG526">
        <f t="shared" si="453"/>
        <v>-227.46020888759762</v>
      </c>
      <c r="BH526">
        <f t="shared" si="464"/>
        <v>-47.460208887597616</v>
      </c>
      <c r="BI526">
        <f t="shared" si="465"/>
        <v>-47.460208887597616</v>
      </c>
      <c r="BJ526">
        <f t="shared" si="454"/>
        <v>0</v>
      </c>
      <c r="BK526">
        <f t="shared" si="466"/>
        <v>0</v>
      </c>
      <c r="BM526">
        <f t="shared" si="467"/>
        <v>-65.831318313484161</v>
      </c>
      <c r="BN526">
        <f t="shared" si="455"/>
        <v>-153.79226062373112</v>
      </c>
      <c r="BQ526" s="66">
        <f t="shared" si="468"/>
        <v>24.642802955297437</v>
      </c>
    </row>
    <row r="527" spans="1:69" ht="13" x14ac:dyDescent="0.3">
      <c r="A527">
        <f t="shared" si="420"/>
        <v>1565000</v>
      </c>
      <c r="B527">
        <f t="shared" si="456"/>
        <v>1565</v>
      </c>
      <c r="C527">
        <f t="shared" si="425"/>
        <v>1.1143288643125735</v>
      </c>
      <c r="D527">
        <f t="shared" si="426"/>
        <v>0.45695277248781585</v>
      </c>
      <c r="F527">
        <f t="shared" si="427"/>
        <v>3.0396230095114178E-5</v>
      </c>
      <c r="G527">
        <f t="shared" si="428"/>
        <v>1.7188532709177344E-3</v>
      </c>
      <c r="H527">
        <f t="shared" si="429"/>
        <v>-3.1398737967290824</v>
      </c>
      <c r="J527">
        <f t="shared" si="430"/>
        <v>15</v>
      </c>
      <c r="M527">
        <f t="shared" si="431"/>
        <v>7.0183885007730964E-4</v>
      </c>
      <c r="N527">
        <f t="shared" si="432"/>
        <v>-1.5707963250000001</v>
      </c>
      <c r="O527">
        <f t="shared" si="433"/>
        <v>538.93813092963114</v>
      </c>
      <c r="P527">
        <f t="shared" si="434"/>
        <v>1.5689408251771326</v>
      </c>
      <c r="Q527">
        <f t="shared" si="435"/>
        <v>207.00177609002404</v>
      </c>
      <c r="R527">
        <f t="shared" si="436"/>
        <v>1.5659654315799343</v>
      </c>
      <c r="S527">
        <f t="shared" si="437"/>
        <v>0.89354056577824259</v>
      </c>
      <c r="T527">
        <f t="shared" si="438"/>
        <v>-0.46562624954099241</v>
      </c>
      <c r="U527">
        <f t="shared" si="439"/>
        <v>0.12699317720908568</v>
      </c>
      <c r="V527">
        <f t="shared" si="440"/>
        <v>-1.4434593061821066</v>
      </c>
      <c r="X527">
        <f t="shared" si="457"/>
        <v>-46.908611727712106</v>
      </c>
      <c r="Y527">
        <f t="shared" si="441"/>
        <v>-173.48569894232273</v>
      </c>
      <c r="Z527">
        <f t="shared" si="458"/>
        <v>6.5143010576772724</v>
      </c>
      <c r="AC527">
        <v>1</v>
      </c>
      <c r="AD527">
        <f t="shared" si="442"/>
        <v>538.93720317855605</v>
      </c>
      <c r="AE527">
        <f t="shared" si="443"/>
        <v>-0.52994692192731752</v>
      </c>
      <c r="AF527">
        <f t="shared" si="444"/>
        <v>6.7848976462050001E-2</v>
      </c>
      <c r="AG527">
        <f t="shared" si="421"/>
        <v>126.24537113408326</v>
      </c>
      <c r="AH527">
        <f t="shared" si="422"/>
        <v>-1000.8013293768647</v>
      </c>
      <c r="AJ527">
        <f t="shared" si="445"/>
        <v>21000</v>
      </c>
      <c r="AK527">
        <f t="shared" si="446"/>
        <v>10551.990817597951</v>
      </c>
      <c r="AL527">
        <v>1</v>
      </c>
      <c r="AM527">
        <f t="shared" si="447"/>
        <v>206.99936063771898</v>
      </c>
      <c r="AN527">
        <f t="shared" si="423"/>
        <v>51.464853563988143</v>
      </c>
      <c r="AO527">
        <f t="shared" si="424"/>
        <v>-101.20096546143058</v>
      </c>
      <c r="AQ527">
        <f t="shared" si="448"/>
        <v>1.0207309433870977E-3</v>
      </c>
      <c r="AR527">
        <f t="shared" si="449"/>
        <v>-3.1948878528016156</v>
      </c>
      <c r="AT527">
        <f t="shared" si="418"/>
        <v>-3197.3191477370779</v>
      </c>
      <c r="AU527">
        <f t="shared" si="419"/>
        <v>-404.36135159379222</v>
      </c>
      <c r="AV527">
        <f t="shared" si="459"/>
        <v>-3.0157916457877461</v>
      </c>
      <c r="AW527">
        <f t="shared" si="460"/>
        <v>-208.75288626423603</v>
      </c>
      <c r="AX527">
        <f t="shared" si="461"/>
        <v>-1309.384860830929</v>
      </c>
      <c r="AY527">
        <f t="shared" si="469"/>
        <v>-1.7288940230185867</v>
      </c>
      <c r="BA527">
        <f t="shared" si="450"/>
        <v>2.4306027982783243</v>
      </c>
      <c r="BB527">
        <f t="shared" si="462"/>
        <v>7.7142798711482694</v>
      </c>
      <c r="BC527">
        <f t="shared" si="463"/>
        <v>-1.2868976227691593</v>
      </c>
      <c r="BD527">
        <f t="shared" si="451"/>
        <v>-253.7338025343447</v>
      </c>
      <c r="BF527">
        <f t="shared" si="452"/>
        <v>-58.167232877053806</v>
      </c>
      <c r="BG527">
        <f t="shared" si="453"/>
        <v>-227.45385416593604</v>
      </c>
      <c r="BH527">
        <f t="shared" si="464"/>
        <v>-47.453854165936036</v>
      </c>
      <c r="BI527">
        <f t="shared" si="465"/>
        <v>-47.453854165936036</v>
      </c>
      <c r="BJ527">
        <f t="shared" si="454"/>
        <v>0</v>
      </c>
      <c r="BK527">
        <f t="shared" si="466"/>
        <v>0</v>
      </c>
      <c r="BM527">
        <f t="shared" si="467"/>
        <v>-65.881512748202084</v>
      </c>
      <c r="BN527">
        <f t="shared" si="455"/>
        <v>-153.72005163159139</v>
      </c>
      <c r="BQ527" s="66">
        <f t="shared" si="468"/>
        <v>24.616240671433406</v>
      </c>
    </row>
    <row r="528" spans="1:69" ht="13" x14ac:dyDescent="0.3">
      <c r="A528">
        <f t="shared" si="420"/>
        <v>1570000</v>
      </c>
      <c r="B528">
        <f t="shared" si="456"/>
        <v>1570</v>
      </c>
      <c r="C528">
        <f t="shared" si="425"/>
        <v>1.1150228151596204</v>
      </c>
      <c r="D528">
        <f t="shared" si="426"/>
        <v>0.45821699307480229</v>
      </c>
      <c r="F528">
        <f t="shared" si="427"/>
        <v>3.0202926217719265E-5</v>
      </c>
      <c r="G528">
        <f t="shared" si="428"/>
        <v>1.7133788924713282E-3</v>
      </c>
      <c r="H528">
        <f t="shared" si="429"/>
        <v>-3.139879271107529</v>
      </c>
      <c r="J528">
        <f t="shared" si="430"/>
        <v>15</v>
      </c>
      <c r="M528">
        <f t="shared" si="431"/>
        <v>6.9960369450381495E-4</v>
      </c>
      <c r="N528">
        <f t="shared" si="432"/>
        <v>-1.5707963250000001</v>
      </c>
      <c r="O528">
        <f t="shared" si="433"/>
        <v>540.65997207462692</v>
      </c>
      <c r="P528">
        <f t="shared" si="434"/>
        <v>1.568946734404455</v>
      </c>
      <c r="Q528">
        <f t="shared" si="435"/>
        <v>207.66310820793424</v>
      </c>
      <c r="R528">
        <f t="shared" si="436"/>
        <v>1.56598081635832</v>
      </c>
      <c r="S528">
        <f t="shared" si="437"/>
        <v>0.89296472564048224</v>
      </c>
      <c r="T528">
        <f t="shared" si="438"/>
        <v>-0.4669071620544869</v>
      </c>
      <c r="U528">
        <f t="shared" si="439"/>
        <v>0.12659523217457247</v>
      </c>
      <c r="V528">
        <f t="shared" si="440"/>
        <v>-1.4438604891492268</v>
      </c>
      <c r="X528">
        <f t="shared" si="457"/>
        <v>-46.963773006613806</v>
      </c>
      <c r="Y528">
        <f t="shared" si="441"/>
        <v>-173.50873501224282</v>
      </c>
      <c r="Z528">
        <f t="shared" si="458"/>
        <v>6.4912649877571766</v>
      </c>
      <c r="AC528">
        <v>1</v>
      </c>
      <c r="AD528">
        <f t="shared" si="442"/>
        <v>540.65904727816803</v>
      </c>
      <c r="AE528">
        <f t="shared" si="443"/>
        <v>-0.53333857357271985</v>
      </c>
      <c r="AF528">
        <f t="shared" si="444"/>
        <v>6.8065746354899995E-2</v>
      </c>
      <c r="AG528">
        <f t="shared" si="421"/>
        <v>125.45540736112197</v>
      </c>
      <c r="AH528">
        <f t="shared" si="422"/>
        <v>-997.71488076948845</v>
      </c>
      <c r="AJ528">
        <f t="shared" si="445"/>
        <v>21000</v>
      </c>
      <c r="AK528">
        <f t="shared" si="446"/>
        <v>10585.703248325101</v>
      </c>
      <c r="AL528">
        <v>1</v>
      </c>
      <c r="AM528">
        <f t="shared" si="447"/>
        <v>207.66070044806312</v>
      </c>
      <c r="AN528">
        <f t="shared" si="423"/>
        <v>51.461744613359066</v>
      </c>
      <c r="AO528">
        <f t="shared" si="424"/>
        <v>-100.878684364382</v>
      </c>
      <c r="AQ528">
        <f t="shared" si="448"/>
        <v>1.0142398257292561E-3</v>
      </c>
      <c r="AR528">
        <f t="shared" si="449"/>
        <v>-3.1847130527898644</v>
      </c>
      <c r="AT528">
        <f t="shared" si="418"/>
        <v>-3177.3083618787741</v>
      </c>
      <c r="AU528">
        <f t="shared" si="419"/>
        <v>-400.55139553283391</v>
      </c>
      <c r="AV528">
        <f t="shared" si="459"/>
        <v>-3.0161879370077522</v>
      </c>
      <c r="AW528">
        <f t="shared" si="460"/>
        <v>-207.09498992401956</v>
      </c>
      <c r="AX528">
        <f t="shared" si="461"/>
        <v>-1305.2533866573531</v>
      </c>
      <c r="AY528">
        <f t="shared" si="469"/>
        <v>-1.7281473706317529</v>
      </c>
      <c r="BA528">
        <f t="shared" si="450"/>
        <v>2.4232024473057718</v>
      </c>
      <c r="BB528">
        <f t="shared" si="462"/>
        <v>7.6877939787876306</v>
      </c>
      <c r="BC528">
        <f t="shared" si="463"/>
        <v>-1.2880405663759993</v>
      </c>
      <c r="BD528">
        <f t="shared" si="451"/>
        <v>-253.79928837931291</v>
      </c>
      <c r="BF528">
        <f t="shared" si="452"/>
        <v>-58.243725328925365</v>
      </c>
      <c r="BG528">
        <f t="shared" si="453"/>
        <v>-227.44721916559442</v>
      </c>
      <c r="BH528">
        <f t="shared" si="464"/>
        <v>-47.447219165594419</v>
      </c>
      <c r="BI528">
        <f t="shared" si="465"/>
        <v>-47.447219165594419</v>
      </c>
      <c r="BJ528">
        <f t="shared" si="454"/>
        <v>0</v>
      </c>
      <c r="BK528">
        <f t="shared" si="466"/>
        <v>0</v>
      </c>
      <c r="BM528">
        <f t="shared" si="467"/>
        <v>-65.931519307713003</v>
      </c>
      <c r="BN528">
        <f t="shared" si="455"/>
        <v>-153.64793078628153</v>
      </c>
      <c r="BQ528" s="66">
        <f t="shared" si="468"/>
        <v>24.589754779072766</v>
      </c>
    </row>
    <row r="529" spans="1:69" ht="13" x14ac:dyDescent="0.3">
      <c r="A529">
        <f t="shared" si="420"/>
        <v>1575000</v>
      </c>
      <c r="B529">
        <f t="shared" si="456"/>
        <v>1575</v>
      </c>
      <c r="C529">
        <f t="shared" si="425"/>
        <v>1.115718545877503</v>
      </c>
      <c r="D529">
        <f t="shared" si="426"/>
        <v>0.45947963901289141</v>
      </c>
      <c r="F529">
        <f t="shared" si="427"/>
        <v>3.0011460476624792E-5</v>
      </c>
      <c r="G529">
        <f t="shared" si="428"/>
        <v>1.707939275049186E-3</v>
      </c>
      <c r="H529">
        <f t="shared" si="429"/>
        <v>-3.1398847107249512</v>
      </c>
      <c r="J529">
        <f t="shared" si="430"/>
        <v>15</v>
      </c>
      <c r="M529">
        <f t="shared" si="431"/>
        <v>6.9738273039427899E-4</v>
      </c>
      <c r="N529">
        <f t="shared" si="432"/>
        <v>-1.5707963250000001</v>
      </c>
      <c r="O529">
        <f t="shared" si="433"/>
        <v>542.38181323838216</v>
      </c>
      <c r="P529">
        <f t="shared" si="434"/>
        <v>1.5689526061130019</v>
      </c>
      <c r="Q529">
        <f t="shared" si="435"/>
        <v>208.32444037468446</v>
      </c>
      <c r="R529">
        <f t="shared" si="436"/>
        <v>1.5659961034578311</v>
      </c>
      <c r="S529">
        <f t="shared" si="437"/>
        <v>0.89238816587734149</v>
      </c>
      <c r="T529">
        <f t="shared" si="438"/>
        <v>-0.4681864225733034</v>
      </c>
      <c r="U529">
        <f t="shared" si="439"/>
        <v>0.12619975322388252</v>
      </c>
      <c r="V529">
        <f t="shared" si="440"/>
        <v>-1.4442591656178683</v>
      </c>
      <c r="X529">
        <f t="shared" si="457"/>
        <v>-47.018762385495862</v>
      </c>
      <c r="Y529">
        <f t="shared" si="441"/>
        <v>-173.53162879338657</v>
      </c>
      <c r="Z529">
        <f t="shared" si="458"/>
        <v>6.4683712066134262</v>
      </c>
      <c r="AC529">
        <v>1</v>
      </c>
      <c r="AD529">
        <f t="shared" si="442"/>
        <v>542.38089137778013</v>
      </c>
      <c r="AE529">
        <f t="shared" si="443"/>
        <v>-0.53674104388365784</v>
      </c>
      <c r="AF529">
        <f t="shared" si="444"/>
        <v>6.8282516247750003E-2</v>
      </c>
      <c r="AG529">
        <f t="shared" si="421"/>
        <v>124.67279534145041</v>
      </c>
      <c r="AH529">
        <f t="shared" si="422"/>
        <v>-994.64709339415538</v>
      </c>
      <c r="AJ529">
        <f t="shared" si="445"/>
        <v>21000</v>
      </c>
      <c r="AK529">
        <f t="shared" si="446"/>
        <v>10619.41567905225</v>
      </c>
      <c r="AL529">
        <v>1</v>
      </c>
      <c r="AM529">
        <f t="shared" si="447"/>
        <v>208.32204025840724</v>
      </c>
      <c r="AN529">
        <f t="shared" si="423"/>
        <v>51.458665223850431</v>
      </c>
      <c r="AO529">
        <f t="shared" si="424"/>
        <v>-100.55844935461998</v>
      </c>
      <c r="AQ529">
        <f t="shared" si="448"/>
        <v>1.007810430051859E-3</v>
      </c>
      <c r="AR529">
        <f t="shared" si="449"/>
        <v>-3.1746028546633553</v>
      </c>
      <c r="AT529">
        <f t="shared" si="418"/>
        <v>-3157.4838555282058</v>
      </c>
      <c r="AU529">
        <f t="shared" si="419"/>
        <v>-396.78902770477208</v>
      </c>
      <c r="AV529">
        <f t="shared" si="459"/>
        <v>-3.016581752787864</v>
      </c>
      <c r="AW529">
        <f t="shared" si="460"/>
        <v>-205.45293505606622</v>
      </c>
      <c r="AX529">
        <f t="shared" si="461"/>
        <v>-1301.147788633725</v>
      </c>
      <c r="AY529">
        <f t="shared" si="469"/>
        <v>-1.7274046130868446</v>
      </c>
      <c r="BA529">
        <f t="shared" si="450"/>
        <v>2.4158457607174944</v>
      </c>
      <c r="BB529">
        <f t="shared" si="462"/>
        <v>7.6613840674622544</v>
      </c>
      <c r="BC529">
        <f t="shared" si="463"/>
        <v>-1.2891771397010194</v>
      </c>
      <c r="BD529">
        <f t="shared" si="451"/>
        <v>-253.86440923401813</v>
      </c>
      <c r="BF529">
        <f t="shared" si="452"/>
        <v>-58.319955100049256</v>
      </c>
      <c r="BG529">
        <f t="shared" si="453"/>
        <v>-227.44030740406595</v>
      </c>
      <c r="BH529">
        <f t="shared" si="464"/>
        <v>-47.440307404065948</v>
      </c>
      <c r="BI529">
        <f t="shared" si="465"/>
        <v>-47.440307404065948</v>
      </c>
      <c r="BJ529">
        <f t="shared" si="454"/>
        <v>0</v>
      </c>
      <c r="BK529">
        <f t="shared" si="466"/>
        <v>0</v>
      </c>
      <c r="BM529">
        <f t="shared" si="467"/>
        <v>-65.981339167511507</v>
      </c>
      <c r="BN529">
        <f t="shared" si="455"/>
        <v>-153.57589817004785</v>
      </c>
      <c r="BQ529" s="66">
        <f t="shared" si="468"/>
        <v>24.563344867747393</v>
      </c>
    </row>
    <row r="530" spans="1:69" ht="13" x14ac:dyDescent="0.3">
      <c r="A530">
        <f t="shared" si="420"/>
        <v>1580000</v>
      </c>
      <c r="B530">
        <f t="shared" si="456"/>
        <v>1580</v>
      </c>
      <c r="C530">
        <f t="shared" si="425"/>
        <v>1.1164160531386691</v>
      </c>
      <c r="D530">
        <f t="shared" si="426"/>
        <v>0.46074070922372073</v>
      </c>
      <c r="F530">
        <f t="shared" si="427"/>
        <v>2.9821809640025059E-5</v>
      </c>
      <c r="G530">
        <f t="shared" si="428"/>
        <v>1.7025340886029578E-3</v>
      </c>
      <c r="H530">
        <f t="shared" si="429"/>
        <v>-3.1398901159113972</v>
      </c>
      <c r="J530">
        <f t="shared" si="430"/>
        <v>15</v>
      </c>
      <c r="M530">
        <f t="shared" si="431"/>
        <v>6.9517582301961364E-4</v>
      </c>
      <c r="N530">
        <f t="shared" si="432"/>
        <v>-1.5707963250000001</v>
      </c>
      <c r="O530">
        <f t="shared" si="433"/>
        <v>544.10365442071861</v>
      </c>
      <c r="P530">
        <f t="shared" si="434"/>
        <v>1.5689584406589621</v>
      </c>
      <c r="Q530">
        <f t="shared" si="435"/>
        <v>208.98577258981101</v>
      </c>
      <c r="R530">
        <f t="shared" si="436"/>
        <v>1.5660112938057702</v>
      </c>
      <c r="S530">
        <f t="shared" si="437"/>
        <v>0.89181089353760756</v>
      </c>
      <c r="T530">
        <f t="shared" si="438"/>
        <v>-0.46946403011231463</v>
      </c>
      <c r="U530">
        <f t="shared" si="439"/>
        <v>0.12580671769252438</v>
      </c>
      <c r="V530">
        <f t="shared" si="440"/>
        <v>-1.4446553588793598</v>
      </c>
      <c r="X530">
        <f t="shared" si="457"/>
        <v>-47.073580926499062</v>
      </c>
      <c r="Y530">
        <f t="shared" si="441"/>
        <v>-173.55438157096256</v>
      </c>
      <c r="Z530">
        <f t="shared" si="458"/>
        <v>6.4456184290374381</v>
      </c>
      <c r="AC530">
        <v>1</v>
      </c>
      <c r="AD530">
        <f t="shared" si="442"/>
        <v>544.10273547739212</v>
      </c>
      <c r="AE530">
        <f t="shared" si="443"/>
        <v>-0.54015433286013148</v>
      </c>
      <c r="AF530">
        <f t="shared" si="444"/>
        <v>6.849928614060001E-2</v>
      </c>
      <c r="AG530">
        <f t="shared" si="421"/>
        <v>123.89744462644688</v>
      </c>
      <c r="AH530">
        <f t="shared" si="422"/>
        <v>-991.5978015574475</v>
      </c>
      <c r="AJ530">
        <f t="shared" si="445"/>
        <v>21000</v>
      </c>
      <c r="AK530">
        <f t="shared" si="446"/>
        <v>10653.128109779402</v>
      </c>
      <c r="AL530">
        <v>1</v>
      </c>
      <c r="AM530">
        <f t="shared" si="447"/>
        <v>208.98338006875139</v>
      </c>
      <c r="AN530">
        <f t="shared" si="423"/>
        <v>51.455615021877861</v>
      </c>
      <c r="AO530">
        <f t="shared" si="424"/>
        <v>-100.24024100905282</v>
      </c>
      <c r="AQ530">
        <f t="shared" si="448"/>
        <v>1.0014419763016767E-3</v>
      </c>
      <c r="AR530">
        <f t="shared" si="449"/>
        <v>-3.1645566451132985</v>
      </c>
      <c r="AT530">
        <f t="shared" si="418"/>
        <v>-3137.8433360965532</v>
      </c>
      <c r="AU530">
        <f t="shared" si="419"/>
        <v>-393.07350936726749</v>
      </c>
      <c r="AV530">
        <f t="shared" si="459"/>
        <v>-3.0169731161245519</v>
      </c>
      <c r="AW530">
        <f t="shared" si="460"/>
        <v>-203.82652026468102</v>
      </c>
      <c r="AX530">
        <f t="shared" si="461"/>
        <v>-1297.0678254262641</v>
      </c>
      <c r="AY530">
        <f t="shared" si="469"/>
        <v>-1.726665714162555</v>
      </c>
      <c r="BA530">
        <f t="shared" si="450"/>
        <v>2.4085323644369385</v>
      </c>
      <c r="BB530">
        <f t="shared" si="462"/>
        <v>7.6350497296537387</v>
      </c>
      <c r="BC530">
        <f t="shared" si="463"/>
        <v>-1.2903074019619969</v>
      </c>
      <c r="BD530">
        <f t="shared" si="451"/>
        <v>-253.92916849138905</v>
      </c>
      <c r="BF530">
        <f t="shared" si="452"/>
        <v>-58.39592376265977</v>
      </c>
      <c r="BG530">
        <f t="shared" si="453"/>
        <v>-227.43312235497532</v>
      </c>
      <c r="BH530">
        <f t="shared" si="464"/>
        <v>-47.433122354975325</v>
      </c>
      <c r="BI530">
        <f t="shared" si="465"/>
        <v>-47.433122354975325</v>
      </c>
      <c r="BJ530">
        <f t="shared" si="454"/>
        <v>0</v>
      </c>
      <c r="BK530">
        <f t="shared" si="466"/>
        <v>0</v>
      </c>
      <c r="BM530">
        <f t="shared" si="467"/>
        <v>-66.030973492313507</v>
      </c>
      <c r="BN530">
        <f t="shared" si="455"/>
        <v>-153.50395386358628</v>
      </c>
      <c r="BQ530" s="66">
        <f t="shared" si="468"/>
        <v>24.537010529938875</v>
      </c>
    </row>
    <row r="531" spans="1:69" ht="13" x14ac:dyDescent="0.3">
      <c r="A531">
        <f t="shared" si="420"/>
        <v>1585000</v>
      </c>
      <c r="B531">
        <f t="shared" si="456"/>
        <v>1585</v>
      </c>
      <c r="C531">
        <f t="shared" si="425"/>
        <v>1.1171153336153909</v>
      </c>
      <c r="D531">
        <f t="shared" si="426"/>
        <v>0.46200020265166464</v>
      </c>
      <c r="F531">
        <f t="shared" si="427"/>
        <v>2.9633950841988633E-5</v>
      </c>
      <c r="G531">
        <f t="shared" si="428"/>
        <v>1.697163007249548E-3</v>
      </c>
      <c r="H531">
        <f t="shared" si="429"/>
        <v>-3.1398954869927507</v>
      </c>
      <c r="J531">
        <f t="shared" si="430"/>
        <v>15</v>
      </c>
      <c r="M531">
        <f t="shared" si="431"/>
        <v>6.9298283935078199E-4</v>
      </c>
      <c r="N531">
        <f t="shared" si="432"/>
        <v>-1.5707963250000001</v>
      </c>
      <c r="O531">
        <f t="shared" si="433"/>
        <v>545.82549562146062</v>
      </c>
      <c r="P531">
        <f t="shared" si="434"/>
        <v>1.568964238394031</v>
      </c>
      <c r="Q531">
        <f t="shared" si="435"/>
        <v>209.64710485285616</v>
      </c>
      <c r="R531">
        <f t="shared" si="436"/>
        <v>1.5660263883177394</v>
      </c>
      <c r="S531">
        <f t="shared" si="437"/>
        <v>0.89123291565137464</v>
      </c>
      <c r="T531">
        <f t="shared" si="438"/>
        <v>-0.47073998371052295</v>
      </c>
      <c r="U531">
        <f t="shared" si="439"/>
        <v>0.12541610319053506</v>
      </c>
      <c r="V531">
        <f t="shared" si="440"/>
        <v>-1.4450490919389039</v>
      </c>
      <c r="X531">
        <f t="shared" si="457"/>
        <v>-47.128229681994171</v>
      </c>
      <c r="Y531">
        <f t="shared" si="441"/>
        <v>-173.57699461455439</v>
      </c>
      <c r="Z531">
        <f t="shared" si="458"/>
        <v>6.423005385445606</v>
      </c>
      <c r="AC531">
        <v>1</v>
      </c>
      <c r="AD531">
        <f t="shared" si="442"/>
        <v>545.8245795770041</v>
      </c>
      <c r="AE531">
        <f t="shared" si="443"/>
        <v>-0.54357844050214055</v>
      </c>
      <c r="AF531">
        <f t="shared" si="444"/>
        <v>6.8716056033450004E-2</v>
      </c>
      <c r="AG531">
        <f t="shared" si="421"/>
        <v>123.12926614654896</v>
      </c>
      <c r="AH531">
        <f t="shared" si="422"/>
        <v>-988.56684148238253</v>
      </c>
      <c r="AJ531">
        <f t="shared" si="445"/>
        <v>21000</v>
      </c>
      <c r="AK531">
        <f t="shared" si="446"/>
        <v>10686.84054050655</v>
      </c>
      <c r="AL531">
        <v>1</v>
      </c>
      <c r="AM531">
        <f t="shared" si="447"/>
        <v>209.64471987909559</v>
      </c>
      <c r="AN531">
        <f t="shared" si="423"/>
        <v>51.452593639739852</v>
      </c>
      <c r="AO531">
        <f t="shared" si="424"/>
        <v>-99.924040149647055</v>
      </c>
      <c r="AQ531">
        <f t="shared" si="448"/>
        <v>9.9513369670971991E-4</v>
      </c>
      <c r="AR531">
        <f t="shared" si="449"/>
        <v>-3.1545738185698116</v>
      </c>
      <c r="AT531">
        <f t="shared" si="418"/>
        <v>-3118.3845459647832</v>
      </c>
      <c r="AU531">
        <f t="shared" si="419"/>
        <v>-389.40411546102661</v>
      </c>
      <c r="AV531">
        <f t="shared" si="459"/>
        <v>-3.0173620497318807</v>
      </c>
      <c r="AW531">
        <f t="shared" si="460"/>
        <v>-202.21554734759084</v>
      </c>
      <c r="AX531">
        <f t="shared" si="461"/>
        <v>-1293.0132586812877</v>
      </c>
      <c r="AY531">
        <f t="shared" si="469"/>
        <v>-1.725930638082507</v>
      </c>
      <c r="BA531">
        <f t="shared" si="450"/>
        <v>2.4012618884900019</v>
      </c>
      <c r="BB531">
        <f t="shared" si="462"/>
        <v>7.6087905607709505</v>
      </c>
      <c r="BC531">
        <f t="shared" si="463"/>
        <v>-1.2914314116493737</v>
      </c>
      <c r="BD531">
        <f t="shared" si="451"/>
        <v>-253.99356950268117</v>
      </c>
      <c r="BF531">
        <f t="shared" si="452"/>
        <v>-58.471632875419985</v>
      </c>
      <c r="BG531">
        <f t="shared" si="453"/>
        <v>-227.42566744873261</v>
      </c>
      <c r="BH531">
        <f t="shared" si="464"/>
        <v>-47.425667448732611</v>
      </c>
      <c r="BI531">
        <f t="shared" si="465"/>
        <v>-47.425667448732611</v>
      </c>
      <c r="BJ531">
        <f t="shared" si="454"/>
        <v>0</v>
      </c>
      <c r="BK531">
        <f t="shared" si="466"/>
        <v>0</v>
      </c>
      <c r="BM531">
        <f t="shared" si="467"/>
        <v>-66.080423436190927</v>
      </c>
      <c r="BN531">
        <f t="shared" si="455"/>
        <v>-153.4320979460515</v>
      </c>
      <c r="BQ531" s="66">
        <f t="shared" si="468"/>
        <v>24.510751361056087</v>
      </c>
    </row>
    <row r="532" spans="1:69" ht="13" x14ac:dyDescent="0.3">
      <c r="A532">
        <f t="shared" si="420"/>
        <v>1590000</v>
      </c>
      <c r="B532">
        <f t="shared" si="456"/>
        <v>1590</v>
      </c>
      <c r="C532">
        <f t="shared" si="425"/>
        <v>1.1178163839798192</v>
      </c>
      <c r="D532">
        <f t="shared" si="426"/>
        <v>0.46325811826374586</v>
      </c>
      <c r="F532">
        <f t="shared" si="427"/>
        <v>2.9447861575565521E-5</v>
      </c>
      <c r="G532">
        <f t="shared" si="428"/>
        <v>1.6918257092056119E-3</v>
      </c>
      <c r="H532">
        <f t="shared" si="429"/>
        <v>-3.1399008242907946</v>
      </c>
      <c r="J532">
        <f t="shared" si="430"/>
        <v>15</v>
      </c>
      <c r="M532">
        <f t="shared" si="431"/>
        <v>6.9080364803206879E-4</v>
      </c>
      <c r="N532">
        <f t="shared" si="432"/>
        <v>-1.5707963250000001</v>
      </c>
      <c r="O532">
        <f t="shared" si="433"/>
        <v>547.54733684043458</v>
      </c>
      <c r="P532">
        <f t="shared" si="434"/>
        <v>1.5689699996654791</v>
      </c>
      <c r="Q532">
        <f t="shared" si="435"/>
        <v>210.30843716336773</v>
      </c>
      <c r="R532">
        <f t="shared" si="436"/>
        <v>1.5660413878978243</v>
      </c>
      <c r="S532">
        <f t="shared" si="437"/>
        <v>0.89065423922992093</v>
      </c>
      <c r="T532">
        <f t="shared" si="438"/>
        <v>-0.47201428243095855</v>
      </c>
      <c r="U532">
        <f t="shared" si="439"/>
        <v>0.12502788759837255</v>
      </c>
      <c r="V532">
        <f t="shared" si="440"/>
        <v>-1.4454403875199318</v>
      </c>
      <c r="X532">
        <f t="shared" si="457"/>
        <v>-47.182709694700321</v>
      </c>
      <c r="Y532">
        <f t="shared" si="441"/>
        <v>-173.59946917835904</v>
      </c>
      <c r="Z532">
        <f t="shared" si="458"/>
        <v>6.400530821640956</v>
      </c>
      <c r="AC532">
        <v>1</v>
      </c>
      <c r="AD532">
        <f t="shared" si="442"/>
        <v>547.54642367661609</v>
      </c>
      <c r="AE532">
        <f t="shared" si="443"/>
        <v>-0.54701336680968526</v>
      </c>
      <c r="AF532">
        <f t="shared" si="444"/>
        <v>6.8932825926299998E-2</v>
      </c>
      <c r="AG532">
        <f t="shared" si="421"/>
        <v>122.36817218624074</v>
      </c>
      <c r="AH532">
        <f t="shared" si="422"/>
        <v>-985.554051281434</v>
      </c>
      <c r="AJ532">
        <f t="shared" si="445"/>
        <v>21000</v>
      </c>
      <c r="AK532">
        <f t="shared" si="446"/>
        <v>10720.552971233701</v>
      </c>
      <c r="AL532">
        <v>1</v>
      </c>
      <c r="AM532">
        <f t="shared" si="447"/>
        <v>210.30605968943971</v>
      </c>
      <c r="AN532">
        <f t="shared" si="423"/>
        <v>51.449600715507103</v>
      </c>
      <c r="AO532">
        <f t="shared" si="424"/>
        <v>-99.60982783957509</v>
      </c>
      <c r="AQ532">
        <f t="shared" si="448"/>
        <v>9.8888483555982401E-4</v>
      </c>
      <c r="AR532">
        <f t="shared" si="449"/>
        <v>-3.1446537770802405</v>
      </c>
      <c r="AT532">
        <f t="shared" si="418"/>
        <v>-3099.1052618490644</v>
      </c>
      <c r="AU532">
        <f t="shared" si="419"/>
        <v>-385.78013431580393</v>
      </c>
      <c r="AV532">
        <f t="shared" si="459"/>
        <v>-3.0177485760458063</v>
      </c>
      <c r="AW532">
        <f t="shared" si="460"/>
        <v>-200.61982123532187</v>
      </c>
      <c r="AX532">
        <f t="shared" si="461"/>
        <v>-1288.9838529795188</v>
      </c>
      <c r="AY532">
        <f t="shared" si="469"/>
        <v>-1.7251993495084987</v>
      </c>
      <c r="BA532">
        <f t="shared" si="450"/>
        <v>2.3940339669517461</v>
      </c>
      <c r="BB532">
        <f t="shared" si="462"/>
        <v>7.582606159127641</v>
      </c>
      <c r="BC532">
        <f t="shared" si="463"/>
        <v>-1.2925492265373075</v>
      </c>
      <c r="BD532">
        <f t="shared" si="451"/>
        <v>-254.05761557810985</v>
      </c>
      <c r="BF532">
        <f t="shared" si="452"/>
        <v>-58.547083983576663</v>
      </c>
      <c r="BG532">
        <f t="shared" si="453"/>
        <v>-227.41794607317533</v>
      </c>
      <c r="BH532">
        <f t="shared" si="464"/>
        <v>-47.41794607317533</v>
      </c>
      <c r="BI532">
        <f t="shared" si="465"/>
        <v>-47.41794607317533</v>
      </c>
      <c r="BJ532">
        <f t="shared" si="454"/>
        <v>0</v>
      </c>
      <c r="BK532">
        <f t="shared" si="466"/>
        <v>0</v>
      </c>
      <c r="BM532">
        <f t="shared" si="467"/>
        <v>-66.129690142704305</v>
      </c>
      <c r="BN532">
        <f t="shared" si="455"/>
        <v>-153.36033049506551</v>
      </c>
      <c r="BQ532" s="66">
        <f t="shared" si="468"/>
        <v>24.484566959412778</v>
      </c>
    </row>
    <row r="533" spans="1:69" ht="13" x14ac:dyDescent="0.3">
      <c r="A533">
        <f t="shared" si="420"/>
        <v>1595000</v>
      </c>
      <c r="B533">
        <f t="shared" si="456"/>
        <v>1595</v>
      </c>
      <c r="C533">
        <f t="shared" si="425"/>
        <v>1.1185192009040346</v>
      </c>
      <c r="D533">
        <f t="shared" si="426"/>
        <v>0.4645144550495468</v>
      </c>
      <c r="F533">
        <f t="shared" si="427"/>
        <v>2.9263519686045354E-5</v>
      </c>
      <c r="G533">
        <f t="shared" si="428"/>
        <v>1.6865218767232856E-3</v>
      </c>
      <c r="H533">
        <f t="shared" si="429"/>
        <v>-3.1399061281232767</v>
      </c>
      <c r="J533">
        <f t="shared" si="430"/>
        <v>15</v>
      </c>
      <c r="M533">
        <f t="shared" si="431"/>
        <v>6.8863811935485227E-4</v>
      </c>
      <c r="N533">
        <f t="shared" si="432"/>
        <v>-1.5707963250000001</v>
      </c>
      <c r="O533">
        <f t="shared" si="433"/>
        <v>549.26917807746884</v>
      </c>
      <c r="P533">
        <f t="shared" si="434"/>
        <v>1.5689757248162233</v>
      </c>
      <c r="Q533">
        <f t="shared" si="435"/>
        <v>210.9697695208994</v>
      </c>
      <c r="R533">
        <f t="shared" si="436"/>
        <v>1.5660562934387743</v>
      </c>
      <c r="S533">
        <f t="shared" si="437"/>
        <v>0.89007487126558871</v>
      </c>
      <c r="T533">
        <f t="shared" si="438"/>
        <v>-0.4732869253605787</v>
      </c>
      <c r="U533">
        <f t="shared" si="439"/>
        <v>0.12464204906288159</v>
      </c>
      <c r="V533">
        <f t="shared" si="440"/>
        <v>-1.4458292680683822</v>
      </c>
      <c r="X533">
        <f t="shared" si="457"/>
        <v>-47.237021997801911</v>
      </c>
      <c r="Y533">
        <f t="shared" si="441"/>
        <v>-173.62180650142048</v>
      </c>
      <c r="Z533">
        <f t="shared" si="458"/>
        <v>6.3781934985795203</v>
      </c>
      <c r="AC533">
        <v>1</v>
      </c>
      <c r="AD533">
        <f t="shared" si="442"/>
        <v>549.26826777622807</v>
      </c>
      <c r="AE533">
        <f t="shared" si="443"/>
        <v>-0.55045911178276552</v>
      </c>
      <c r="AF533">
        <f t="shared" si="444"/>
        <v>6.9149595819150006E-2</v>
      </c>
      <c r="AG533">
        <f t="shared" si="421"/>
        <v>121.61407635956512</v>
      </c>
      <c r="AH533">
        <f t="shared" si="422"/>
        <v>-982.55927092999184</v>
      </c>
      <c r="AJ533">
        <f t="shared" si="445"/>
        <v>21000</v>
      </c>
      <c r="AK533">
        <f t="shared" si="446"/>
        <v>10754.265401960851</v>
      </c>
      <c r="AL533">
        <v>1</v>
      </c>
      <c r="AM533">
        <f t="shared" si="447"/>
        <v>210.96739949978385</v>
      </c>
      <c r="AN533">
        <f t="shared" si="423"/>
        <v>51.446635892913896</v>
      </c>
      <c r="AO533">
        <f t="shared" si="424"/>
        <v>-99.297585379434651</v>
      </c>
      <c r="AQ533">
        <f t="shared" si="448"/>
        <v>9.8269464896230891E-4</v>
      </c>
      <c r="AR533">
        <f t="shared" si="449"/>
        <v>-3.1347959301897652</v>
      </c>
      <c r="AT533">
        <f t="shared" si="418"/>
        <v>-3080.0032941794843</v>
      </c>
      <c r="AU533">
        <f t="shared" si="419"/>
        <v>-382.20086736358326</v>
      </c>
      <c r="AV533">
        <f t="shared" si="459"/>
        <v>-3.0181327172283963</v>
      </c>
      <c r="AW533">
        <f t="shared" si="460"/>
        <v>-199.03914993191259</v>
      </c>
      <c r="AX533">
        <f t="shared" si="461"/>
        <v>-1284.9793757912262</v>
      </c>
      <c r="AY533">
        <f t="shared" si="469"/>
        <v>-1.7244718135338661</v>
      </c>
      <c r="BA533">
        <f t="shared" si="450"/>
        <v>2.3868482378938762</v>
      </c>
      <c r="BB533">
        <f t="shared" si="462"/>
        <v>7.5564961259201322</v>
      </c>
      <c r="BC533">
        <f t="shared" si="463"/>
        <v>-1.2936609036945301</v>
      </c>
      <c r="BD533">
        <f t="shared" si="451"/>
        <v>-254.12130998747256</v>
      </c>
      <c r="BF533">
        <f t="shared" si="452"/>
        <v>-58.622278619113118</v>
      </c>
      <c r="BG533">
        <f t="shared" si="453"/>
        <v>-227.40996157419923</v>
      </c>
      <c r="BH533">
        <f t="shared" si="464"/>
        <v>-47.40996157419923</v>
      </c>
      <c r="BI533">
        <f t="shared" si="465"/>
        <v>-47.40996157419923</v>
      </c>
      <c r="BJ533">
        <f t="shared" si="454"/>
        <v>0</v>
      </c>
      <c r="BK533">
        <f t="shared" si="466"/>
        <v>0</v>
      </c>
      <c r="BM533">
        <f t="shared" si="467"/>
        <v>-66.178774745033252</v>
      </c>
      <c r="BN533">
        <f t="shared" si="455"/>
        <v>-153.28865158672667</v>
      </c>
      <c r="BQ533" s="66">
        <f t="shared" si="468"/>
        <v>24.458456926205269</v>
      </c>
    </row>
    <row r="534" spans="1:69" ht="13" x14ac:dyDescent="0.3">
      <c r="A534">
        <f t="shared" si="420"/>
        <v>1600000</v>
      </c>
      <c r="B534">
        <f t="shared" si="456"/>
        <v>1600</v>
      </c>
      <c r="C534">
        <f t="shared" si="425"/>
        <v>1.119223781060102</v>
      </c>
      <c r="D534">
        <f t="shared" si="426"/>
        <v>0.46576921202112059</v>
      </c>
      <c r="F534">
        <f t="shared" si="427"/>
        <v>2.9080903364362714E-5</v>
      </c>
      <c r="G534">
        <f t="shared" si="428"/>
        <v>1.6812511960271222E-3</v>
      </c>
      <c r="H534">
        <f t="shared" si="429"/>
        <v>-3.1399113988039731</v>
      </c>
      <c r="J534">
        <f t="shared" si="430"/>
        <v>15</v>
      </c>
      <c r="M534">
        <f t="shared" si="431"/>
        <v>6.8648612523186843E-4</v>
      </c>
      <c r="N534">
        <f t="shared" si="432"/>
        <v>-1.5707963250000001</v>
      </c>
      <c r="O534">
        <f t="shared" si="433"/>
        <v>550.9910193323941</v>
      </c>
      <c r="P534">
        <f t="shared" si="434"/>
        <v>1.5689814141848935</v>
      </c>
      <c r="Q534">
        <f t="shared" si="435"/>
        <v>211.63110192501037</v>
      </c>
      <c r="R534">
        <f t="shared" si="436"/>
        <v>1.5660711058221797</v>
      </c>
      <c r="S534">
        <f t="shared" si="437"/>
        <v>0.88949481873166802</v>
      </c>
      <c r="T534">
        <f t="shared" si="438"/>
        <v>-0.47455791161016558</v>
      </c>
      <c r="U534">
        <f t="shared" si="439"/>
        <v>0.12425856599333057</v>
      </c>
      <c r="V534">
        <f t="shared" si="440"/>
        <v>-1.4462157557569006</v>
      </c>
      <c r="X534">
        <f t="shared" si="457"/>
        <v>-47.2911676150635</v>
      </c>
      <c r="Y534">
        <f t="shared" si="441"/>
        <v>-173.64400780785894</v>
      </c>
      <c r="Z534">
        <f t="shared" si="458"/>
        <v>6.3559921921410591</v>
      </c>
      <c r="AC534">
        <v>1</v>
      </c>
      <c r="AD534">
        <f t="shared" si="442"/>
        <v>550.99011187584006</v>
      </c>
      <c r="AE534">
        <f t="shared" si="443"/>
        <v>-0.55391567542138143</v>
      </c>
      <c r="AF534">
        <f t="shared" si="444"/>
        <v>6.9366365712E-2</v>
      </c>
      <c r="AG534">
        <f t="shared" si="421"/>
        <v>120.86689358614747</v>
      </c>
      <c r="AH534">
        <f t="shared" si="422"/>
        <v>-979.58234224025557</v>
      </c>
      <c r="AJ534">
        <f t="shared" si="445"/>
        <v>21000</v>
      </c>
      <c r="AK534">
        <f t="shared" si="446"/>
        <v>10787.977832688</v>
      </c>
      <c r="AL534">
        <v>1</v>
      </c>
      <c r="AM534">
        <f t="shared" si="447"/>
        <v>211.628739310128</v>
      </c>
      <c r="AN534">
        <f t="shared" si="423"/>
        <v>51.443698821252298</v>
      </c>
      <c r="AO534">
        <f t="shared" si="424"/>
        <v>-98.987294303539841</v>
      </c>
      <c r="AQ534">
        <f t="shared" si="448"/>
        <v>9.7656240463257771E-4</v>
      </c>
      <c r="AR534">
        <f t="shared" si="449"/>
        <v>-3.1249996948242487</v>
      </c>
      <c r="AT534">
        <f t="shared" ref="AT534:AT597" si="470">-AR534*AH534+AG534*AQ534</f>
        <v>-3061.0764864917805</v>
      </c>
      <c r="AU534">
        <f t="shared" ref="AU534:AU597" si="471">AQ534*AH534+AG534*AR534</f>
        <v>-378.66562885873958</v>
      </c>
      <c r="AV534">
        <f t="shared" si="459"/>
        <v>-3.0185144951719729</v>
      </c>
      <c r="AW534">
        <f t="shared" si="460"/>
        <v>-197.4733444569369</v>
      </c>
      <c r="AX534">
        <f t="shared" si="461"/>
        <v>-1280.9995974321869</v>
      </c>
      <c r="AY534">
        <f t="shared" si="469"/>
        <v>-1.7237479956769706</v>
      </c>
      <c r="BA534">
        <f t="shared" si="450"/>
        <v>2.3797043433329783</v>
      </c>
      <c r="BB534">
        <f t="shared" si="462"/>
        <v>7.5304600652051104</v>
      </c>
      <c r="BC534">
        <f t="shared" si="463"/>
        <v>-1.2947664994950023</v>
      </c>
      <c r="BD534">
        <f t="shared" si="451"/>
        <v>-254.18465596075941</v>
      </c>
      <c r="BF534">
        <f t="shared" si="452"/>
        <v>-58.697218300899834</v>
      </c>
      <c r="BG534">
        <f t="shared" si="453"/>
        <v>-227.40171725637751</v>
      </c>
      <c r="BH534">
        <f t="shared" si="464"/>
        <v>-47.401717256377509</v>
      </c>
      <c r="BI534">
        <f t="shared" si="465"/>
        <v>-47.401717256377509</v>
      </c>
      <c r="BJ534">
        <f t="shared" si="454"/>
        <v>0</v>
      </c>
      <c r="BK534">
        <f t="shared" si="466"/>
        <v>0</v>
      </c>
      <c r="BM534">
        <f t="shared" si="467"/>
        <v>-66.227678366104939</v>
      </c>
      <c r="BN534">
        <f t="shared" si="455"/>
        <v>-153.21706129561815</v>
      </c>
      <c r="BQ534" s="66">
        <f t="shared" si="468"/>
        <v>24.432420865490244</v>
      </c>
    </row>
    <row r="535" spans="1:69" ht="13" x14ac:dyDescent="0.3">
      <c r="A535">
        <f t="shared" si="420"/>
        <v>1605000</v>
      </c>
      <c r="B535">
        <f t="shared" si="456"/>
        <v>1605</v>
      </c>
      <c r="C535">
        <f t="shared" si="425"/>
        <v>1.119930121120122</v>
      </c>
      <c r="D535">
        <f t="shared" si="426"/>
        <v>0.46702238821290154</v>
      </c>
      <c r="F535">
        <f t="shared" si="427"/>
        <v>2.8899991140646253E-5</v>
      </c>
      <c r="G535">
        <f t="shared" si="428"/>
        <v>1.6760133572522036E-3</v>
      </c>
      <c r="H535">
        <f t="shared" si="429"/>
        <v>-3.1399166366427482</v>
      </c>
      <c r="J535">
        <f t="shared" si="430"/>
        <v>15</v>
      </c>
      <c r="M535">
        <f t="shared" si="431"/>
        <v>6.8434753917195608E-4</v>
      </c>
      <c r="N535">
        <f t="shared" si="432"/>
        <v>-1.5707963250000001</v>
      </c>
      <c r="O535">
        <f t="shared" si="433"/>
        <v>552.71286060504326</v>
      </c>
      <c r="P535">
        <f t="shared" si="434"/>
        <v>1.5689870681059002</v>
      </c>
      <c r="Q535">
        <f t="shared" si="435"/>
        <v>212.29243437526534</v>
      </c>
      <c r="R535">
        <f t="shared" si="436"/>
        <v>1.5660858259186463</v>
      </c>
      <c r="S535">
        <f t="shared" si="437"/>
        <v>0.88891408858227972</v>
      </c>
      <c r="T535">
        <f t="shared" si="438"/>
        <v>-0.47582724031422496</v>
      </c>
      <c r="U535">
        <f t="shared" si="439"/>
        <v>0.12387741705751817</v>
      </c>
      <c r="V535">
        <f t="shared" si="440"/>
        <v>-1.446599872488963</v>
      </c>
      <c r="X535">
        <f t="shared" si="457"/>
        <v>-47.34514756094314</v>
      </c>
      <c r="Y535">
        <f t="shared" si="441"/>
        <v>-173.66607430709635</v>
      </c>
      <c r="Z535">
        <f t="shared" si="458"/>
        <v>6.333925692903648</v>
      </c>
      <c r="AC535">
        <v>1</v>
      </c>
      <c r="AD535">
        <f t="shared" si="442"/>
        <v>552.71195597545204</v>
      </c>
      <c r="AE535">
        <f t="shared" si="443"/>
        <v>-0.55738305772553287</v>
      </c>
      <c r="AF535">
        <f t="shared" si="444"/>
        <v>6.9583135604849994E-2</v>
      </c>
      <c r="AG535">
        <f t="shared" si="421"/>
        <v>120.12654006772034</v>
      </c>
      <c r="AH535">
        <f t="shared" si="422"/>
        <v>-976.62310883555654</v>
      </c>
      <c r="AJ535">
        <f t="shared" si="445"/>
        <v>21000</v>
      </c>
      <c r="AK535">
        <f t="shared" si="446"/>
        <v>10821.69026341515</v>
      </c>
      <c r="AL535">
        <v>1</v>
      </c>
      <c r="AM535">
        <f t="shared" si="447"/>
        <v>212.29007912047214</v>
      </c>
      <c r="AN535">
        <f t="shared" si="423"/>
        <v>51.440789155268298</v>
      </c>
      <c r="AO535">
        <f t="shared" si="424"/>
        <v>-98.678936376281015</v>
      </c>
      <c r="AQ535">
        <f t="shared" si="448"/>
        <v>9.7048738167453911E-4</v>
      </c>
      <c r="AR535">
        <f t="shared" si="449"/>
        <v>-3.1152644951752704</v>
      </c>
      <c r="AT535">
        <f t="shared" si="470"/>
        <v>-3042.3227148317633</v>
      </c>
      <c r="AU535">
        <f t="shared" si="471"/>
        <v>-375.17374560499536</v>
      </c>
      <c r="AV535">
        <f t="shared" si="459"/>
        <v>-3.0188939315031829</v>
      </c>
      <c r="AW535">
        <f t="shared" si="460"/>
        <v>-195.92221878879661</v>
      </c>
      <c r="AX535">
        <f t="shared" si="461"/>
        <v>-1277.044291020444</v>
      </c>
      <c r="AY535">
        <f t="shared" si="469"/>
        <v>-1.7230278618747974</v>
      </c>
      <c r="BA535">
        <f t="shared" si="450"/>
        <v>2.3726019291795017</v>
      </c>
      <c r="BB535">
        <f t="shared" si="462"/>
        <v>7.5044975838774981</v>
      </c>
      <c r="BC535">
        <f t="shared" si="463"/>
        <v>-1.2958660696283855</v>
      </c>
      <c r="BD535">
        <f t="shared" si="451"/>
        <v>-254.24765668875287</v>
      </c>
      <c r="BF535">
        <f t="shared" si="452"/>
        <v>-58.771904534843003</v>
      </c>
      <c r="BG535">
        <f t="shared" si="453"/>
        <v>-227.39321638356955</v>
      </c>
      <c r="BH535">
        <f t="shared" si="464"/>
        <v>-47.393216383569552</v>
      </c>
      <c r="BI535">
        <f t="shared" si="465"/>
        <v>-47.393216383569552</v>
      </c>
      <c r="BJ535">
        <f t="shared" si="454"/>
        <v>0</v>
      </c>
      <c r="BK535">
        <f t="shared" si="466"/>
        <v>0</v>
      </c>
      <c r="BM535">
        <f t="shared" si="467"/>
        <v>-66.276402118720497</v>
      </c>
      <c r="BN535">
        <f t="shared" si="455"/>
        <v>-153.14555969481671</v>
      </c>
      <c r="BQ535" s="66">
        <f t="shared" si="468"/>
        <v>24.406458384162633</v>
      </c>
    </row>
    <row r="536" spans="1:69" ht="13" x14ac:dyDescent="0.3">
      <c r="A536">
        <f t="shared" si="420"/>
        <v>1610000</v>
      </c>
      <c r="B536">
        <f t="shared" si="456"/>
        <v>1610</v>
      </c>
      <c r="C536">
        <f t="shared" si="425"/>
        <v>1.1206382177562839</v>
      </c>
      <c r="D536">
        <f t="shared" si="426"/>
        <v>0.46827398268161574</v>
      </c>
      <c r="F536">
        <f t="shared" si="427"/>
        <v>2.8720761877907665E-5</v>
      </c>
      <c r="G536">
        <f t="shared" si="428"/>
        <v>1.6708080543834083E-3</v>
      </c>
      <c r="H536">
        <f t="shared" si="429"/>
        <v>-3.139921841945617</v>
      </c>
      <c r="J536">
        <f t="shared" si="430"/>
        <v>15</v>
      </c>
      <c r="M536">
        <f t="shared" si="431"/>
        <v>6.8222223625527296E-4</v>
      </c>
      <c r="N536">
        <f t="shared" si="432"/>
        <v>-1.5707963250000001</v>
      </c>
      <c r="O536">
        <f t="shared" si="433"/>
        <v>554.43470189525124</v>
      </c>
      <c r="P536">
        <f t="shared" si="434"/>
        <v>1.5689926869094999</v>
      </c>
      <c r="Q536">
        <f t="shared" si="435"/>
        <v>212.95376687123436</v>
      </c>
      <c r="R536">
        <f t="shared" si="436"/>
        <v>1.5661004545879647</v>
      </c>
      <c r="S536">
        <f t="shared" si="437"/>
        <v>0.88833268775226037</v>
      </c>
      <c r="T536">
        <f t="shared" si="438"/>
        <v>-0.47709491063088316</v>
      </c>
      <c r="U536">
        <f t="shared" si="439"/>
        <v>0.12349858117794901</v>
      </c>
      <c r="V536">
        <f t="shared" si="440"/>
        <v>-1.4469816399029274</v>
      </c>
      <c r="X536">
        <f t="shared" si="457"/>
        <v>-47.39896284070403</v>
      </c>
      <c r="Y536">
        <f t="shared" si="441"/>
        <v>-173.68800719407795</v>
      </c>
      <c r="Z536">
        <f t="shared" si="458"/>
        <v>6.3119928059220456</v>
      </c>
      <c r="AC536">
        <v>1</v>
      </c>
      <c r="AD536">
        <f t="shared" si="442"/>
        <v>554.43380007506403</v>
      </c>
      <c r="AE536">
        <f t="shared" si="443"/>
        <v>-0.56086125869521986</v>
      </c>
      <c r="AF536">
        <f t="shared" si="444"/>
        <v>6.9799905497700002E-2</v>
      </c>
      <c r="AG536">
        <f t="shared" si="421"/>
        <v>119.39293326513548</v>
      </c>
      <c r="AH536">
        <f t="shared" si="422"/>
        <v>-973.68141612509407</v>
      </c>
      <c r="AJ536">
        <f t="shared" si="445"/>
        <v>21000</v>
      </c>
      <c r="AK536">
        <f t="shared" si="446"/>
        <v>10855.402694142302</v>
      </c>
      <c r="AL536">
        <v>1</v>
      </c>
      <c r="AM536">
        <f t="shared" si="447"/>
        <v>212.95141893081632</v>
      </c>
      <c r="AN536">
        <f t="shared" si="423"/>
        <v>51.43790655506043</v>
      </c>
      <c r="AO536">
        <f t="shared" si="424"/>
        <v>-98.372493588552757</v>
      </c>
      <c r="AQ536">
        <f t="shared" si="448"/>
        <v>9.6446887036872903E-4</v>
      </c>
      <c r="AR536">
        <f t="shared" si="449"/>
        <v>-3.1055897625873072</v>
      </c>
      <c r="AT536">
        <f t="shared" si="470"/>
        <v>-3023.7398871721275</v>
      </c>
      <c r="AU536">
        <f t="shared" si="471"/>
        <v>-371.72455668898351</v>
      </c>
      <c r="AV536">
        <f t="shared" si="459"/>
        <v>-3.0192710475869937</v>
      </c>
      <c r="AW536">
        <f t="shared" si="460"/>
        <v>-194.38558980925785</v>
      </c>
      <c r="AX536">
        <f t="shared" si="461"/>
        <v>-1273.113232433855</v>
      </c>
      <c r="AY536">
        <f t="shared" si="469"/>
        <v>-1.7223113784766733</v>
      </c>
      <c r="BA536">
        <f t="shared" si="450"/>
        <v>2.365540645187469</v>
      </c>
      <c r="BB536">
        <f t="shared" si="462"/>
        <v>7.4786082916484178</v>
      </c>
      <c r="BC536">
        <f t="shared" si="463"/>
        <v>-1.2969596691103205</v>
      </c>
      <c r="BD536">
        <f t="shared" si="451"/>
        <v>-254.31031532361703</v>
      </c>
      <c r="BF536">
        <f t="shared" si="452"/>
        <v>-58.846338814031071</v>
      </c>
      <c r="BG536">
        <f t="shared" si="453"/>
        <v>-227.38446217951835</v>
      </c>
      <c r="BH536">
        <f t="shared" si="464"/>
        <v>-47.384462179518351</v>
      </c>
      <c r="BI536">
        <f t="shared" si="465"/>
        <v>-47.384462179518351</v>
      </c>
      <c r="BJ536">
        <f t="shared" si="454"/>
        <v>0</v>
      </c>
      <c r="BK536">
        <f t="shared" si="466"/>
        <v>0</v>
      </c>
      <c r="BM536">
        <f t="shared" si="467"/>
        <v>-66.324947105679485</v>
      </c>
      <c r="BN536">
        <f t="shared" si="455"/>
        <v>-153.07414685590132</v>
      </c>
      <c r="BQ536" s="66">
        <f t="shared" si="468"/>
        <v>24.380569091933552</v>
      </c>
    </row>
    <row r="537" spans="1:69" ht="13" x14ac:dyDescent="0.3">
      <c r="A537">
        <f t="shared" si="420"/>
        <v>1615000</v>
      </c>
      <c r="B537">
        <f t="shared" si="456"/>
        <v>1615</v>
      </c>
      <c r="C537">
        <f t="shared" si="425"/>
        <v>1.1213480676409173</v>
      </c>
      <c r="D537">
        <f t="shared" si="426"/>
        <v>0.4695239945061907</v>
      </c>
      <c r="F537">
        <f t="shared" si="427"/>
        <v>2.8543194765867304E-5</v>
      </c>
      <c r="G537">
        <f t="shared" si="428"/>
        <v>1.6656349851958078E-3</v>
      </c>
      <c r="H537">
        <f t="shared" si="429"/>
        <v>-3.1399270150148042</v>
      </c>
      <c r="J537">
        <f t="shared" si="430"/>
        <v>15</v>
      </c>
      <c r="M537">
        <f t="shared" si="431"/>
        <v>6.8011009310897175E-4</v>
      </c>
      <c r="N537">
        <f t="shared" si="432"/>
        <v>-1.5707963250000001</v>
      </c>
      <c r="O537">
        <f t="shared" si="433"/>
        <v>556.15654320285478</v>
      </c>
      <c r="P537">
        <f t="shared" si="434"/>
        <v>1.5689982709218586</v>
      </c>
      <c r="Q537">
        <f t="shared" si="435"/>
        <v>213.61509941249292</v>
      </c>
      <c r="R537">
        <f t="shared" si="436"/>
        <v>1.5661149926792786</v>
      </c>
      <c r="S537">
        <f t="shared" si="437"/>
        <v>0.88775062315705178</v>
      </c>
      <c r="T537">
        <f t="shared" si="438"/>
        <v>-0.47836092174178524</v>
      </c>
      <c r="U537">
        <f t="shared" si="439"/>
        <v>0.12312203752807545</v>
      </c>
      <c r="V537">
        <f t="shared" si="440"/>
        <v>-1.4473610793760108</v>
      </c>
      <c r="X537">
        <f t="shared" si="457"/>
        <v>-47.452614450524358</v>
      </c>
      <c r="Y537">
        <f t="shared" si="441"/>
        <v>-173.70980764948916</v>
      </c>
      <c r="Z537">
        <f t="shared" si="458"/>
        <v>6.2901923505108357</v>
      </c>
      <c r="AC537">
        <v>1</v>
      </c>
      <c r="AD537">
        <f t="shared" si="442"/>
        <v>556.15564417467601</v>
      </c>
      <c r="AE537">
        <f t="shared" si="443"/>
        <v>-0.56435027833044238</v>
      </c>
      <c r="AF537">
        <f t="shared" si="444"/>
        <v>7.0016675390549996E-2</v>
      </c>
      <c r="AG537">
        <f t="shared" si="421"/>
        <v>118.66599187585287</v>
      </c>
      <c r="AH537">
        <f t="shared" si="422"/>
        <v>-970.75711127908301</v>
      </c>
      <c r="AJ537">
        <f t="shared" si="445"/>
        <v>21000</v>
      </c>
      <c r="AK537">
        <f t="shared" si="446"/>
        <v>10889.11512486945</v>
      </c>
      <c r="AL537">
        <v>1</v>
      </c>
      <c r="AM537">
        <f t="shared" si="447"/>
        <v>213.61275874116046</v>
      </c>
      <c r="AN537">
        <f t="shared" si="423"/>
        <v>51.435050685980428</v>
      </c>
      <c r="AO537">
        <f t="shared" si="424"/>
        <v>-98.067948154248043</v>
      </c>
      <c r="AQ537">
        <f t="shared" si="448"/>
        <v>9.5850617196501723E-4</v>
      </c>
      <c r="AR537">
        <f t="shared" si="449"/>
        <v>-3.0959749354470056</v>
      </c>
      <c r="AT537">
        <f t="shared" si="470"/>
        <v>-3005.3259428413653</v>
      </c>
      <c r="AU537">
        <f t="shared" si="471"/>
        <v>-368.31741322023845</v>
      </c>
      <c r="AV537">
        <f t="shared" si="459"/>
        <v>-3.019645864530617</v>
      </c>
      <c r="AW537">
        <f t="shared" si="460"/>
        <v>-192.8632772491959</v>
      </c>
      <c r="AX537">
        <f t="shared" si="461"/>
        <v>-1269.2062002683965</v>
      </c>
      <c r="AY537">
        <f t="shared" si="469"/>
        <v>-1.7215985122380923</v>
      </c>
      <c r="BA537">
        <f t="shared" si="450"/>
        <v>2.3585201449049213</v>
      </c>
      <c r="BB537">
        <f t="shared" si="462"/>
        <v>7.4527918010232819</v>
      </c>
      <c r="BC537">
        <f t="shared" si="463"/>
        <v>-1.2980473522925247</v>
      </c>
      <c r="BD537">
        <f t="shared" si="451"/>
        <v>-254.37263497947592</v>
      </c>
      <c r="BF537">
        <f t="shared" si="452"/>
        <v>-58.920522618879133</v>
      </c>
      <c r="BG537">
        <f t="shared" si="453"/>
        <v>-227.37545782843767</v>
      </c>
      <c r="BH537">
        <f t="shared" si="464"/>
        <v>-47.375457828437675</v>
      </c>
      <c r="BI537">
        <f t="shared" si="465"/>
        <v>-47.375457828437675</v>
      </c>
      <c r="BJ537">
        <f t="shared" si="454"/>
        <v>0</v>
      </c>
      <c r="BK537">
        <f t="shared" si="466"/>
        <v>0</v>
      </c>
      <c r="BM537">
        <f t="shared" si="467"/>
        <v>-66.373314419902414</v>
      </c>
      <c r="BN537">
        <f t="shared" si="455"/>
        <v>-153.00282284896178</v>
      </c>
      <c r="BQ537" s="66">
        <f t="shared" si="468"/>
        <v>24.354752601308416</v>
      </c>
    </row>
    <row r="538" spans="1:69" ht="13" x14ac:dyDescent="0.3">
      <c r="A538">
        <f t="shared" ref="A538:A591" si="472">A537+5000</f>
        <v>1620000</v>
      </c>
      <c r="B538">
        <f t="shared" si="456"/>
        <v>1620</v>
      </c>
      <c r="C538">
        <f t="shared" si="425"/>
        <v>1.1220596674465431</v>
      </c>
      <c r="D538">
        <f t="shared" si="426"/>
        <v>0.47077242278766518</v>
      </c>
      <c r="F538">
        <f t="shared" si="427"/>
        <v>2.836726931491301E-5</v>
      </c>
      <c r="G538">
        <f t="shared" si="428"/>
        <v>1.6604938511961651E-3</v>
      </c>
      <c r="H538">
        <f t="shared" si="429"/>
        <v>-3.1399321561488041</v>
      </c>
      <c r="J538">
        <f t="shared" si="430"/>
        <v>15</v>
      </c>
      <c r="M538">
        <f t="shared" si="431"/>
        <v>6.7801098788332684E-4</v>
      </c>
      <c r="N538">
        <f t="shared" si="432"/>
        <v>-1.5707963250000001</v>
      </c>
      <c r="O538">
        <f t="shared" si="433"/>
        <v>557.8783845276929</v>
      </c>
      <c r="P538">
        <f t="shared" si="434"/>
        <v>1.5690038204651167</v>
      </c>
      <c r="Q538">
        <f t="shared" si="435"/>
        <v>214.27643199862163</v>
      </c>
      <c r="R538">
        <f t="shared" si="436"/>
        <v>1.5661294410312485</v>
      </c>
      <c r="S538">
        <f t="shared" si="437"/>
        <v>0.88716790169258886</v>
      </c>
      <c r="T538">
        <f t="shared" si="438"/>
        <v>-0.47962527285199158</v>
      </c>
      <c r="U538">
        <f t="shared" si="439"/>
        <v>0.12274776552860618</v>
      </c>
      <c r="V538">
        <f t="shared" si="440"/>
        <v>-1.4477382120281961</v>
      </c>
      <c r="X538">
        <f t="shared" si="457"/>
        <v>-47.50610337760574</v>
      </c>
      <c r="Y538">
        <f t="shared" si="441"/>
        <v>-173.73147683996939</v>
      </c>
      <c r="Z538">
        <f t="shared" si="458"/>
        <v>6.2685231600306111</v>
      </c>
      <c r="AC538">
        <v>1</v>
      </c>
      <c r="AD538">
        <f t="shared" si="442"/>
        <v>557.87748827428811</v>
      </c>
      <c r="AE538">
        <f t="shared" si="443"/>
        <v>-0.56785011663120055</v>
      </c>
      <c r="AF538">
        <f t="shared" si="444"/>
        <v>7.0233445283400003E-2</v>
      </c>
      <c r="AG538">
        <f t="shared" si="421"/>
        <v>117.94563581189547</v>
      </c>
      <c r="AH538">
        <f t="shared" si="422"/>
        <v>-967.85004320430573</v>
      </c>
      <c r="AJ538">
        <f t="shared" si="445"/>
        <v>21000</v>
      </c>
      <c r="AK538">
        <f t="shared" si="446"/>
        <v>10922.827555596601</v>
      </c>
      <c r="AL538">
        <v>1</v>
      </c>
      <c r="AM538">
        <f t="shared" si="447"/>
        <v>214.27409855150461</v>
      </c>
      <c r="AN538">
        <f t="shared" si="423"/>
        <v>51.432221218536228</v>
      </c>
      <c r="AO538">
        <f t="shared" si="424"/>
        <v>-97.765282506817329</v>
      </c>
      <c r="AQ538">
        <f t="shared" si="448"/>
        <v>9.5259859847978605E-4</v>
      </c>
      <c r="AR538">
        <f t="shared" si="449"/>
        <v>-3.0864194590745067</v>
      </c>
      <c r="AT538">
        <f t="shared" si="470"/>
        <v>-2987.0788519645002</v>
      </c>
      <c r="AU538">
        <f t="shared" si="471"/>
        <v>-364.95167807744423</v>
      </c>
      <c r="AV538">
        <f t="shared" si="459"/>
        <v>-3.0200184031873647</v>
      </c>
      <c r="AW538">
        <f t="shared" si="460"/>
        <v>-191.35510363552024</v>
      </c>
      <c r="AX538">
        <f t="shared" si="461"/>
        <v>-1265.3229757972338</v>
      </c>
      <c r="AY538">
        <f t="shared" si="469"/>
        <v>-1.7208892303146532</v>
      </c>
      <c r="BA538">
        <f t="shared" si="450"/>
        <v>2.3515400856250595</v>
      </c>
      <c r="BB538">
        <f t="shared" si="462"/>
        <v>7.4270477272799393</v>
      </c>
      <c r="BC538">
        <f t="shared" si="463"/>
        <v>-1.2991291728727115</v>
      </c>
      <c r="BD538">
        <f t="shared" si="451"/>
        <v>-254.43461873298185</v>
      </c>
      <c r="BF538">
        <f t="shared" si="452"/>
        <v>-58.994457417271427</v>
      </c>
      <c r="BG538">
        <f t="shared" si="453"/>
        <v>-227.36620647558905</v>
      </c>
      <c r="BH538">
        <f t="shared" si="464"/>
        <v>-47.366206475589053</v>
      </c>
      <c r="BI538">
        <f t="shared" si="465"/>
        <v>-47.366206475589053</v>
      </c>
      <c r="BJ538">
        <f t="shared" si="454"/>
        <v>0</v>
      </c>
      <c r="BK538">
        <f t="shared" si="466"/>
        <v>0</v>
      </c>
      <c r="BM538">
        <f t="shared" si="467"/>
        <v>-66.421505144551375</v>
      </c>
      <c r="BN538">
        <f t="shared" si="455"/>
        <v>-152.93158774260723</v>
      </c>
      <c r="BQ538" s="66">
        <f t="shared" si="468"/>
        <v>24.329008527565076</v>
      </c>
    </row>
    <row r="539" spans="1:69" ht="13" x14ac:dyDescent="0.3">
      <c r="A539">
        <f t="shared" si="472"/>
        <v>1625000</v>
      </c>
      <c r="B539">
        <f t="shared" si="456"/>
        <v>1625</v>
      </c>
      <c r="C539">
        <f t="shared" si="425"/>
        <v>1.122773013845926</v>
      </c>
      <c r="D539">
        <f t="shared" si="426"/>
        <v>0.47201926664909905</v>
      </c>
      <c r="F539">
        <f t="shared" si="427"/>
        <v>2.8192965350188828E-5</v>
      </c>
      <c r="G539">
        <f t="shared" si="428"/>
        <v>1.6553843575655152E-3</v>
      </c>
      <c r="H539">
        <f t="shared" si="429"/>
        <v>-3.1399372656424345</v>
      </c>
      <c r="J539">
        <f t="shared" si="430"/>
        <v>15</v>
      </c>
      <c r="M539">
        <f t="shared" si="431"/>
        <v>6.7592480022830121E-4</v>
      </c>
      <c r="N539">
        <f t="shared" si="432"/>
        <v>-1.5707963250000001</v>
      </c>
      <c r="O539">
        <f t="shared" si="433"/>
        <v>559.60022586960645</v>
      </c>
      <c r="P539">
        <f t="shared" si="434"/>
        <v>1.5690093358574484</v>
      </c>
      <c r="Q539">
        <f t="shared" si="435"/>
        <v>214.93776462920633</v>
      </c>
      <c r="R539">
        <f t="shared" si="436"/>
        <v>1.5661438004722139</v>
      </c>
      <c r="S539">
        <f t="shared" si="437"/>
        <v>0.88658453023519113</v>
      </c>
      <c r="T539">
        <f t="shared" si="438"/>
        <v>-0.48088796318987526</v>
      </c>
      <c r="U539">
        <f t="shared" si="439"/>
        <v>0.12237574484387853</v>
      </c>
      <c r="V539">
        <f t="shared" si="440"/>
        <v>-1.4481130587260702</v>
      </c>
      <c r="X539">
        <f t="shared" si="457"/>
        <v>-47.559430600279896</v>
      </c>
      <c r="Y539">
        <f t="shared" si="441"/>
        <v>-173.7530159183213</v>
      </c>
      <c r="Z539">
        <f t="shared" si="458"/>
        <v>6.2469840816787041</v>
      </c>
      <c r="AC539">
        <v>1</v>
      </c>
      <c r="AD539">
        <f t="shared" si="442"/>
        <v>559.5993323739001</v>
      </c>
      <c r="AE539">
        <f t="shared" si="443"/>
        <v>-0.57136077359749426</v>
      </c>
      <c r="AF539">
        <f t="shared" si="444"/>
        <v>7.0450215176250011E-2</v>
      </c>
      <c r="AG539">
        <f t="shared" si="421"/>
        <v>117.23178617825818</v>
      </c>
      <c r="AH539">
        <f t="shared" si="422"/>
        <v>-964.96006252005623</v>
      </c>
      <c r="AJ539">
        <f t="shared" si="445"/>
        <v>21000</v>
      </c>
      <c r="AK539">
        <f t="shared" si="446"/>
        <v>10956.539986323751</v>
      </c>
      <c r="AL539">
        <v>1</v>
      </c>
      <c r="AM539">
        <f t="shared" si="447"/>
        <v>214.93543836184875</v>
      </c>
      <c r="AN539">
        <f t="shared" si="423"/>
        <v>51.429417828296749</v>
      </c>
      <c r="AO539">
        <f t="shared" si="424"/>
        <v>-97.464479295891181</v>
      </c>
      <c r="AQ539">
        <f t="shared" si="448"/>
        <v>9.4674547249747011E-4</v>
      </c>
      <c r="AR539">
        <f t="shared" si="449"/>
        <v>-3.0769227856167776</v>
      </c>
      <c r="AT539">
        <f t="shared" si="470"/>
        <v>-2968.9966149153543</v>
      </c>
      <c r="AU539">
        <f t="shared" si="471"/>
        <v>-361.62672566076833</v>
      </c>
      <c r="AV539">
        <f t="shared" si="459"/>
        <v>-3.0203886841604328</v>
      </c>
      <c r="AW539">
        <f t="shared" si="460"/>
        <v>-189.86089423925097</v>
      </c>
      <c r="AX539">
        <f t="shared" si="461"/>
        <v>-1261.4633429305118</v>
      </c>
      <c r="AY539">
        <f t="shared" si="469"/>
        <v>-1.7201835002561037</v>
      </c>
      <c r="BA539">
        <f t="shared" si="450"/>
        <v>2.3446001283381004</v>
      </c>
      <c r="BB539">
        <f t="shared" si="462"/>
        <v>7.4013756884469748</v>
      </c>
      <c r="BC539">
        <f t="shared" si="463"/>
        <v>-1.3002051839043292</v>
      </c>
      <c r="BD539">
        <f t="shared" si="451"/>
        <v>-254.4962696238735</v>
      </c>
      <c r="BF539">
        <f t="shared" si="452"/>
        <v>-59.068144664701812</v>
      </c>
      <c r="BG539">
        <f t="shared" si="453"/>
        <v>-227.35671122784791</v>
      </c>
      <c r="BH539">
        <f t="shared" si="464"/>
        <v>-47.35671122784791</v>
      </c>
      <c r="BI539">
        <f t="shared" si="465"/>
        <v>-47.35671122784791</v>
      </c>
      <c r="BJ539">
        <f t="shared" si="454"/>
        <v>0</v>
      </c>
      <c r="BK539">
        <f t="shared" si="466"/>
        <v>0</v>
      </c>
      <c r="BM539">
        <f t="shared" si="467"/>
        <v>-66.469520353148795</v>
      </c>
      <c r="BN539">
        <f t="shared" si="455"/>
        <v>-152.86044160397444</v>
      </c>
      <c r="BQ539" s="66">
        <f t="shared" si="468"/>
        <v>24.303336488732114</v>
      </c>
    </row>
    <row r="540" spans="1:69" ht="13" x14ac:dyDescent="0.3">
      <c r="A540">
        <f t="shared" si="472"/>
        <v>1630000</v>
      </c>
      <c r="B540">
        <f t="shared" si="456"/>
        <v>1630</v>
      </c>
      <c r="C540">
        <f t="shared" si="425"/>
        <v>1.1234881035121247</v>
      </c>
      <c r="D540">
        <f t="shared" si="426"/>
        <v>0.47326452523548151</v>
      </c>
      <c r="F540">
        <f t="shared" si="427"/>
        <v>2.8020263005810516E-5</v>
      </c>
      <c r="G540">
        <f t="shared" si="428"/>
        <v>1.6503062131028011E-3</v>
      </c>
      <c r="H540">
        <f t="shared" si="429"/>
        <v>-3.1399423437868976</v>
      </c>
      <c r="J540">
        <f t="shared" si="430"/>
        <v>15</v>
      </c>
      <c r="M540">
        <f t="shared" si="431"/>
        <v>6.7385141127054566E-4</v>
      </c>
      <c r="N540">
        <f t="shared" si="432"/>
        <v>-1.5707963250000001</v>
      </c>
      <c r="O540">
        <f t="shared" si="433"/>
        <v>561.32206722843853</v>
      </c>
      <c r="P540">
        <f t="shared" si="434"/>
        <v>1.5690148174131251</v>
      </c>
      <c r="Q540">
        <f t="shared" si="435"/>
        <v>215.59909730383791</v>
      </c>
      <c r="R540">
        <f t="shared" si="436"/>
        <v>1.5661580718203505</v>
      </c>
      <c r="S540">
        <f t="shared" si="437"/>
        <v>0.88600051564145621</v>
      </c>
      <c r="T540">
        <f t="shared" si="438"/>
        <v>-0.48214899200701805</v>
      </c>
      <c r="U540">
        <f t="shared" si="439"/>
        <v>0.12200595537829392</v>
      </c>
      <c r="V540">
        <f t="shared" si="440"/>
        <v>-1.4484856400865918</v>
      </c>
      <c r="X540">
        <f t="shared" si="457"/>
        <v>-47.61259708811383</v>
      </c>
      <c r="Y540">
        <f t="shared" si="441"/>
        <v>-173.77442602371733</v>
      </c>
      <c r="Z540">
        <f t="shared" si="458"/>
        <v>6.2255739762826749</v>
      </c>
      <c r="AC540">
        <v>1</v>
      </c>
      <c r="AD540">
        <f t="shared" si="442"/>
        <v>561.32117647351208</v>
      </c>
      <c r="AE540">
        <f t="shared" si="443"/>
        <v>-0.57488224922932352</v>
      </c>
      <c r="AF540">
        <f t="shared" si="444"/>
        <v>7.0666985069100005E-2</v>
      </c>
      <c r="AG540">
        <f t="shared" si="421"/>
        <v>116.52436525176107</v>
      </c>
      <c r="AH540">
        <f t="shared" si="422"/>
        <v>-962.08702153447473</v>
      </c>
      <c r="AJ540">
        <f t="shared" si="445"/>
        <v>21000</v>
      </c>
      <c r="AK540">
        <f t="shared" si="446"/>
        <v>10990.2524170509</v>
      </c>
      <c r="AL540">
        <v>1</v>
      </c>
      <c r="AM540">
        <f t="shared" si="447"/>
        <v>215.59677817219293</v>
      </c>
      <c r="AN540">
        <f t="shared" si="423"/>
        <v>51.426640195799038</v>
      </c>
      <c r="AO540">
        <f t="shared" si="424"/>
        <v>-97.165521383965142</v>
      </c>
      <c r="AQ540">
        <f t="shared" si="448"/>
        <v>9.4094612697635143E-4</v>
      </c>
      <c r="AR540">
        <f t="shared" si="449"/>
        <v>-3.0674843739429059</v>
      </c>
      <c r="AT540">
        <f t="shared" si="470"/>
        <v>-2951.0772617800912</v>
      </c>
      <c r="AU540">
        <f t="shared" si="471"/>
        <v>-358.34194165011991</v>
      </c>
      <c r="AV540">
        <f t="shared" si="459"/>
        <v>-3.020756727806623</v>
      </c>
      <c r="AW540">
        <f t="shared" si="460"/>
        <v>-188.38047702471735</v>
      </c>
      <c r="AX540">
        <f t="shared" si="461"/>
        <v>-1257.6270881758755</v>
      </c>
      <c r="AY540">
        <f t="shared" si="469"/>
        <v>-1.7194812900004894</v>
      </c>
      <c r="BA540">
        <f t="shared" si="450"/>
        <v>2.3376999376838219</v>
      </c>
      <c r="BB540">
        <f t="shared" si="462"/>
        <v>7.3757753052820965</v>
      </c>
      <c r="BC540">
        <f t="shared" si="463"/>
        <v>-1.3012754378061335</v>
      </c>
      <c r="BD540">
        <f t="shared" si="451"/>
        <v>-254.55759065552436</v>
      </c>
      <c r="BF540">
        <f t="shared" si="452"/>
        <v>-59.141585804412273</v>
      </c>
      <c r="BG540">
        <f t="shared" si="453"/>
        <v>-227.34697515426095</v>
      </c>
      <c r="BH540">
        <f t="shared" si="464"/>
        <v>-47.346975154260946</v>
      </c>
      <c r="BI540">
        <f t="shared" si="465"/>
        <v>-47.346975154260946</v>
      </c>
      <c r="BJ540">
        <f t="shared" si="454"/>
        <v>0</v>
      </c>
      <c r="BK540">
        <f t="shared" si="466"/>
        <v>0</v>
      </c>
      <c r="BM540">
        <f t="shared" si="467"/>
        <v>-66.517361109694363</v>
      </c>
      <c r="BN540">
        <f t="shared" si="455"/>
        <v>-152.78938449873661</v>
      </c>
      <c r="BQ540" s="66">
        <f t="shared" si="468"/>
        <v>24.277736105567232</v>
      </c>
    </row>
    <row r="541" spans="1:69" ht="13" x14ac:dyDescent="0.3">
      <c r="A541">
        <f t="shared" si="472"/>
        <v>1635000</v>
      </c>
      <c r="B541">
        <f t="shared" si="456"/>
        <v>1635</v>
      </c>
      <c r="C541">
        <f t="shared" si="425"/>
        <v>1.1242049331185422</v>
      </c>
      <c r="D541">
        <f t="shared" si="426"/>
        <v>0.47450819771364067</v>
      </c>
      <c r="F541">
        <f t="shared" si="427"/>
        <v>2.7849142719204602E-5</v>
      </c>
      <c r="G541">
        <f t="shared" si="428"/>
        <v>1.6452591301695462E-3</v>
      </c>
      <c r="H541">
        <f t="shared" si="429"/>
        <v>-3.1399473908698305</v>
      </c>
      <c r="J541">
        <f t="shared" si="430"/>
        <v>15</v>
      </c>
      <c r="M541">
        <f t="shared" si="431"/>
        <v>6.717907035908192E-4</v>
      </c>
      <c r="N541">
        <f t="shared" si="432"/>
        <v>-1.5707963250000001</v>
      </c>
      <c r="O541">
        <f t="shared" si="433"/>
        <v>563.04390860403373</v>
      </c>
      <c r="P541">
        <f t="shared" si="434"/>
        <v>1.5690202654425736</v>
      </c>
      <c r="Q541">
        <f t="shared" si="435"/>
        <v>216.2604300221123</v>
      </c>
      <c r="R541">
        <f t="shared" si="436"/>
        <v>1.566172255883826</v>
      </c>
      <c r="S541">
        <f t="shared" si="437"/>
        <v>0.88541586474815337</v>
      </c>
      <c r="T541">
        <f t="shared" si="438"/>
        <v>-0.4834083585781076</v>
      </c>
      <c r="U541">
        <f t="shared" si="439"/>
        <v>0.12163837727281553</v>
      </c>
      <c r="V541">
        <f t="shared" si="440"/>
        <v>-1.4488559764807942</v>
      </c>
      <c r="X541">
        <f t="shared" si="457"/>
        <v>-47.665603802013479</v>
      </c>
      <c r="Y541">
        <f t="shared" si="441"/>
        <v>-173.79570828190103</v>
      </c>
      <c r="Z541">
        <f t="shared" si="458"/>
        <v>6.2042917180989718</v>
      </c>
      <c r="AC541">
        <v>1</v>
      </c>
      <c r="AD541">
        <f t="shared" si="442"/>
        <v>563.04302057312407</v>
      </c>
      <c r="AE541">
        <f t="shared" si="443"/>
        <v>-0.57841454352668842</v>
      </c>
      <c r="AF541">
        <f t="shared" si="444"/>
        <v>7.0883754961949999E-2</v>
      </c>
      <c r="AG541">
        <f t="shared" si="421"/>
        <v>115.82329646033619</v>
      </c>
      <c r="AH541">
        <f t="shared" si="422"/>
        <v>-959.23077422126403</v>
      </c>
      <c r="AJ541">
        <f t="shared" si="445"/>
        <v>21000</v>
      </c>
      <c r="AK541">
        <f t="shared" si="446"/>
        <v>11023.96484777805</v>
      </c>
      <c r="AL541">
        <v>1</v>
      </c>
      <c r="AM541">
        <f t="shared" si="447"/>
        <v>216.25811798253707</v>
      </c>
      <c r="AN541">
        <f t="shared" si="423"/>
        <v>51.423888006457197</v>
      </c>
      <c r="AO541">
        <f t="shared" si="424"/>
        <v>-96.868391843145275</v>
      </c>
      <c r="AQ541">
        <f t="shared" si="448"/>
        <v>9.3519990505850563E-4</v>
      </c>
      <c r="AR541">
        <f t="shared" si="449"/>
        <v>-3.0581036895413134</v>
      </c>
      <c r="AT541">
        <f t="shared" si="470"/>
        <v>-2933.3188518317647</v>
      </c>
      <c r="AU541">
        <f t="shared" si="471"/>
        <v>-355.0967227691724</v>
      </c>
      <c r="AV541">
        <f t="shared" si="459"/>
        <v>-3.0211225542399935</v>
      </c>
      <c r="AW541">
        <f t="shared" si="460"/>
        <v>-186.91368259985077</v>
      </c>
      <c r="AX541">
        <f t="shared" si="461"/>
        <v>-1253.8140005996943</v>
      </c>
      <c r="AY541">
        <f t="shared" si="469"/>
        <v>-1.7187825678684063</v>
      </c>
      <c r="BA541">
        <f t="shared" si="450"/>
        <v>2.3308391819047829</v>
      </c>
      <c r="BB541">
        <f t="shared" si="462"/>
        <v>7.3502462012506262</v>
      </c>
      <c r="BC541">
        <f t="shared" si="463"/>
        <v>-1.3023399863715872</v>
      </c>
      <c r="BD541">
        <f t="shared" si="451"/>
        <v>-254.61858479548127</v>
      </c>
      <c r="BF541">
        <f t="shared" si="452"/>
        <v>-59.2147822675296</v>
      </c>
      <c r="BG541">
        <f t="shared" si="453"/>
        <v>-227.33700128659257</v>
      </c>
      <c r="BH541">
        <f t="shared" si="464"/>
        <v>-47.337001286592567</v>
      </c>
      <c r="BI541">
        <f t="shared" si="465"/>
        <v>-47.337001286592567</v>
      </c>
      <c r="BJ541">
        <f t="shared" si="454"/>
        <v>0</v>
      </c>
      <c r="BK541">
        <f t="shared" si="466"/>
        <v>0</v>
      </c>
      <c r="BM541">
        <f t="shared" si="467"/>
        <v>-66.565028468780227</v>
      </c>
      <c r="BN541">
        <f t="shared" si="455"/>
        <v>-152.71841649111133</v>
      </c>
      <c r="BQ541" s="66">
        <f t="shared" si="468"/>
        <v>24.252207001535766</v>
      </c>
    </row>
    <row r="542" spans="1:69" ht="13" x14ac:dyDescent="0.3">
      <c r="A542">
        <f t="shared" si="472"/>
        <v>1640000</v>
      </c>
      <c r="B542">
        <f t="shared" si="456"/>
        <v>1640</v>
      </c>
      <c r="C542">
        <f t="shared" si="425"/>
        <v>1.1249234993389778</v>
      </c>
      <c r="D542">
        <f t="shared" si="426"/>
        <v>0.47575028327215169</v>
      </c>
      <c r="F542">
        <f t="shared" si="427"/>
        <v>2.7679585225568246E-5</v>
      </c>
      <c r="G542">
        <f t="shared" si="428"/>
        <v>1.6402428246355375E-3</v>
      </c>
      <c r="H542">
        <f t="shared" si="429"/>
        <v>-3.1399524071753646</v>
      </c>
      <c r="J542">
        <f t="shared" si="430"/>
        <v>15</v>
      </c>
      <c r="M542">
        <f t="shared" si="431"/>
        <v>6.6974256120182283E-4</v>
      </c>
      <c r="N542">
        <f t="shared" si="432"/>
        <v>-1.5707963250000001</v>
      </c>
      <c r="O542">
        <f t="shared" si="433"/>
        <v>564.76574999623858</v>
      </c>
      <c r="P542">
        <f t="shared" si="434"/>
        <v>1.5690256802524347</v>
      </c>
      <c r="Q542">
        <f t="shared" si="435"/>
        <v>216.9217627836303</v>
      </c>
      <c r="R542">
        <f t="shared" si="436"/>
        <v>1.5661863534609535</v>
      </c>
      <c r="S542">
        <f t="shared" si="437"/>
        <v>0.88483058437212114</v>
      </c>
      <c r="T542">
        <f t="shared" si="438"/>
        <v>-0.48466606220083253</v>
      </c>
      <c r="U542">
        <f t="shared" si="439"/>
        <v>0.12127299090152611</v>
      </c>
      <c r="V542">
        <f t="shared" si="440"/>
        <v>-1.4492240880374234</v>
      </c>
      <c r="X542">
        <f t="shared" si="457"/>
        <v>-47.718451694325807</v>
      </c>
      <c r="Y542">
        <f t="shared" si="441"/>
        <v>-173.8168638053869</v>
      </c>
      <c r="Z542">
        <f t="shared" si="458"/>
        <v>6.1831361946130983</v>
      </c>
      <c r="AC542">
        <v>1</v>
      </c>
      <c r="AD542">
        <f t="shared" si="442"/>
        <v>564.76486467273605</v>
      </c>
      <c r="AE542">
        <f t="shared" si="443"/>
        <v>-0.58195765648958897</v>
      </c>
      <c r="AF542">
        <f t="shared" si="444"/>
        <v>7.1100524854800007E-2</v>
      </c>
      <c r="AG542">
        <f t="shared" si="421"/>
        <v>115.12850436273776</v>
      </c>
      <c r="AH542">
        <f t="shared" si="422"/>
        <v>-956.39117619677609</v>
      </c>
      <c r="AJ542">
        <f t="shared" si="445"/>
        <v>21000</v>
      </c>
      <c r="AK542">
        <f t="shared" si="446"/>
        <v>11057.677278505202</v>
      </c>
      <c r="AL542">
        <v>1</v>
      </c>
      <c r="AM542">
        <f t="shared" si="447"/>
        <v>216.91945779288122</v>
      </c>
      <c r="AN542">
        <f t="shared" si="423"/>
        <v>51.42116095047335</v>
      </c>
      <c r="AO542">
        <f t="shared" si="424"/>
        <v>-96.57307395195329</v>
      </c>
      <c r="AQ542">
        <f t="shared" si="448"/>
        <v>9.2950615988379682E-4</v>
      </c>
      <c r="AR542">
        <f t="shared" si="449"/>
        <v>-3.0487802044188537</v>
      </c>
      <c r="AT542">
        <f t="shared" si="470"/>
        <v>-2915.7194730156116</v>
      </c>
      <c r="AU542">
        <f t="shared" si="471"/>
        <v>-351.89047655499792</v>
      </c>
      <c r="AV542">
        <f t="shared" si="459"/>
        <v>-3.0214861833354476</v>
      </c>
      <c r="AW542">
        <f t="shared" si="460"/>
        <v>-185.46034416754574</v>
      </c>
      <c r="AX542">
        <f t="shared" si="461"/>
        <v>-1250.0238717889702</v>
      </c>
      <c r="AY542">
        <f t="shared" si="469"/>
        <v>-1.7180873025573544</v>
      </c>
      <c r="BA542">
        <f t="shared" si="450"/>
        <v>2.3240175328002208</v>
      </c>
      <c r="BB542">
        <f t="shared" si="462"/>
        <v>7.324788002504123</v>
      </c>
      <c r="BC542">
        <f t="shared" si="463"/>
        <v>-1.3033988807780932</v>
      </c>
      <c r="BD542">
        <f t="shared" si="451"/>
        <v>-254.67925497599339</v>
      </c>
      <c r="BF542">
        <f t="shared" si="452"/>
        <v>-59.287735473200136</v>
      </c>
      <c r="BG542">
        <f t="shared" si="453"/>
        <v>-227.32679261986274</v>
      </c>
      <c r="BH542">
        <f t="shared" si="464"/>
        <v>-47.326792619862744</v>
      </c>
      <c r="BI542">
        <f t="shared" si="465"/>
        <v>-47.326792619862744</v>
      </c>
      <c r="BJ542">
        <f t="shared" si="454"/>
        <v>0</v>
      </c>
      <c r="BK542">
        <f t="shared" si="466"/>
        <v>0</v>
      </c>
      <c r="BM542">
        <f t="shared" si="467"/>
        <v>-66.612523475704265</v>
      </c>
      <c r="BN542">
        <f t="shared" si="455"/>
        <v>-152.64753764386936</v>
      </c>
      <c r="BQ542" s="66">
        <f t="shared" si="468"/>
        <v>24.22674880278926</v>
      </c>
    </row>
    <row r="543" spans="1:69" ht="13" x14ac:dyDescent="0.3">
      <c r="A543">
        <f t="shared" si="472"/>
        <v>1645000</v>
      </c>
      <c r="B543">
        <f t="shared" si="456"/>
        <v>1645</v>
      </c>
      <c r="C543">
        <f t="shared" si="425"/>
        <v>1.1256437988476751</v>
      </c>
      <c r="D543">
        <f t="shared" si="426"/>
        <v>0.47699078112124527</v>
      </c>
      <c r="F543">
        <f t="shared" si="427"/>
        <v>2.7511571552446621E-5</v>
      </c>
      <c r="G543">
        <f t="shared" si="428"/>
        <v>1.6352570158254985E-3</v>
      </c>
      <c r="H543">
        <f t="shared" si="429"/>
        <v>-3.1399573929841749</v>
      </c>
      <c r="J543">
        <f t="shared" si="430"/>
        <v>15</v>
      </c>
      <c r="M543">
        <f t="shared" si="431"/>
        <v>6.677068695264374E-4</v>
      </c>
      <c r="N543">
        <f t="shared" si="432"/>
        <v>-1.5707963250000001</v>
      </c>
      <c r="O543">
        <f t="shared" si="433"/>
        <v>566.48759140490188</v>
      </c>
      <c r="P543">
        <f t="shared" si="434"/>
        <v>1.5690310621456216</v>
      </c>
      <c r="Q543">
        <f t="shared" si="435"/>
        <v>217.58309558799769</v>
      </c>
      <c r="R543">
        <f t="shared" si="436"/>
        <v>1.5662003653403396</v>
      </c>
      <c r="S543">
        <f t="shared" si="437"/>
        <v>0.8842446813101652</v>
      </c>
      <c r="T543">
        <f t="shared" si="438"/>
        <v>-0.48592210219577908</v>
      </c>
      <c r="U543">
        <f t="shared" si="439"/>
        <v>0.12090977686824569</v>
      </c>
      <c r="V543">
        <f t="shared" si="440"/>
        <v>-1.4495899946465096</v>
      </c>
      <c r="X543">
        <f t="shared" si="457"/>
        <v>-47.77114170893941</v>
      </c>
      <c r="Y543">
        <f t="shared" si="441"/>
        <v>-173.83789369365448</v>
      </c>
      <c r="Z543">
        <f t="shared" si="458"/>
        <v>6.162106306345521</v>
      </c>
      <c r="AC543">
        <v>1</v>
      </c>
      <c r="AD543">
        <f t="shared" si="442"/>
        <v>566.48670877234804</v>
      </c>
      <c r="AE543">
        <f t="shared" si="443"/>
        <v>-0.58551158811802495</v>
      </c>
      <c r="AF543">
        <f t="shared" si="444"/>
        <v>7.1317294747650001E-2</v>
      </c>
      <c r="AG543">
        <f t="shared" si="421"/>
        <v>114.43991462866632</v>
      </c>
      <c r="AH543">
        <f t="shared" si="422"/>
        <v>-953.56808469747079</v>
      </c>
      <c r="AJ543">
        <f t="shared" si="445"/>
        <v>21000</v>
      </c>
      <c r="AK543">
        <f t="shared" si="446"/>
        <v>11091.389709232351</v>
      </c>
      <c r="AL543">
        <v>1</v>
      </c>
      <c r="AM543">
        <f t="shared" si="447"/>
        <v>217.58079760322534</v>
      </c>
      <c r="AN543">
        <f t="shared" si="423"/>
        <v>51.418458722750366</v>
      </c>
      <c r="AO543">
        <f t="shared" si="424"/>
        <v>-96.279551192189942</v>
      </c>
      <c r="AQ543">
        <f t="shared" si="448"/>
        <v>9.2386425440782569E-4</v>
      </c>
      <c r="AR543">
        <f t="shared" si="449"/>
        <v>-3.0395133970017465</v>
      </c>
      <c r="AT543">
        <f t="shared" si="470"/>
        <v>-2898.2772414448559</v>
      </c>
      <c r="AU543">
        <f t="shared" si="471"/>
        <v>-348.72262113316356</v>
      </c>
      <c r="AV543">
        <f t="shared" si="459"/>
        <v>-3.0218476347322603</v>
      </c>
      <c r="AW543">
        <f t="shared" si="460"/>
        <v>-184.02029747806242</v>
      </c>
      <c r="AX543">
        <f t="shared" si="461"/>
        <v>-1246.2564958139317</v>
      </c>
      <c r="AY543">
        <f t="shared" si="469"/>
        <v>-1.717395463136189</v>
      </c>
      <c r="BA543">
        <f t="shared" si="450"/>
        <v>2.3172346656806031</v>
      </c>
      <c r="BB543">
        <f t="shared" si="462"/>
        <v>7.2994003378590939</v>
      </c>
      <c r="BC543">
        <f t="shared" si="463"/>
        <v>-1.3044521715960713</v>
      </c>
      <c r="BD543">
        <f t="shared" si="451"/>
        <v>-254.73960409453235</v>
      </c>
      <c r="BF543">
        <f t="shared" si="452"/>
        <v>-59.360446828722701</v>
      </c>
      <c r="BG543">
        <f t="shared" si="453"/>
        <v>-227.31635211287502</v>
      </c>
      <c r="BH543">
        <f t="shared" si="464"/>
        <v>-47.316352112875023</v>
      </c>
      <c r="BI543">
        <f t="shared" si="465"/>
        <v>-47.316352112875023</v>
      </c>
      <c r="BJ543">
        <f t="shared" si="454"/>
        <v>0</v>
      </c>
      <c r="BK543">
        <f t="shared" si="466"/>
        <v>0</v>
      </c>
      <c r="BM543">
        <f t="shared" si="467"/>
        <v>-66.659847166581784</v>
      </c>
      <c r="BN543">
        <f t="shared" si="455"/>
        <v>-152.57674801834264</v>
      </c>
      <c r="BQ543" s="66">
        <f t="shared" si="468"/>
        <v>24.201361138144229</v>
      </c>
    </row>
    <row r="544" spans="1:69" ht="13" x14ac:dyDescent="0.3">
      <c r="A544">
        <f t="shared" si="472"/>
        <v>1650000</v>
      </c>
      <c r="B544">
        <f t="shared" si="456"/>
        <v>1650</v>
      </c>
      <c r="C544">
        <f t="shared" si="425"/>
        <v>1.1263658283193738</v>
      </c>
      <c r="D544">
        <f t="shared" si="426"/>
        <v>0.47822969049271558</v>
      </c>
      <c r="F544">
        <f t="shared" si="427"/>
        <v>2.734508301442527E-5</v>
      </c>
      <c r="G544">
        <f t="shared" si="428"/>
        <v>1.6303014264667346E-3</v>
      </c>
      <c r="H544">
        <f t="shared" si="429"/>
        <v>-3.1399623485735333</v>
      </c>
      <c r="J544">
        <f t="shared" si="430"/>
        <v>15</v>
      </c>
      <c r="M544">
        <f t="shared" si="431"/>
        <v>6.6568351537635729E-4</v>
      </c>
      <c r="N544">
        <f t="shared" si="432"/>
        <v>-1.5707963250000001</v>
      </c>
      <c r="O544">
        <f t="shared" si="433"/>
        <v>568.20943282987389</v>
      </c>
      <c r="P544">
        <f t="shared" si="434"/>
        <v>1.5690364114213751</v>
      </c>
      <c r="Q544">
        <f t="shared" si="435"/>
        <v>218.24442843482481</v>
      </c>
      <c r="R544">
        <f t="shared" si="436"/>
        <v>1.5662142923010329</v>
      </c>
      <c r="S544">
        <f t="shared" si="437"/>
        <v>0.88365816233895766</v>
      </c>
      <c r="T544">
        <f t="shared" si="438"/>
        <v>-0.48717647790632657</v>
      </c>
      <c r="U544">
        <f t="shared" si="439"/>
        <v>0.12054871600320691</v>
      </c>
      <c r="V544">
        <f t="shared" si="440"/>
        <v>-1.4499537159628786</v>
      </c>
      <c r="X544">
        <f t="shared" si="457"/>
        <v>-47.823674781383744</v>
      </c>
      <c r="Y544">
        <f t="shared" si="441"/>
        <v>-173.85879903334083</v>
      </c>
      <c r="Z544">
        <f t="shared" si="458"/>
        <v>6.14120096665917</v>
      </c>
      <c r="AC544">
        <v>1</v>
      </c>
      <c r="AD544">
        <f t="shared" si="442"/>
        <v>568.20855287196002</v>
      </c>
      <c r="AE544">
        <f t="shared" si="443"/>
        <v>-0.58907633841199647</v>
      </c>
      <c r="AF544">
        <f t="shared" si="444"/>
        <v>7.1534064640499995E-2</v>
      </c>
      <c r="AG544">
        <f t="shared" si="421"/>
        <v>113.75745401929696</v>
      </c>
      <c r="AH544">
        <f t="shared" si="422"/>
        <v>-950.7613585577335</v>
      </c>
      <c r="AJ544">
        <f t="shared" si="445"/>
        <v>21000</v>
      </c>
      <c r="AK544">
        <f t="shared" si="446"/>
        <v>11125.102139959501</v>
      </c>
      <c r="AL544">
        <v>1</v>
      </c>
      <c r="AM544">
        <f t="shared" si="447"/>
        <v>218.24213741356948</v>
      </c>
      <c r="AN544">
        <f t="shared" si="423"/>
        <v>51.415781022806613</v>
      </c>
      <c r="AO544">
        <f t="shared" si="424"/>
        <v>-95.987807245855393</v>
      </c>
      <c r="AQ544">
        <f t="shared" si="448"/>
        <v>9.1827356122373171E-4</v>
      </c>
      <c r="AR544">
        <f t="shared" si="449"/>
        <v>-3.0303027520383146</v>
      </c>
      <c r="AT544">
        <f t="shared" si="470"/>
        <v>-2880.9903009067684</v>
      </c>
      <c r="AU544">
        <f t="shared" si="471"/>
        <v>-345.59258499814433</v>
      </c>
      <c r="AV544">
        <f t="shared" si="459"/>
        <v>-3.0222069278375416</v>
      </c>
      <c r="AW544">
        <f t="shared" si="460"/>
        <v>-182.59338078244517</v>
      </c>
      <c r="AX544">
        <f t="shared" si="461"/>
        <v>-1242.5116691912822</v>
      </c>
      <c r="AY544">
        <f t="shared" si="469"/>
        <v>-1.7167070190396705</v>
      </c>
      <c r="BA544">
        <f t="shared" si="450"/>
        <v>2.3104902593228425</v>
      </c>
      <c r="BB544">
        <f t="shared" si="462"/>
        <v>7.2740828387758718</v>
      </c>
      <c r="BC544">
        <f t="shared" si="463"/>
        <v>-1.3054999087978711</v>
      </c>
      <c r="BD544">
        <f t="shared" si="451"/>
        <v>-254.79963501430296</v>
      </c>
      <c r="BF544">
        <f t="shared" si="452"/>
        <v>-59.432917729679637</v>
      </c>
      <c r="BG544">
        <f t="shared" si="453"/>
        <v>-227.30568268873557</v>
      </c>
      <c r="BH544">
        <f t="shared" si="464"/>
        <v>-47.305682688735573</v>
      </c>
      <c r="BI544">
        <f t="shared" si="465"/>
        <v>-47.305682688735573</v>
      </c>
      <c r="BJ544">
        <f t="shared" si="454"/>
        <v>0</v>
      </c>
      <c r="BK544">
        <f t="shared" si="466"/>
        <v>0</v>
      </c>
      <c r="BM544">
        <f t="shared" si="467"/>
        <v>-66.707000568455499</v>
      </c>
      <c r="BN544">
        <f t="shared" si="455"/>
        <v>-152.50604767443264</v>
      </c>
      <c r="BQ544" s="66">
        <f t="shared" si="468"/>
        <v>24.176043639061007</v>
      </c>
    </row>
    <row r="545" spans="1:69" ht="13" x14ac:dyDescent="0.3">
      <c r="A545">
        <f t="shared" si="472"/>
        <v>1655000</v>
      </c>
      <c r="B545">
        <f t="shared" si="456"/>
        <v>1655</v>
      </c>
      <c r="C545">
        <f t="shared" si="425"/>
        <v>1.1270895844293574</v>
      </c>
      <c r="D545">
        <f t="shared" si="426"/>
        <v>0.47946701063982816</v>
      </c>
      <c r="F545">
        <f t="shared" si="427"/>
        <v>2.7180101207934541E-5</v>
      </c>
      <c r="G545">
        <f t="shared" si="428"/>
        <v>1.6253757826377271E-3</v>
      </c>
      <c r="H545">
        <f t="shared" si="429"/>
        <v>-3.1399672742173625</v>
      </c>
      <c r="J545">
        <f t="shared" si="430"/>
        <v>15</v>
      </c>
      <c r="M545">
        <f t="shared" si="431"/>
        <v>6.6367238693111153E-4</v>
      </c>
      <c r="N545">
        <f t="shared" si="432"/>
        <v>-1.5707963250000001</v>
      </c>
      <c r="O545">
        <f t="shared" si="433"/>
        <v>569.93127427100683</v>
      </c>
      <c r="P545">
        <f t="shared" si="434"/>
        <v>1.5690417283753206</v>
      </c>
      <c r="Q545">
        <f t="shared" si="435"/>
        <v>218.90576132372692</v>
      </c>
      <c r="R545">
        <f t="shared" si="436"/>
        <v>1.5662281351126679</v>
      </c>
      <c r="S545">
        <f t="shared" si="437"/>
        <v>0.88307103421493949</v>
      </c>
      <c r="T545">
        <f t="shared" si="438"/>
        <v>-0.48842918869854229</v>
      </c>
      <c r="U545">
        <f t="shared" si="439"/>
        <v>0.12018978935978802</v>
      </c>
      <c r="V545">
        <f t="shared" si="440"/>
        <v>-1.4503152714096004</v>
      </c>
      <c r="X545">
        <f t="shared" si="457"/>
        <v>-47.87605183892677</v>
      </c>
      <c r="Y545">
        <f t="shared" si="441"/>
        <v>-173.87958089842871</v>
      </c>
      <c r="Z545">
        <f t="shared" si="458"/>
        <v>6.1204191015712865</v>
      </c>
      <c r="AC545">
        <v>1</v>
      </c>
      <c r="AD545">
        <f t="shared" si="442"/>
        <v>569.93039697157201</v>
      </c>
      <c r="AE545">
        <f t="shared" si="443"/>
        <v>-0.59265190737150364</v>
      </c>
      <c r="AF545">
        <f t="shared" si="444"/>
        <v>7.1750834533350002E-2</v>
      </c>
      <c r="AG545">
        <f t="shared" si="421"/>
        <v>113.08105036820233</v>
      </c>
      <c r="AH545">
        <f t="shared" si="422"/>
        <v>-947.97085818804453</v>
      </c>
      <c r="AJ545">
        <f t="shared" si="445"/>
        <v>21000</v>
      </c>
      <c r="AK545">
        <f t="shared" si="446"/>
        <v>11158.814570686651</v>
      </c>
      <c r="AL545">
        <v>1</v>
      </c>
      <c r="AM545">
        <f t="shared" si="447"/>
        <v>218.90347722391368</v>
      </c>
      <c r="AN545">
        <f t="shared" si="423"/>
        <v>51.413127554692394</v>
      </c>
      <c r="AO545">
        <f t="shared" si="424"/>
        <v>-95.697825992125544</v>
      </c>
      <c r="AQ545">
        <f t="shared" si="448"/>
        <v>9.1273346238776002E-4</v>
      </c>
      <c r="AR545">
        <f t="shared" si="449"/>
        <v>-3.0211477605034855</v>
      </c>
      <c r="AT545">
        <f t="shared" si="470"/>
        <v>-2863.8568223787452</v>
      </c>
      <c r="AU545">
        <f t="shared" si="471"/>
        <v>-342.49980679891303</v>
      </c>
      <c r="AV545">
        <f t="shared" si="459"/>
        <v>-3.0225640818296391</v>
      </c>
      <c r="AW545">
        <f t="shared" si="460"/>
        <v>-181.17943478693337</v>
      </c>
      <c r="AX545">
        <f t="shared" si="461"/>
        <v>-1238.7891908481006</v>
      </c>
      <c r="AY545">
        <f t="shared" si="469"/>
        <v>-1.7160219400631083</v>
      </c>
      <c r="BA545">
        <f t="shared" si="450"/>
        <v>2.3037839959261377</v>
      </c>
      <c r="BB545">
        <f t="shared" si="462"/>
        <v>7.2488351393375563</v>
      </c>
      <c r="BC545">
        <f t="shared" si="463"/>
        <v>-1.3065421417665308</v>
      </c>
      <c r="BD545">
        <f t="shared" si="451"/>
        <v>-254.85935056474477</v>
      </c>
      <c r="BF545">
        <f t="shared" si="452"/>
        <v>-59.505149560066201</v>
      </c>
      <c r="BG545">
        <f t="shared" si="453"/>
        <v>-227.29478723536346</v>
      </c>
      <c r="BH545">
        <f t="shared" si="464"/>
        <v>-47.294787235363458</v>
      </c>
      <c r="BI545">
        <f t="shared" si="465"/>
        <v>-47.294787235363458</v>
      </c>
      <c r="BJ545">
        <f t="shared" si="454"/>
        <v>0</v>
      </c>
      <c r="BK545">
        <f t="shared" si="466"/>
        <v>0</v>
      </c>
      <c r="BM545">
        <f t="shared" si="467"/>
        <v>-66.753984699403745</v>
      </c>
      <c r="BN545">
        <f t="shared" si="455"/>
        <v>-152.43543667061869</v>
      </c>
      <c r="BQ545" s="66">
        <f t="shared" si="468"/>
        <v>24.150795939622689</v>
      </c>
    </row>
    <row r="546" spans="1:69" ht="13" x14ac:dyDescent="0.3">
      <c r="A546">
        <f t="shared" si="472"/>
        <v>1660000</v>
      </c>
      <c r="B546">
        <f t="shared" si="456"/>
        <v>1660</v>
      </c>
      <c r="C546">
        <f t="shared" si="425"/>
        <v>1.1278150638535041</v>
      </c>
      <c r="D546">
        <f t="shared" si="426"/>
        <v>0.48070274083722725</v>
      </c>
      <c r="F546">
        <f t="shared" si="427"/>
        <v>2.701660800616331E-5</v>
      </c>
      <c r="G546">
        <f t="shared" si="428"/>
        <v>1.6204798137176525E-3</v>
      </c>
      <c r="H546">
        <f t="shared" si="429"/>
        <v>-3.1399721701862826</v>
      </c>
      <c r="J546">
        <f t="shared" si="430"/>
        <v>15</v>
      </c>
      <c r="M546">
        <f t="shared" si="431"/>
        <v>6.6167337371746354E-4</v>
      </c>
      <c r="N546">
        <f t="shared" si="432"/>
        <v>-1.5707963250000001</v>
      </c>
      <c r="O546">
        <f t="shared" si="433"/>
        <v>571.65311572815472</v>
      </c>
      <c r="P546">
        <f t="shared" si="434"/>
        <v>1.5690470132995216</v>
      </c>
      <c r="Q546">
        <f t="shared" si="435"/>
        <v>219.56709425432382</v>
      </c>
      <c r="R546">
        <f t="shared" si="436"/>
        <v>1.566241894535606</v>
      </c>
      <c r="S546">
        <f t="shared" si="437"/>
        <v>0.88248330367422367</v>
      </c>
      <c r="T546">
        <f t="shared" si="438"/>
        <v>-0.4896802339610774</v>
      </c>
      <c r="U546">
        <f t="shared" si="439"/>
        <v>0.11983297821130137</v>
      </c>
      <c r="V546">
        <f t="shared" si="440"/>
        <v>-1.4506746801813772</v>
      </c>
      <c r="X546">
        <f t="shared" si="457"/>
        <v>-47.92827380067137</v>
      </c>
      <c r="Y546">
        <f t="shared" si="441"/>
        <v>-173.90024035043143</v>
      </c>
      <c r="Z546">
        <f t="shared" si="458"/>
        <v>6.0997596495685684</v>
      </c>
      <c r="AC546">
        <v>1</v>
      </c>
      <c r="AD546">
        <f t="shared" si="442"/>
        <v>571.65224107118399</v>
      </c>
      <c r="AE546">
        <f t="shared" si="443"/>
        <v>-0.59623829499654646</v>
      </c>
      <c r="AF546">
        <f t="shared" si="444"/>
        <v>7.1967604426199996E-2</v>
      </c>
      <c r="AG546">
        <f t="shared" si="421"/>
        <v>112.41063256266162</v>
      </c>
      <c r="AH546">
        <f t="shared" si="422"/>
        <v>-945.19644555350089</v>
      </c>
      <c r="AJ546">
        <f t="shared" si="445"/>
        <v>21000</v>
      </c>
      <c r="AK546">
        <f t="shared" si="446"/>
        <v>11192.5270014138</v>
      </c>
      <c r="AL546">
        <v>1</v>
      </c>
      <c r="AM546">
        <f t="shared" si="447"/>
        <v>219.5648170342578</v>
      </c>
      <c r="AN546">
        <f t="shared" si="423"/>
        <v>51.41049802690825</v>
      </c>
      <c r="AO546">
        <f t="shared" si="424"/>
        <v>-95.409591504382817</v>
      </c>
      <c r="AQ546">
        <f t="shared" si="448"/>
        <v>9.0724334924849857E-4</v>
      </c>
      <c r="AR546">
        <f t="shared" si="449"/>
        <v>-3.0120479195050152</v>
      </c>
      <c r="AT546">
        <f t="shared" si="470"/>
        <v>-2846.8750035541802</v>
      </c>
      <c r="AU546">
        <f t="shared" si="471"/>
        <v>-339.4437351295694</v>
      </c>
      <c r="AV546">
        <f t="shared" si="459"/>
        <v>-3.0229191156614807</v>
      </c>
      <c r="AW546">
        <f t="shared" si="460"/>
        <v>-179.77830260833858</v>
      </c>
      <c r="AX546">
        <f t="shared" si="461"/>
        <v>-1235.0888620863775</v>
      </c>
      <c r="AY546">
        <f t="shared" si="469"/>
        <v>-1.7153401963570978</v>
      </c>
      <c r="BA546">
        <f t="shared" si="450"/>
        <v>2.297115561068455</v>
      </c>
      <c r="BB546">
        <f t="shared" si="462"/>
        <v>7.2236568762291133</v>
      </c>
      <c r="BC546">
        <f t="shared" si="463"/>
        <v>-1.307578919304383</v>
      </c>
      <c r="BD546">
        <f t="shared" si="451"/>
        <v>-254.91875354202557</v>
      </c>
      <c r="BF546">
        <f t="shared" si="452"/>
        <v>-59.577143692418048</v>
      </c>
      <c r="BG546">
        <f t="shared" si="453"/>
        <v>-227.28366860599155</v>
      </c>
      <c r="BH546">
        <f t="shared" si="464"/>
        <v>-47.283668605991551</v>
      </c>
      <c r="BI546">
        <f t="shared" si="465"/>
        <v>-47.283668605991551</v>
      </c>
      <c r="BJ546">
        <f t="shared" si="454"/>
        <v>0</v>
      </c>
      <c r="BK546">
        <f t="shared" si="466"/>
        <v>0</v>
      </c>
      <c r="BM546">
        <f t="shared" si="467"/>
        <v>-66.800800568647162</v>
      </c>
      <c r="BN546">
        <f t="shared" si="455"/>
        <v>-152.36491506396604</v>
      </c>
      <c r="BQ546" s="66">
        <f t="shared" si="468"/>
        <v>24.125617676514249</v>
      </c>
    </row>
    <row r="547" spans="1:69" ht="13" x14ac:dyDescent="0.3">
      <c r="A547">
        <f t="shared" si="472"/>
        <v>1665000</v>
      </c>
      <c r="B547">
        <f t="shared" si="456"/>
        <v>1665</v>
      </c>
      <c r="C547">
        <f t="shared" si="425"/>
        <v>1.1285422632683346</v>
      </c>
      <c r="D547">
        <f t="shared" si="426"/>
        <v>0.4819368803808432</v>
      </c>
      <c r="F547">
        <f t="shared" si="427"/>
        <v>2.685458555407962E-5</v>
      </c>
      <c r="G547">
        <f t="shared" si="428"/>
        <v>1.6156132523368187E-3</v>
      </c>
      <c r="H547">
        <f t="shared" si="429"/>
        <v>-3.1399770367476636</v>
      </c>
      <c r="J547">
        <f t="shared" si="430"/>
        <v>15</v>
      </c>
      <c r="M547">
        <f t="shared" si="431"/>
        <v>6.5968636658918288E-4</v>
      </c>
      <c r="N547">
        <f t="shared" si="432"/>
        <v>-1.5707963250000001</v>
      </c>
      <c r="O547">
        <f t="shared" si="433"/>
        <v>573.37495720117329</v>
      </c>
      <c r="P547">
        <f t="shared" si="434"/>
        <v>1.5690522664825328</v>
      </c>
      <c r="Q547">
        <f t="shared" si="435"/>
        <v>220.22842722623986</v>
      </c>
      <c r="R547">
        <f t="shared" si="436"/>
        <v>1.5662555713210766</v>
      </c>
      <c r="S547">
        <f t="shared" si="437"/>
        <v>0.88189497743250056</v>
      </c>
      <c r="T547">
        <f t="shared" si="438"/>
        <v>-0.49092961310506111</v>
      </c>
      <c r="U547">
        <f t="shared" si="439"/>
        <v>0.11947826404783694</v>
      </c>
      <c r="V547">
        <f t="shared" si="440"/>
        <v>-1.4510319612478746</v>
      </c>
      <c r="X547">
        <f t="shared" si="457"/>
        <v>-47.980341577650179</v>
      </c>
      <c r="Y547">
        <f t="shared" si="441"/>
        <v>-173.92077843857521</v>
      </c>
      <c r="Z547">
        <f t="shared" si="458"/>
        <v>6.079221561424788</v>
      </c>
      <c r="AC547">
        <v>1</v>
      </c>
      <c r="AD547">
        <f t="shared" si="442"/>
        <v>573.37408517079598</v>
      </c>
      <c r="AE547">
        <f t="shared" si="443"/>
        <v>-0.59983550128712471</v>
      </c>
      <c r="AF547">
        <f t="shared" si="444"/>
        <v>7.218437431904999E-2</v>
      </c>
      <c r="AG547">
        <f t="shared" si="421"/>
        <v>111.74613052534671</v>
      </c>
      <c r="AH547">
        <f t="shared" si="422"/>
        <v>-942.43798415267815</v>
      </c>
      <c r="AJ547">
        <f t="shared" si="445"/>
        <v>21000</v>
      </c>
      <c r="AK547">
        <f t="shared" si="446"/>
        <v>11226.239432140952</v>
      </c>
      <c r="AL547">
        <v>1</v>
      </c>
      <c r="AM547">
        <f t="shared" si="447"/>
        <v>220.22615684460195</v>
      </c>
      <c r="AN547">
        <f t="shared" si="423"/>
        <v>51.407892152324749</v>
      </c>
      <c r="AO547">
        <f t="shared" si="424"/>
        <v>-95.123088047300499</v>
      </c>
      <c r="AQ547">
        <f t="shared" si="448"/>
        <v>9.0180262227970113E-4</v>
      </c>
      <c r="AR547">
        <f t="shared" si="449"/>
        <v>-3.0030027321914048</v>
      </c>
      <c r="AT547">
        <f t="shared" si="470"/>
        <v>-2830.043068377915</v>
      </c>
      <c r="AU547">
        <f t="shared" si="471"/>
        <v>-336.4238283248784</v>
      </c>
      <c r="AV547">
        <f t="shared" si="459"/>
        <v>-3.0232720480638617</v>
      </c>
      <c r="AW547">
        <f t="shared" si="460"/>
        <v>-178.38982973036596</v>
      </c>
      <c r="AX547">
        <f t="shared" si="461"/>
        <v>-1231.4104865481731</v>
      </c>
      <c r="AY547">
        <f t="shared" si="469"/>
        <v>-1.7146617584223476</v>
      </c>
      <c r="BA547">
        <f t="shared" si="450"/>
        <v>2.2904846436636355</v>
      </c>
      <c r="BB547">
        <f t="shared" si="462"/>
        <v>7.1985476887166024</v>
      </c>
      <c r="BC547">
        <f t="shared" si="463"/>
        <v>-1.3086102896415142</v>
      </c>
      <c r="BD547">
        <f t="shared" si="451"/>
        <v>-254.97784670952566</v>
      </c>
      <c r="BF547">
        <f t="shared" si="452"/>
        <v>-59.648901487937053</v>
      </c>
      <c r="BG547">
        <f t="shared" si="453"/>
        <v>-227.27232961965967</v>
      </c>
      <c r="BH547">
        <f t="shared" si="464"/>
        <v>-47.272329619659672</v>
      </c>
      <c r="BI547">
        <f t="shared" si="465"/>
        <v>-47.272329619659672</v>
      </c>
      <c r="BJ547">
        <f t="shared" si="454"/>
        <v>0</v>
      </c>
      <c r="BK547">
        <f t="shared" si="466"/>
        <v>0</v>
      </c>
      <c r="BM547">
        <f t="shared" si="467"/>
        <v>-66.847449176653654</v>
      </c>
      <c r="BN547">
        <f t="shared" si="455"/>
        <v>-152.29448291013404</v>
      </c>
      <c r="BQ547" s="66">
        <f t="shared" si="468"/>
        <v>24.100508489001736</v>
      </c>
    </row>
    <row r="548" spans="1:69" ht="13" x14ac:dyDescent="0.3">
      <c r="A548">
        <f t="shared" si="472"/>
        <v>1670000</v>
      </c>
      <c r="B548">
        <f t="shared" si="456"/>
        <v>1670</v>
      </c>
      <c r="C548">
        <f t="shared" si="425"/>
        <v>1.1292711793510606</v>
      </c>
      <c r="D548">
        <f t="shared" si="426"/>
        <v>0.48316942858779971</v>
      </c>
      <c r="F548">
        <f t="shared" si="427"/>
        <v>2.6694016263555419E-5</v>
      </c>
      <c r="G548">
        <f t="shared" si="428"/>
        <v>1.6107758343279848E-3</v>
      </c>
      <c r="H548">
        <f t="shared" si="429"/>
        <v>-3.1399818741656724</v>
      </c>
      <c r="J548">
        <f t="shared" si="430"/>
        <v>15</v>
      </c>
      <c r="M548">
        <f t="shared" si="431"/>
        <v>6.5771125770717933E-4</v>
      </c>
      <c r="N548">
        <f t="shared" si="432"/>
        <v>-1.5707963250000001</v>
      </c>
      <c r="O548">
        <f t="shared" si="433"/>
        <v>575.09679868991986</v>
      </c>
      <c r="P548">
        <f t="shared" si="434"/>
        <v>1.5690574882094537</v>
      </c>
      <c r="Q548">
        <f t="shared" si="435"/>
        <v>220.88976023910396</v>
      </c>
      <c r="R548">
        <f t="shared" si="436"/>
        <v>1.5662691662113117</v>
      </c>
      <c r="S548">
        <f t="shared" si="437"/>
        <v>0.88130606218494423</v>
      </c>
      <c r="T548">
        <f t="shared" si="438"/>
        <v>-0.49217732556399629</v>
      </c>
      <c r="U548">
        <f t="shared" si="439"/>
        <v>0.11912562857315953</v>
      </c>
      <c r="V548">
        <f t="shared" si="440"/>
        <v>-1.4513871333569919</v>
      </c>
      <c r="X548">
        <f t="shared" si="457"/>
        <v>-48.032256072919218</v>
      </c>
      <c r="Y548">
        <f t="shared" si="441"/>
        <v>-173.94119619997747</v>
      </c>
      <c r="Z548">
        <f t="shared" si="458"/>
        <v>6.058803800022531</v>
      </c>
      <c r="AC548">
        <v>1</v>
      </c>
      <c r="AD548">
        <f t="shared" si="442"/>
        <v>575.09592927040796</v>
      </c>
      <c r="AE548">
        <f t="shared" si="443"/>
        <v>-0.6034435262432386</v>
      </c>
      <c r="AF548">
        <f t="shared" si="444"/>
        <v>7.2401144211900012E-2</v>
      </c>
      <c r="AG548">
        <f t="shared" si="421"/>
        <v>111.08747519637589</v>
      </c>
      <c r="AH548">
        <f t="shared" si="422"/>
        <v>-939.6953389968246</v>
      </c>
      <c r="AJ548">
        <f t="shared" si="445"/>
        <v>21000</v>
      </c>
      <c r="AK548">
        <f t="shared" si="446"/>
        <v>11259.9518628681</v>
      </c>
      <c r="AL548">
        <v>1</v>
      </c>
      <c r="AM548">
        <f t="shared" si="447"/>
        <v>220.88749665494609</v>
      </c>
      <c r="AN548">
        <f t="shared" si="423"/>
        <v>51.405309648104172</v>
      </c>
      <c r="AO548">
        <f t="shared" si="424"/>
        <v>-94.838300073979383</v>
      </c>
      <c r="AQ548">
        <f t="shared" si="448"/>
        <v>8.9641069091660772E-4</v>
      </c>
      <c r="AR548">
        <f t="shared" si="449"/>
        <v>-2.9940117076614698</v>
      </c>
      <c r="AT548">
        <f t="shared" si="470"/>
        <v>-2813.3592665910137</v>
      </c>
      <c r="AU548">
        <f t="shared" si="471"/>
        <v>-333.4395542605838</v>
      </c>
      <c r="AV548">
        <f t="shared" si="459"/>
        <v>-3.0236228975486727</v>
      </c>
      <c r="AW548">
        <f t="shared" si="460"/>
        <v>-177.01386396085729</v>
      </c>
      <c r="AX548">
        <f t="shared" si="461"/>
        <v>-1227.7538701813833</v>
      </c>
      <c r="AY548">
        <f t="shared" si="469"/>
        <v>-1.7139865971045984</v>
      </c>
      <c r="BA548">
        <f t="shared" si="450"/>
        <v>2.2838909359191018</v>
      </c>
      <c r="BB548">
        <f t="shared" si="462"/>
        <v>7.1735072186264937</v>
      </c>
      <c r="BC548">
        <f t="shared" si="463"/>
        <v>-1.3096363004440743</v>
      </c>
      <c r="BD548">
        <f t="shared" si="451"/>
        <v>-255.03663279831437</v>
      </c>
      <c r="BF548">
        <f t="shared" si="452"/>
        <v>-59.720424296615477</v>
      </c>
      <c r="BG548">
        <f t="shared" si="453"/>
        <v>-227.26077306169861</v>
      </c>
      <c r="BH548">
        <f t="shared" si="464"/>
        <v>-47.260773061698615</v>
      </c>
      <c r="BI548">
        <f t="shared" si="465"/>
        <v>-47.260773061698615</v>
      </c>
      <c r="BJ548">
        <f t="shared" si="454"/>
        <v>0</v>
      </c>
      <c r="BK548">
        <f t="shared" si="466"/>
        <v>0</v>
      </c>
      <c r="BM548">
        <f t="shared" si="467"/>
        <v>-66.893931515241974</v>
      </c>
      <c r="BN548">
        <f t="shared" si="455"/>
        <v>-152.22414026338424</v>
      </c>
      <c r="BQ548" s="66">
        <f t="shared" si="468"/>
        <v>24.075468018911632</v>
      </c>
    </row>
    <row r="549" spans="1:69" ht="13" x14ac:dyDescent="0.3">
      <c r="A549">
        <f t="shared" si="472"/>
        <v>1675000</v>
      </c>
      <c r="B549">
        <f t="shared" si="456"/>
        <v>1675</v>
      </c>
      <c r="C549">
        <f t="shared" si="425"/>
        <v>1.1300018087796342</v>
      </c>
      <c r="D549">
        <f t="shared" si="426"/>
        <v>0.48440038479632036</v>
      </c>
      <c r="F549">
        <f t="shared" si="427"/>
        <v>2.6534882808593047E-5</v>
      </c>
      <c r="G549">
        <f t="shared" si="428"/>
        <v>1.6059672986785554E-3</v>
      </c>
      <c r="H549">
        <f t="shared" si="429"/>
        <v>-3.1399866827013216</v>
      </c>
      <c r="J549">
        <f t="shared" si="430"/>
        <v>15</v>
      </c>
      <c r="M549">
        <f t="shared" si="431"/>
        <v>6.5574794051999374E-4</v>
      </c>
      <c r="N549">
        <f t="shared" si="432"/>
        <v>-1.5707963250000001</v>
      </c>
      <c r="O549">
        <f t="shared" si="433"/>
        <v>576.81864019425359</v>
      </c>
      <c r="P549">
        <f t="shared" si="434"/>
        <v>1.5690626787619795</v>
      </c>
      <c r="Q549">
        <f t="shared" si="435"/>
        <v>221.55109329254944</v>
      </c>
      <c r="R549">
        <f t="shared" si="436"/>
        <v>1.5662826799396814</v>
      </c>
      <c r="S549">
        <f t="shared" si="437"/>
        <v>0.88071656460612135</v>
      </c>
      <c r="T549">
        <f t="shared" si="438"/>
        <v>-0.49342337079365317</v>
      </c>
      <c r="U549">
        <f t="shared" si="439"/>
        <v>0.11877505370165878</v>
      </c>
      <c r="V549">
        <f t="shared" si="440"/>
        <v>-1.4517402150380787</v>
      </c>
      <c r="X549">
        <f t="shared" si="457"/>
        <v>-48.084018181650087</v>
      </c>
      <c r="Y549">
        <f t="shared" si="441"/>
        <v>-173.96149465982262</v>
      </c>
      <c r="Z549">
        <f t="shared" si="458"/>
        <v>6.0385053401773803</v>
      </c>
      <c r="AC549">
        <v>1</v>
      </c>
      <c r="AD549">
        <f t="shared" si="442"/>
        <v>576.81777337002006</v>
      </c>
      <c r="AE549">
        <f t="shared" si="443"/>
        <v>-0.60706236986488804</v>
      </c>
      <c r="AF549">
        <f t="shared" si="444"/>
        <v>7.2617914104750006E-2</v>
      </c>
      <c r="AG549">
        <f t="shared" si="421"/>
        <v>110.43459851572823</v>
      </c>
      <c r="AH549">
        <f t="shared" si="422"/>
        <v>-936.96837658939069</v>
      </c>
      <c r="AJ549">
        <f t="shared" si="445"/>
        <v>21000</v>
      </c>
      <c r="AK549">
        <f t="shared" si="446"/>
        <v>11293.664293595251</v>
      </c>
      <c r="AL549">
        <v>1</v>
      </c>
      <c r="AM549">
        <f t="shared" si="447"/>
        <v>221.54883646529026</v>
      </c>
      <c r="AN549">
        <f t="shared" si="423"/>
        <v>51.402750235623841</v>
      </c>
      <c r="AO549">
        <f t="shared" si="424"/>
        <v>-94.55521222313601</v>
      </c>
      <c r="AQ549">
        <f t="shared" si="448"/>
        <v>8.9106697339568072E-4</v>
      </c>
      <c r="AR549">
        <f t="shared" si="449"/>
        <v>-2.9850743608755304</v>
      </c>
      <c r="AT549">
        <f t="shared" si="470"/>
        <v>-2796.8218732847013</v>
      </c>
      <c r="AU549">
        <f t="shared" si="471"/>
        <v>-330.4903901583782</v>
      </c>
      <c r="AV549">
        <f t="shared" si="459"/>
        <v>-3.0239716824120721</v>
      </c>
      <c r="AW549">
        <f t="shared" si="460"/>
        <v>-175.65025538993359</v>
      </c>
      <c r="AX549">
        <f t="shared" si="461"/>
        <v>-1224.1188212061065</v>
      </c>
      <c r="AY549">
        <f t="shared" si="469"/>
        <v>-1.7133146835896276</v>
      </c>
      <c r="BA549">
        <f t="shared" si="450"/>
        <v>2.2773341332941843</v>
      </c>
      <c r="BB549">
        <f t="shared" si="462"/>
        <v>7.1485351103251595</v>
      </c>
      <c r="BC549">
        <f t="shared" si="463"/>
        <v>-1.3106569988224446</v>
      </c>
      <c r="BD549">
        <f t="shared" si="451"/>
        <v>-255.09511450761767</v>
      </c>
      <c r="BF549">
        <f t="shared" si="452"/>
        <v>-59.79171345735832</v>
      </c>
      <c r="BG549">
        <f t="shared" si="453"/>
        <v>-227.24900168420629</v>
      </c>
      <c r="BH549">
        <f t="shared" si="464"/>
        <v>-47.249001684206291</v>
      </c>
      <c r="BI549">
        <f t="shared" si="465"/>
        <v>-47.249001684206291</v>
      </c>
      <c r="BJ549">
        <f t="shared" si="454"/>
        <v>0</v>
      </c>
      <c r="BK549">
        <f t="shared" si="466"/>
        <v>0</v>
      </c>
      <c r="BM549">
        <f t="shared" si="467"/>
        <v>-66.940248567683483</v>
      </c>
      <c r="BN549">
        <f t="shared" si="455"/>
        <v>-152.15388717658865</v>
      </c>
      <c r="BQ549" s="66">
        <f t="shared" si="468"/>
        <v>24.050495910610294</v>
      </c>
    </row>
    <row r="550" spans="1:69" ht="13" x14ac:dyDescent="0.3">
      <c r="A550">
        <f t="shared" si="472"/>
        <v>1680000</v>
      </c>
      <c r="B550">
        <f t="shared" si="456"/>
        <v>1680</v>
      </c>
      <c r="C550">
        <f t="shared" si="425"/>
        <v>1.1307341482327948</v>
      </c>
      <c r="D550">
        <f t="shared" si="426"/>
        <v>0.48562974836563538</v>
      </c>
      <c r="F550">
        <f t="shared" si="427"/>
        <v>2.6377168120651025E-5</v>
      </c>
      <c r="G550">
        <f t="shared" si="428"/>
        <v>1.6011873874836335E-3</v>
      </c>
      <c r="H550">
        <f t="shared" si="429"/>
        <v>-3.1399914626125165</v>
      </c>
      <c r="J550">
        <f t="shared" si="430"/>
        <v>15</v>
      </c>
      <c r="M550">
        <f t="shared" si="431"/>
        <v>6.5379630974463662E-4</v>
      </c>
      <c r="N550">
        <f t="shared" si="432"/>
        <v>-1.5707963250000001</v>
      </c>
      <c r="O550">
        <f t="shared" si="433"/>
        <v>578.54048171403542</v>
      </c>
      <c r="P550">
        <f t="shared" si="434"/>
        <v>1.5690678384184518</v>
      </c>
      <c r="Q550">
        <f t="shared" si="435"/>
        <v>222.21242638621391</v>
      </c>
      <c r="R550">
        <f t="shared" si="436"/>
        <v>1.5662961132308257</v>
      </c>
      <c r="S550">
        <f t="shared" si="437"/>
        <v>0.88012649134990151</v>
      </c>
      <c r="T550">
        <f t="shared" si="438"/>
        <v>-0.49466774827196441</v>
      </c>
      <c r="U550">
        <f t="shared" si="439"/>
        <v>0.11842652155535061</v>
      </c>
      <c r="V550">
        <f t="shared" si="440"/>
        <v>-1.4520912246050937</v>
      </c>
      <c r="X550">
        <f t="shared" si="457"/>
        <v>-48.135628791220881</v>
      </c>
      <c r="Y550">
        <f t="shared" si="441"/>
        <v>-173.98167483153458</v>
      </c>
      <c r="Z550">
        <f t="shared" si="458"/>
        <v>6.0183251684654238</v>
      </c>
      <c r="AC550">
        <v>1</v>
      </c>
      <c r="AD550">
        <f t="shared" si="442"/>
        <v>578.53961746963205</v>
      </c>
      <c r="AE550">
        <f t="shared" si="443"/>
        <v>-0.61069203215207313</v>
      </c>
      <c r="AF550">
        <f t="shared" si="444"/>
        <v>7.28346839976E-2</v>
      </c>
      <c r="AG550">
        <f t="shared" si="421"/>
        <v>109.78743340600958</v>
      </c>
      <c r="AH550">
        <f t="shared" si="422"/>
        <v>-934.25696490587666</v>
      </c>
      <c r="AJ550">
        <f t="shared" si="445"/>
        <v>21000</v>
      </c>
      <c r="AK550">
        <f t="shared" si="446"/>
        <v>11327.376724322401</v>
      </c>
      <c r="AL550">
        <v>1</v>
      </c>
      <c r="AM550">
        <f t="shared" si="447"/>
        <v>222.21017627563441</v>
      </c>
      <c r="AN550">
        <f t="shared" si="423"/>
        <v>51.400213640400857</v>
      </c>
      <c r="AO550">
        <f t="shared" si="424"/>
        <v>-94.27380931634066</v>
      </c>
      <c r="AQ550">
        <f t="shared" si="448"/>
        <v>8.8577089659767428E-4</v>
      </c>
      <c r="AR550">
        <f t="shared" si="449"/>
        <v>-2.9761902125681856</v>
      </c>
      <c r="AT550">
        <f t="shared" si="470"/>
        <v>-2780.4291884632057</v>
      </c>
      <c r="AU550">
        <f t="shared" si="471"/>
        <v>-327.57582239540449</v>
      </c>
      <c r="AV550">
        <f t="shared" si="459"/>
        <v>-3.0243184207376035</v>
      </c>
      <c r="AW550">
        <f t="shared" si="460"/>
        <v>-174.29885634901356</v>
      </c>
      <c r="AX550">
        <f t="shared" si="461"/>
        <v>-1220.5051500815912</v>
      </c>
      <c r="AY550">
        <f t="shared" si="469"/>
        <v>-1.7126459893983403</v>
      </c>
      <c r="BA550">
        <f t="shared" si="450"/>
        <v>2.2708139344590332</v>
      </c>
      <c r="BB550">
        <f t="shared" si="462"/>
        <v>7.1236310106984622</v>
      </c>
      <c r="BC550">
        <f t="shared" si="463"/>
        <v>-1.3116724313392631</v>
      </c>
      <c r="BD550">
        <f t="shared" si="451"/>
        <v>-255.15329450527821</v>
      </c>
      <c r="BF550">
        <f t="shared" si="452"/>
        <v>-59.862770298104166</v>
      </c>
      <c r="BG550">
        <f t="shared" si="453"/>
        <v>-227.23701820651567</v>
      </c>
      <c r="BH550">
        <f t="shared" si="464"/>
        <v>-47.237018206515671</v>
      </c>
      <c r="BI550">
        <f t="shared" si="465"/>
        <v>-47.237018206515671</v>
      </c>
      <c r="BJ550">
        <f t="shared" si="454"/>
        <v>0</v>
      </c>
      <c r="BK550">
        <f t="shared" si="466"/>
        <v>0</v>
      </c>
      <c r="BM550">
        <f t="shared" si="467"/>
        <v>-66.986401308802627</v>
      </c>
      <c r="BN550">
        <f t="shared" si="455"/>
        <v>-152.08372370123752</v>
      </c>
      <c r="BQ550" s="66">
        <f t="shared" si="468"/>
        <v>24.025591810983599</v>
      </c>
    </row>
    <row r="551" spans="1:69" ht="13" x14ac:dyDescent="0.3">
      <c r="A551">
        <f t="shared" si="472"/>
        <v>1685000</v>
      </c>
      <c r="B551">
        <f t="shared" si="456"/>
        <v>1685</v>
      </c>
      <c r="C551">
        <f t="shared" si="425"/>
        <v>1.1314681943901175</v>
      </c>
      <c r="D551">
        <f t="shared" si="426"/>
        <v>0.48685751867588795</v>
      </c>
      <c r="F551">
        <f t="shared" si="427"/>
        <v>2.6220855384066875E-5</v>
      </c>
      <c r="G551">
        <f t="shared" si="428"/>
        <v>1.5964358458998994E-3</v>
      </c>
      <c r="H551">
        <f t="shared" si="429"/>
        <v>-3.1399962141541002</v>
      </c>
      <c r="J551">
        <f t="shared" si="430"/>
        <v>15</v>
      </c>
      <c r="M551">
        <f t="shared" si="431"/>
        <v>6.5185626134776822E-4</v>
      </c>
      <c r="N551">
        <f t="shared" si="432"/>
        <v>-1.5707963250000001</v>
      </c>
      <c r="O551">
        <f t="shared" si="433"/>
        <v>580.2623232491278</v>
      </c>
      <c r="P551">
        <f t="shared" si="434"/>
        <v>1.5690729674539088</v>
      </c>
      <c r="Q551">
        <f t="shared" si="435"/>
        <v>222.87375951973937</v>
      </c>
      <c r="R551">
        <f t="shared" si="436"/>
        <v>1.5663094668007838</v>
      </c>
      <c r="S551">
        <f t="shared" si="437"/>
        <v>0.87953584904936921</v>
      </c>
      <c r="T551">
        <f t="shared" si="438"/>
        <v>-0.49591045749891866</v>
      </c>
      <c r="U551">
        <f t="shared" si="439"/>
        <v>0.11808001446092957</v>
      </c>
      <c r="V551">
        <f t="shared" si="440"/>
        <v>-1.4524401801597107</v>
      </c>
      <c r="X551">
        <f t="shared" si="457"/>
        <v>-48.187088781305803</v>
      </c>
      <c r="Y551">
        <f t="shared" si="441"/>
        <v>-174.00173771694645</v>
      </c>
      <c r="Z551">
        <f t="shared" si="458"/>
        <v>5.998262283053549</v>
      </c>
      <c r="AC551">
        <v>1</v>
      </c>
      <c r="AD551">
        <f t="shared" si="442"/>
        <v>580.26146156924403</v>
      </c>
      <c r="AE551">
        <f t="shared" si="443"/>
        <v>-0.61433251310479375</v>
      </c>
      <c r="AF551">
        <f t="shared" si="444"/>
        <v>7.3051453890450008E-2</v>
      </c>
      <c r="AG551">
        <f t="shared" si="421"/>
        <v>109.14591375556225</v>
      </c>
      <c r="AH551">
        <f t="shared" si="422"/>
        <v>-931.56097337400206</v>
      </c>
      <c r="AJ551">
        <f t="shared" si="445"/>
        <v>21000</v>
      </c>
      <c r="AK551">
        <f t="shared" si="446"/>
        <v>11361.089155049551</v>
      </c>
      <c r="AL551">
        <v>1</v>
      </c>
      <c r="AM551">
        <f t="shared" si="447"/>
        <v>222.87151608597856</v>
      </c>
      <c r="AN551">
        <f t="shared" si="423"/>
        <v>51.397699592018554</v>
      </c>
      <c r="AO551">
        <f t="shared" si="424"/>
        <v>-93.994076355304671</v>
      </c>
      <c r="AQ551">
        <f t="shared" si="448"/>
        <v>8.8052189589395906E-4</v>
      </c>
      <c r="AR551">
        <f t="shared" si="449"/>
        <v>-2.9673587891626423</v>
      </c>
      <c r="AT551">
        <f t="shared" si="470"/>
        <v>-2764.1795366153419</v>
      </c>
      <c r="AU551">
        <f t="shared" si="471"/>
        <v>-324.69534631817146</v>
      </c>
      <c r="AV551">
        <f t="shared" si="459"/>
        <v>-3.0246631303992602</v>
      </c>
      <c r="AW551">
        <f t="shared" si="460"/>
        <v>-172.95952137068971</v>
      </c>
      <c r="AX551">
        <f t="shared" si="461"/>
        <v>-1216.9126694737629</v>
      </c>
      <c r="AY551">
        <f t="shared" si="469"/>
        <v>-1.7119804863819434</v>
      </c>
      <c r="BA551">
        <f t="shared" si="450"/>
        <v>2.2643300412541141</v>
      </c>
      <c r="BB551">
        <f t="shared" si="462"/>
        <v>7.0987945691314795</v>
      </c>
      <c r="BC551">
        <f t="shared" si="463"/>
        <v>-1.3126826440173167</v>
      </c>
      <c r="BD551">
        <f t="shared" si="451"/>
        <v>-255.21117542820741</v>
      </c>
      <c r="BF551">
        <f t="shared" si="452"/>
        <v>-59.933596135944313</v>
      </c>
      <c r="BG551">
        <f t="shared" si="453"/>
        <v>-227.22482531565481</v>
      </c>
      <c r="BH551">
        <f t="shared" si="464"/>
        <v>-47.224825315654812</v>
      </c>
      <c r="BI551">
        <f t="shared" si="465"/>
        <v>-47.224825315654812</v>
      </c>
      <c r="BJ551">
        <f t="shared" si="454"/>
        <v>0</v>
      </c>
      <c r="BK551">
        <f t="shared" si="466"/>
        <v>0</v>
      </c>
      <c r="BM551">
        <f t="shared" si="467"/>
        <v>-67.032390705075798</v>
      </c>
      <c r="BN551">
        <f t="shared" si="455"/>
        <v>-152.01364988744743</v>
      </c>
      <c r="BQ551" s="66">
        <f t="shared" si="468"/>
        <v>24.000755369416616</v>
      </c>
    </row>
    <row r="552" spans="1:69" ht="13" x14ac:dyDescent="0.3">
      <c r="A552">
        <f t="shared" si="472"/>
        <v>1690000</v>
      </c>
      <c r="B552">
        <f t="shared" si="456"/>
        <v>1690</v>
      </c>
      <c r="C552">
        <f t="shared" si="425"/>
        <v>1.1322039439320595</v>
      </c>
      <c r="D552">
        <f t="shared" si="426"/>
        <v>0.48808369512804073</v>
      </c>
      <c r="F552">
        <f t="shared" si="427"/>
        <v>2.6065928031574448E-5</v>
      </c>
      <c r="G552">
        <f t="shared" si="428"/>
        <v>1.5917124221003184E-3</v>
      </c>
      <c r="H552">
        <f t="shared" si="429"/>
        <v>-3.1400009375778999</v>
      </c>
      <c r="J552">
        <f t="shared" si="430"/>
        <v>15</v>
      </c>
      <c r="M552">
        <f t="shared" si="431"/>
        <v>6.4992769252721267E-4</v>
      </c>
      <c r="N552">
        <f t="shared" si="432"/>
        <v>-1.5707963250000001</v>
      </c>
      <c r="O552">
        <f t="shared" si="433"/>
        <v>581.98416479939476</v>
      </c>
      <c r="P552">
        <f t="shared" si="434"/>
        <v>1.5690780661401333</v>
      </c>
      <c r="Q552">
        <f t="shared" si="435"/>
        <v>223.53509269277203</v>
      </c>
      <c r="R552">
        <f t="shared" si="436"/>
        <v>1.5663227413571208</v>
      </c>
      <c r="S552">
        <f t="shared" si="437"/>
        <v>0.87894464431673724</v>
      </c>
      <c r="T552">
        <f t="shared" si="438"/>
        <v>-0.49715149799645519</v>
      </c>
      <c r="U552">
        <f t="shared" si="439"/>
        <v>0.11773551494687071</v>
      </c>
      <c r="V552">
        <f t="shared" si="440"/>
        <v>-1.4527870995943704</v>
      </c>
      <c r="X552">
        <f t="shared" si="457"/>
        <v>-48.238399023963538</v>
      </c>
      <c r="Y552">
        <f t="shared" si="441"/>
        <v>-174.02168430646711</v>
      </c>
      <c r="Z552">
        <f t="shared" si="458"/>
        <v>5.9783156935328918</v>
      </c>
      <c r="AC552">
        <v>1</v>
      </c>
      <c r="AD552">
        <f t="shared" si="442"/>
        <v>581.98330566885613</v>
      </c>
      <c r="AE552">
        <f t="shared" si="443"/>
        <v>-0.61798381272304992</v>
      </c>
      <c r="AF552">
        <f t="shared" si="444"/>
        <v>7.3268223783300002E-2</v>
      </c>
      <c r="AG552">
        <f t="shared" ref="AG552:AG615" si="473">AC552*AE552/(AE552^2+AF552^2)+AD552*AF552/(AE552^2+AF552^2)</f>
        <v>108.50997440191061</v>
      </c>
      <c r="AH552">
        <f t="shared" ref="AH552:AH615" si="474">AD552*AE552/(AE552^2+AF552^2)-AC552*AF552/(AE552^2+AF552^2)</f>
        <v>-928.88027285418605</v>
      </c>
      <c r="AJ552">
        <f t="shared" si="445"/>
        <v>21000</v>
      </c>
      <c r="AK552">
        <f t="shared" si="446"/>
        <v>11394.8015857767</v>
      </c>
      <c r="AL552">
        <v>1</v>
      </c>
      <c r="AM552">
        <f t="shared" si="447"/>
        <v>223.5328558963227</v>
      </c>
      <c r="AN552">
        <f t="shared" ref="AN552:AN615" si="475">AJ552*AL552/(AL552^2+AM552^2)+AK552*AM552/(AL552^2+AM552^2)</f>
        <v>51.395207824054438</v>
      </c>
      <c r="AO552">
        <f t="shared" ref="AO552:AO615" si="476">AK552*AL552/(AL552^2+AM552^2)-AJ552*AM552/(AL552^2+AM552^2)</f>
        <v>-93.7159985192162</v>
      </c>
      <c r="AQ552">
        <f t="shared" si="448"/>
        <v>8.7531941499602469E-4</v>
      </c>
      <c r="AR552">
        <f t="shared" si="449"/>
        <v>-2.9585796226865635</v>
      </c>
      <c r="AT552">
        <f t="shared" si="470"/>
        <v>-2748.0712662946153</v>
      </c>
      <c r="AU552">
        <f t="shared" si="471"/>
        <v>-321.84846606076945</v>
      </c>
      <c r="AV552">
        <f t="shared" si="459"/>
        <v>-3.0250058290644972</v>
      </c>
      <c r="AW552">
        <f t="shared" si="460"/>
        <v>-171.63210714944134</v>
      </c>
      <c r="AX552">
        <f t="shared" si="461"/>
        <v>-1213.341194223307</v>
      </c>
      <c r="AY552">
        <f t="shared" si="469"/>
        <v>-1.7113181467172049</v>
      </c>
      <c r="BA552">
        <f t="shared" si="450"/>
        <v>2.2578821586502893</v>
      </c>
      <c r="BB552">
        <f t="shared" si="462"/>
        <v>7.074025437488368</v>
      </c>
      <c r="BC552">
        <f t="shared" si="463"/>
        <v>-1.3136876823472923</v>
      </c>
      <c r="BD552">
        <f t="shared" si="451"/>
        <v>-255.26875988282967</v>
      </c>
      <c r="BF552">
        <f t="shared" si="452"/>
        <v>-60.004192277240335</v>
      </c>
      <c r="BG552">
        <f t="shared" si="453"/>
        <v>-227.21242566679905</v>
      </c>
      <c r="BH552">
        <f t="shared" si="464"/>
        <v>-47.212425666799049</v>
      </c>
      <c r="BI552">
        <f t="shared" si="465"/>
        <v>-47.212425666799049</v>
      </c>
      <c r="BJ552">
        <f t="shared" si="454"/>
        <v>0</v>
      </c>
      <c r="BK552">
        <f t="shared" si="466"/>
        <v>0</v>
      </c>
      <c r="BM552">
        <f t="shared" si="467"/>
        <v>-67.078217714728709</v>
      </c>
      <c r="BN552">
        <f t="shared" si="455"/>
        <v>-151.94366578396938</v>
      </c>
      <c r="BQ552" s="66">
        <f t="shared" si="468"/>
        <v>23.975986237773505</v>
      </c>
    </row>
    <row r="553" spans="1:69" ht="13" x14ac:dyDescent="0.3">
      <c r="A553">
        <f t="shared" si="472"/>
        <v>1695000</v>
      </c>
      <c r="B553">
        <f t="shared" si="456"/>
        <v>1695</v>
      </c>
      <c r="C553">
        <f t="shared" si="425"/>
        <v>1.1329413935400088</v>
      </c>
      <c r="D553">
        <f t="shared" si="426"/>
        <v>0.48930827714378156</v>
      </c>
      <c r="F553">
        <f t="shared" si="427"/>
        <v>2.5912369739913821E-5</v>
      </c>
      <c r="G553">
        <f t="shared" si="428"/>
        <v>1.5870168672296433E-3</v>
      </c>
      <c r="H553">
        <f t="shared" si="429"/>
        <v>-3.1400056331327706</v>
      </c>
      <c r="J553">
        <f t="shared" si="430"/>
        <v>15</v>
      </c>
      <c r="M553">
        <f t="shared" si="431"/>
        <v>6.4801050169379911E-4</v>
      </c>
      <c r="N553">
        <f t="shared" si="432"/>
        <v>-1.5707963250000001</v>
      </c>
      <c r="O553">
        <f t="shared" si="433"/>
        <v>583.70600636470215</v>
      </c>
      <c r="P553">
        <f t="shared" si="434"/>
        <v>1.5690831347457017</v>
      </c>
      <c r="Q553">
        <f t="shared" si="435"/>
        <v>224.1964259049623</v>
      </c>
      <c r="R553">
        <f t="shared" si="436"/>
        <v>1.5663359375990542</v>
      </c>
      <c r="S553">
        <f t="shared" si="437"/>
        <v>0.87835288374326215</v>
      </c>
      <c r="T553">
        <f t="shared" si="438"/>
        <v>-0.49839086930835713</v>
      </c>
      <c r="U553">
        <f t="shared" si="439"/>
        <v>0.11739300574058012</v>
      </c>
      <c r="V553">
        <f t="shared" si="440"/>
        <v>-1.4531320005952806</v>
      </c>
      <c r="X553">
        <f t="shared" si="457"/>
        <v>-48.289560383724236</v>
      </c>
      <c r="Y553">
        <f t="shared" si="441"/>
        <v>-174.04151557924507</v>
      </c>
      <c r="Z553">
        <f t="shared" si="458"/>
        <v>5.9584844207549281</v>
      </c>
      <c r="AC553">
        <v>1</v>
      </c>
      <c r="AD553">
        <f t="shared" si="442"/>
        <v>583.70514976846812</v>
      </c>
      <c r="AE553">
        <f t="shared" si="443"/>
        <v>-0.62164593100684162</v>
      </c>
      <c r="AF553">
        <f t="shared" si="444"/>
        <v>7.3484993676149996E-2</v>
      </c>
      <c r="AG553">
        <f t="shared" si="473"/>
        <v>107.87955111553522</v>
      </c>
      <c r="AH553">
        <f t="shared" si="474"/>
        <v>-926.21473562033225</v>
      </c>
      <c r="AJ553">
        <f t="shared" si="445"/>
        <v>21000</v>
      </c>
      <c r="AK553">
        <f t="shared" si="446"/>
        <v>11428.514016503852</v>
      </c>
      <c r="AL553">
        <v>1</v>
      </c>
      <c r="AM553">
        <f t="shared" si="447"/>
        <v>224.19419570666685</v>
      </c>
      <c r="AN553">
        <f t="shared" si="475"/>
        <v>51.392738074009586</v>
      </c>
      <c r="AO553">
        <f t="shared" si="476"/>
        <v>-93.439561162122644</v>
      </c>
      <c r="AQ553">
        <f t="shared" si="448"/>
        <v>8.7016290580808507E-4</v>
      </c>
      <c r="AR553">
        <f t="shared" si="449"/>
        <v>-2.9498522506894083</v>
      </c>
      <c r="AT553">
        <f t="shared" si="470"/>
        <v>-2732.1027497076561</v>
      </c>
      <c r="AU553">
        <f t="shared" si="471"/>
        <v>-319.03469436727431</v>
      </c>
      <c r="AV553">
        <f t="shared" si="459"/>
        <v>-3.0253465341971908</v>
      </c>
      <c r="AW553">
        <f t="shared" si="460"/>
        <v>-170.31647250316198</v>
      </c>
      <c r="AX553">
        <f t="shared" si="461"/>
        <v>-1209.7905413143058</v>
      </c>
      <c r="AY553">
        <f t="shared" si="469"/>
        <v>-1.7106589429017913</v>
      </c>
      <c r="BA553">
        <f t="shared" si="450"/>
        <v>2.2514699947094567</v>
      </c>
      <c r="BB553">
        <f t="shared" si="462"/>
        <v>7.0493232700923505</v>
      </c>
      <c r="BC553">
        <f t="shared" si="463"/>
        <v>-1.3146875912953995</v>
      </c>
      <c r="BD553">
        <f t="shared" si="451"/>
        <v>-255.32605044551906</v>
      </c>
      <c r="BF553">
        <f t="shared" si="452"/>
        <v>-60.074560017740069</v>
      </c>
      <c r="BG553">
        <f t="shared" si="453"/>
        <v>-227.19982188371552</v>
      </c>
      <c r="BH553">
        <f t="shared" si="464"/>
        <v>-47.199821883715515</v>
      </c>
      <c r="BI553">
        <f t="shared" si="465"/>
        <v>-47.199821883715515</v>
      </c>
      <c r="BJ553">
        <f t="shared" si="454"/>
        <v>0</v>
      </c>
      <c r="BK553">
        <f t="shared" si="466"/>
        <v>0</v>
      </c>
      <c r="BM553">
        <f t="shared" si="467"/>
        <v>-67.123883287832427</v>
      </c>
      <c r="BN553">
        <f t="shared" si="455"/>
        <v>-151.87377143819648</v>
      </c>
      <c r="BQ553" s="66">
        <f t="shared" si="468"/>
        <v>23.951284070377486</v>
      </c>
    </row>
    <row r="554" spans="1:69" ht="13" x14ac:dyDescent="0.3">
      <c r="A554">
        <f t="shared" si="472"/>
        <v>1700000</v>
      </c>
      <c r="B554">
        <f t="shared" si="456"/>
        <v>1700</v>
      </c>
      <c r="C554">
        <f t="shared" si="425"/>
        <v>1.1336805398963297</v>
      </c>
      <c r="D554">
        <f t="shared" si="426"/>
        <v>0.49053126416542941</v>
      </c>
      <c r="F554">
        <f t="shared" si="427"/>
        <v>2.5760164425531392E-5</v>
      </c>
      <c r="G554">
        <f t="shared" si="428"/>
        <v>1.5823489353607063E-3</v>
      </c>
      <c r="H554">
        <f t="shared" si="429"/>
        <v>-3.1400103010646396</v>
      </c>
      <c r="J554">
        <f t="shared" si="430"/>
        <v>15</v>
      </c>
      <c r="M554">
        <f t="shared" si="431"/>
        <v>6.4610458845352321E-4</v>
      </c>
      <c r="N554">
        <f t="shared" si="432"/>
        <v>-1.5707963250000001</v>
      </c>
      <c r="O554">
        <f t="shared" si="433"/>
        <v>585.42784794491706</v>
      </c>
      <c r="P554">
        <f t="shared" si="434"/>
        <v>1.5690881735360305</v>
      </c>
      <c r="Q554">
        <f t="shared" si="435"/>
        <v>224.85775915596463</v>
      </c>
      <c r="R554">
        <f t="shared" si="436"/>
        <v>1.5663490562175746</v>
      </c>
      <c r="S554">
        <f t="shared" si="437"/>
        <v>0.87776057389916073</v>
      </c>
      <c r="T554">
        <f t="shared" si="438"/>
        <v>-0.49962857100014579</v>
      </c>
      <c r="U554">
        <f t="shared" si="439"/>
        <v>0.1170524697655935</v>
      </c>
      <c r="V554">
        <f t="shared" si="440"/>
        <v>-1.453474900645364</v>
      </c>
      <c r="X554">
        <f t="shared" si="457"/>
        <v>-48.34057371767549</v>
      </c>
      <c r="Y554">
        <f t="shared" si="441"/>
        <v>-174.06123250332936</v>
      </c>
      <c r="Z554">
        <f t="shared" si="458"/>
        <v>5.9387674966706356</v>
      </c>
      <c r="AC554">
        <v>1</v>
      </c>
      <c r="AD554">
        <f t="shared" si="442"/>
        <v>585.4269938680801</v>
      </c>
      <c r="AE554">
        <f t="shared" si="443"/>
        <v>-0.62531886795616898</v>
      </c>
      <c r="AF554">
        <f t="shared" si="444"/>
        <v>7.3701763569000003E-2</v>
      </c>
      <c r="AG554">
        <f t="shared" si="473"/>
        <v>107.25458058396816</v>
      </c>
      <c r="AH554">
        <f t="shared" si="474"/>
        <v>-923.56423534091891</v>
      </c>
      <c r="AJ554">
        <f t="shared" si="445"/>
        <v>21000</v>
      </c>
      <c r="AK554">
        <f t="shared" si="446"/>
        <v>11462.226447231</v>
      </c>
      <c r="AL554">
        <v>1</v>
      </c>
      <c r="AM554">
        <f t="shared" si="447"/>
        <v>224.85553551701102</v>
      </c>
      <c r="AN554">
        <f t="shared" si="475"/>
        <v>51.390290083239506</v>
      </c>
      <c r="AO554">
        <f t="shared" si="476"/>
        <v>-93.164749810359609</v>
      </c>
      <c r="AQ554">
        <f t="shared" si="448"/>
        <v>8.6505182828271383E-4</v>
      </c>
      <c r="AR554">
        <f t="shared" si="449"/>
        <v>-2.9411762161612272</v>
      </c>
      <c r="AT554">
        <f t="shared" si="470"/>
        <v>-2716.2723823108149</v>
      </c>
      <c r="AU554">
        <f t="shared" si="471"/>
        <v>-316.25355241823308</v>
      </c>
      <c r="AV554">
        <f t="shared" si="459"/>
        <v>-3.0256852630605486</v>
      </c>
      <c r="AW554">
        <f t="shared" si="460"/>
        <v>-169.01247833548504</v>
      </c>
      <c r="AX554">
        <f t="shared" si="461"/>
        <v>-1206.2605298434141</v>
      </c>
      <c r="AY554">
        <f t="shared" si="469"/>
        <v>-1.7100028477496849</v>
      </c>
      <c r="BA554">
        <f t="shared" si="450"/>
        <v>2.2450932605457585</v>
      </c>
      <c r="BB554">
        <f t="shared" si="462"/>
        <v>7.0246877237058456</v>
      </c>
      <c r="BC554">
        <f t="shared" si="463"/>
        <v>-1.3156824153108637</v>
      </c>
      <c r="BD554">
        <f t="shared" si="451"/>
        <v>-255.38304966302854</v>
      </c>
      <c r="BF554">
        <f t="shared" si="452"/>
        <v>-60.144700642692037</v>
      </c>
      <c r="BG554">
        <f t="shared" si="453"/>
        <v>-227.18701655920071</v>
      </c>
      <c r="BH554">
        <f t="shared" si="464"/>
        <v>-47.187016559200714</v>
      </c>
      <c r="BI554">
        <f t="shared" si="465"/>
        <v>-47.187016559200714</v>
      </c>
      <c r="BJ554">
        <f t="shared" si="454"/>
        <v>0</v>
      </c>
      <c r="BK554">
        <f t="shared" si="466"/>
        <v>0</v>
      </c>
      <c r="BM554">
        <f t="shared" si="467"/>
        <v>-67.169388366397882</v>
      </c>
      <c r="BN554">
        <f t="shared" si="455"/>
        <v>-151.80396689617217</v>
      </c>
      <c r="BQ554" s="66">
        <f t="shared" si="468"/>
        <v>23.926648523990984</v>
      </c>
    </row>
    <row r="555" spans="1:69" ht="13" x14ac:dyDescent="0.3">
      <c r="A555">
        <f t="shared" si="472"/>
        <v>1705000</v>
      </c>
      <c r="B555">
        <f t="shared" si="456"/>
        <v>1705</v>
      </c>
      <c r="C555">
        <f t="shared" si="425"/>
        <v>1.1344213796844094</v>
      </c>
      <c r="D555">
        <f t="shared" si="426"/>
        <v>0.49175265565584003</v>
      </c>
      <c r="F555">
        <f t="shared" si="427"/>
        <v>2.5609296240368138E-5</v>
      </c>
      <c r="G555">
        <f t="shared" si="428"/>
        <v>1.5777083834514797E-3</v>
      </c>
      <c r="H555">
        <f t="shared" si="429"/>
        <v>-3.1400149416165486</v>
      </c>
      <c r="J555">
        <f t="shared" si="430"/>
        <v>15</v>
      </c>
      <c r="M555">
        <f t="shared" si="431"/>
        <v>6.4420985359002307E-4</v>
      </c>
      <c r="N555">
        <f t="shared" si="432"/>
        <v>-1.5707963250000001</v>
      </c>
      <c r="O555">
        <f t="shared" si="433"/>
        <v>587.14968953990865</v>
      </c>
      <c r="P555">
        <f t="shared" si="434"/>
        <v>1.5690931827734229</v>
      </c>
      <c r="Q555">
        <f t="shared" si="435"/>
        <v>225.51909244543768</v>
      </c>
      <c r="R555">
        <f t="shared" si="436"/>
        <v>1.5663620978955684</v>
      </c>
      <c r="S555">
        <f t="shared" si="437"/>
        <v>0.87716772133352972</v>
      </c>
      <c r="T555">
        <f t="shared" si="438"/>
        <v>-0.50086460265897359</v>
      </c>
      <c r="U555">
        <f t="shared" si="439"/>
        <v>0.11671389013882112</v>
      </c>
      <c r="V555">
        <f t="shared" si="440"/>
        <v>-1.453815817027158</v>
      </c>
      <c r="X555">
        <f t="shared" si="457"/>
        <v>-48.391439875546894</v>
      </c>
      <c r="Y555">
        <f t="shared" si="441"/>
        <v>-174.0808360358281</v>
      </c>
      <c r="Z555">
        <f t="shared" si="458"/>
        <v>5.9191639641719007</v>
      </c>
      <c r="AC555">
        <v>1</v>
      </c>
      <c r="AD555">
        <f t="shared" si="442"/>
        <v>587.14883796769209</v>
      </c>
      <c r="AE555">
        <f t="shared" si="443"/>
        <v>-0.62900262357103165</v>
      </c>
      <c r="AF555">
        <f t="shared" si="444"/>
        <v>7.3918533461849997E-2</v>
      </c>
      <c r="AG555">
        <f t="shared" si="473"/>
        <v>106.63500039620207</v>
      </c>
      <c r="AH555">
        <f t="shared" si="474"/>
        <v>-920.92864706038222</v>
      </c>
      <c r="AJ555">
        <f t="shared" si="445"/>
        <v>21000</v>
      </c>
      <c r="AK555">
        <f t="shared" si="446"/>
        <v>11495.938877958151</v>
      </c>
      <c r="AL555">
        <v>1</v>
      </c>
      <c r="AM555">
        <f t="shared" si="447"/>
        <v>225.51687532735517</v>
      </c>
      <c r="AN555">
        <f t="shared" si="475"/>
        <v>51.387863596886461</v>
      </c>
      <c r="AO555">
        <f t="shared" si="476"/>
        <v>-92.891550160024991</v>
      </c>
      <c r="AQ555">
        <f t="shared" si="448"/>
        <v>8.5998565027943941E-4</v>
      </c>
      <c r="AR555">
        <f t="shared" si="449"/>
        <v>-2.9325510674528883</v>
      </c>
      <c r="AT555">
        <f t="shared" si="470"/>
        <v>-2700.5785824147101</v>
      </c>
      <c r="AU555">
        <f t="shared" si="471"/>
        <v>-313.50456966112472</v>
      </c>
      <c r="AV555">
        <f t="shared" si="459"/>
        <v>-3.0260220327199701</v>
      </c>
      <c r="AW555">
        <f t="shared" si="460"/>
        <v>-167.7199875988874</v>
      </c>
      <c r="AX555">
        <f t="shared" si="461"/>
        <v>-1202.7509809895648</v>
      </c>
      <c r="AY555">
        <f t="shared" si="469"/>
        <v>-1.70934983438668</v>
      </c>
      <c r="BA555">
        <f t="shared" si="450"/>
        <v>2.2387516702873329</v>
      </c>
      <c r="BB555">
        <f t="shared" si="462"/>
        <v>7.0001184575107258</v>
      </c>
      <c r="BC555">
        <f t="shared" si="463"/>
        <v>-1.3166721983332901</v>
      </c>
      <c r="BD555">
        <f t="shared" si="451"/>
        <v>-255.43976005291208</v>
      </c>
      <c r="BF555">
        <f t="shared" si="452"/>
        <v>-60.214615426958353</v>
      </c>
      <c r="BG555">
        <f t="shared" si="453"/>
        <v>-227.17401225550984</v>
      </c>
      <c r="BH555">
        <f t="shared" si="464"/>
        <v>-47.174012255509837</v>
      </c>
      <c r="BI555">
        <f t="shared" si="465"/>
        <v>-47.174012255509837</v>
      </c>
      <c r="BJ555">
        <f t="shared" si="454"/>
        <v>0</v>
      </c>
      <c r="BK555">
        <f t="shared" si="466"/>
        <v>0</v>
      </c>
      <c r="BM555">
        <f t="shared" si="467"/>
        <v>-67.214733884469069</v>
      </c>
      <c r="BN555">
        <f t="shared" si="455"/>
        <v>-151.73425220259779</v>
      </c>
      <c r="BQ555" s="66">
        <f t="shared" si="468"/>
        <v>23.902079257795865</v>
      </c>
    </row>
    <row r="556" spans="1:69" ht="13" x14ac:dyDescent="0.3">
      <c r="A556">
        <f t="shared" si="472"/>
        <v>1710000</v>
      </c>
      <c r="B556">
        <f t="shared" si="456"/>
        <v>1710</v>
      </c>
      <c r="C556">
        <f t="shared" si="425"/>
        <v>1.1351639095887049</v>
      </c>
      <c r="D556">
        <f t="shared" si="426"/>
        <v>0.49297245109831139</v>
      </c>
      <c r="F556">
        <f t="shared" si="427"/>
        <v>2.5459749567733913E-5</v>
      </c>
      <c r="G556">
        <f t="shared" si="428"/>
        <v>1.5730949713028864E-3</v>
      </c>
      <c r="H556">
        <f t="shared" si="429"/>
        <v>-3.1400195550286973</v>
      </c>
      <c r="J556">
        <f t="shared" si="430"/>
        <v>15</v>
      </c>
      <c r="M556">
        <f t="shared" si="431"/>
        <v>6.4232619904736217E-4</v>
      </c>
      <c r="N556">
        <f t="shared" si="432"/>
        <v>-1.5707963250000001</v>
      </c>
      <c r="O556">
        <f t="shared" si="433"/>
        <v>588.87153114954697</v>
      </c>
      <c r="P556">
        <f t="shared" si="434"/>
        <v>1.5690981627171139</v>
      </c>
      <c r="Q556">
        <f t="shared" si="435"/>
        <v>226.18042577304388</v>
      </c>
      <c r="R556">
        <f t="shared" si="436"/>
        <v>1.5663750633079345</v>
      </c>
      <c r="S556">
        <f t="shared" si="437"/>
        <v>0.87657433257426509</v>
      </c>
      <c r="T556">
        <f t="shared" si="438"/>
        <v>-0.50209896389351794</v>
      </c>
      <c r="U556">
        <f t="shared" si="439"/>
        <v>0.11637725016783905</v>
      </c>
      <c r="V556">
        <f t="shared" si="440"/>
        <v>-1.4541547668256625</v>
      </c>
      <c r="X556">
        <f t="shared" si="457"/>
        <v>-48.442159699793564</v>
      </c>
      <c r="Y556">
        <f t="shared" si="441"/>
        <v>-174.10032712306386</v>
      </c>
      <c r="Z556">
        <f t="shared" si="458"/>
        <v>5.8996728769361368</v>
      </c>
      <c r="AC556">
        <v>1</v>
      </c>
      <c r="AD556">
        <f t="shared" si="442"/>
        <v>588.87068206730407</v>
      </c>
      <c r="AE556">
        <f t="shared" si="443"/>
        <v>-0.63269719785143019</v>
      </c>
      <c r="AF556">
        <f t="shared" si="444"/>
        <v>7.4135303354699991E-2</v>
      </c>
      <c r="AG556">
        <f t="shared" si="473"/>
        <v>106.02074902740566</v>
      </c>
      <c r="AH556">
        <f t="shared" si="474"/>
        <v>-918.30784718078939</v>
      </c>
      <c r="AJ556">
        <f t="shared" si="445"/>
        <v>21000</v>
      </c>
      <c r="AK556">
        <f t="shared" si="446"/>
        <v>11529.651308685301</v>
      </c>
      <c r="AL556">
        <v>1</v>
      </c>
      <c r="AM556">
        <f t="shared" si="447"/>
        <v>226.17821513769931</v>
      </c>
      <c r="AN556">
        <f t="shared" si="475"/>
        <v>51.385458363813044</v>
      </c>
      <c r="AO556">
        <f t="shared" si="476"/>
        <v>-92.619948074497287</v>
      </c>
      <c r="AQ556">
        <f t="shared" si="448"/>
        <v>8.549638474262297E-4</v>
      </c>
      <c r="AR556">
        <f t="shared" si="449"/>
        <v>-2.9239763581977054</v>
      </c>
      <c r="AT556">
        <f t="shared" si="470"/>
        <v>-2685.0197907965639</v>
      </c>
      <c r="AU556">
        <f t="shared" si="471"/>
        <v>-310.7872836446939</v>
      </c>
      <c r="AV556">
        <f t="shared" si="459"/>
        <v>-3.0263568600458561</v>
      </c>
      <c r="AW556">
        <f t="shared" si="460"/>
        <v>-166.43886525855271</v>
      </c>
      <c r="AX556">
        <f t="shared" si="461"/>
        <v>-1199.2617179841886</v>
      </c>
      <c r="AY556">
        <f t="shared" si="469"/>
        <v>-1.7086998762459542</v>
      </c>
      <c r="BA556">
        <f t="shared" si="450"/>
        <v>2.2324449410386116</v>
      </c>
      <c r="BB556">
        <f t="shared" si="462"/>
        <v>6.9756151330887048</v>
      </c>
      <c r="BC556">
        <f t="shared" si="463"/>
        <v>-1.3176569837999019</v>
      </c>
      <c r="BD556">
        <f t="shared" si="451"/>
        <v>-255.49618410393924</v>
      </c>
      <c r="BF556">
        <f t="shared" si="452"/>
        <v>-60.284305635126145</v>
      </c>
      <c r="BG556">
        <f t="shared" si="453"/>
        <v>-227.16081150477982</v>
      </c>
      <c r="BH556">
        <f t="shared" si="464"/>
        <v>-47.160811504779815</v>
      </c>
      <c r="BI556">
        <f t="shared" si="465"/>
        <v>-47.160811504779815</v>
      </c>
      <c r="BJ556">
        <f t="shared" si="454"/>
        <v>0</v>
      </c>
      <c r="BK556">
        <f t="shared" si="466"/>
        <v>0</v>
      </c>
      <c r="BM556">
        <f t="shared" si="467"/>
        <v>-67.259920768214855</v>
      </c>
      <c r="BN556">
        <f t="shared" si="455"/>
        <v>-151.6646274008406</v>
      </c>
      <c r="BQ556" s="66">
        <f t="shared" si="468"/>
        <v>23.877575933373841</v>
      </c>
    </row>
    <row r="557" spans="1:69" ht="13" x14ac:dyDescent="0.3">
      <c r="A557">
        <f t="shared" si="472"/>
        <v>1715000</v>
      </c>
      <c r="B557">
        <f t="shared" si="456"/>
        <v>1715</v>
      </c>
      <c r="C557">
        <f t="shared" si="425"/>
        <v>1.1359081262947885</v>
      </c>
      <c r="D557">
        <f t="shared" si="426"/>
        <v>0.49419064999648915</v>
      </c>
      <c r="F557">
        <f t="shared" si="427"/>
        <v>2.531150901826588E-5</v>
      </c>
      <c r="G557">
        <f t="shared" si="428"/>
        <v>1.5685084615173549E-3</v>
      </c>
      <c r="H557">
        <f t="shared" si="429"/>
        <v>-3.1400241415384826</v>
      </c>
      <c r="J557">
        <f t="shared" si="430"/>
        <v>15</v>
      </c>
      <c r="M557">
        <f t="shared" si="431"/>
        <v>6.4045352791311332E-4</v>
      </c>
      <c r="N557">
        <f t="shared" si="432"/>
        <v>-1.5707963250000001</v>
      </c>
      <c r="O557">
        <f t="shared" si="433"/>
        <v>590.59337277370412</v>
      </c>
      <c r="P557">
        <f t="shared" si="434"/>
        <v>1.569103113623316</v>
      </c>
      <c r="Q557">
        <f t="shared" si="435"/>
        <v>226.84175913844973</v>
      </c>
      <c r="R557">
        <f t="shared" si="436"/>
        <v>1.566387953121702</v>
      </c>
      <c r="S557">
        <f t="shared" si="437"/>
        <v>0.87598041412798422</v>
      </c>
      <c r="T557">
        <f t="shared" si="438"/>
        <v>-0.50333165433387395</v>
      </c>
      <c r="U557">
        <f t="shared" si="439"/>
        <v>0.11604253334822545</v>
      </c>
      <c r="V557">
        <f t="shared" si="440"/>
        <v>-1.4544917669311419</v>
      </c>
      <c r="X557">
        <f t="shared" si="457"/>
        <v>-48.492734025678381</v>
      </c>
      <c r="Y557">
        <f t="shared" si="441"/>
        <v>-174.11970670072657</v>
      </c>
      <c r="Z557">
        <f t="shared" si="458"/>
        <v>5.8802932992734327</v>
      </c>
      <c r="AC557">
        <v>1</v>
      </c>
      <c r="AD557">
        <f t="shared" si="442"/>
        <v>590.59252616691606</v>
      </c>
      <c r="AE557">
        <f t="shared" si="443"/>
        <v>-0.63640259079736416</v>
      </c>
      <c r="AF557">
        <f t="shared" si="444"/>
        <v>7.4352073247550013E-2</v>
      </c>
      <c r="AG557">
        <f t="shared" si="473"/>
        <v>105.4117658239402</v>
      </c>
      <c r="AH557">
        <f t="shared" si="474"/>
        <v>-915.70171344380151</v>
      </c>
      <c r="AJ557">
        <f t="shared" si="445"/>
        <v>21000</v>
      </c>
      <c r="AK557">
        <f t="shared" si="446"/>
        <v>11563.363739412451</v>
      </c>
      <c r="AL557">
        <v>1</v>
      </c>
      <c r="AM557">
        <f t="shared" si="447"/>
        <v>226.83955494804343</v>
      </c>
      <c r="AN557">
        <f t="shared" si="475"/>
        <v>51.383074136537317</v>
      </c>
      <c r="AO557">
        <f t="shared" si="476"/>
        <v>-92.349929581997486</v>
      </c>
      <c r="AQ557">
        <f t="shared" si="448"/>
        <v>8.49985902983799E-4</v>
      </c>
      <c r="AR557">
        <f t="shared" si="449"/>
        <v>-2.9154516472344305</v>
      </c>
      <c r="AT557">
        <f t="shared" si="470"/>
        <v>-2669.5944703201626</v>
      </c>
      <c r="AU557">
        <f t="shared" si="471"/>
        <v>-308.10123985706184</v>
      </c>
      <c r="AV557">
        <f t="shared" si="459"/>
        <v>-3.026689761716375</v>
      </c>
      <c r="AW557">
        <f t="shared" si="460"/>
        <v>-165.16897825697581</v>
      </c>
      <c r="AX557">
        <f t="shared" si="461"/>
        <v>-1195.7925660819499</v>
      </c>
      <c r="AY557">
        <f t="shared" si="469"/>
        <v>-1.708052947063714</v>
      </c>
      <c r="BA557">
        <f t="shared" si="450"/>
        <v>2.2261727928431529</v>
      </c>
      <c r="BB557">
        <f t="shared" si="462"/>
        <v>6.9511774144018732</v>
      </c>
      <c r="BC557">
        <f t="shared" si="463"/>
        <v>-1.318636814652661</v>
      </c>
      <c r="BD557">
        <f t="shared" si="451"/>
        <v>-255.55232427650319</v>
      </c>
      <c r="BF557">
        <f t="shared" si="452"/>
        <v>-60.353772521617458</v>
      </c>
      <c r="BG557">
        <f t="shared" si="453"/>
        <v>-227.14741680944462</v>
      </c>
      <c r="BH557">
        <f t="shared" si="464"/>
        <v>-47.147416809444621</v>
      </c>
      <c r="BI557">
        <f t="shared" si="465"/>
        <v>-47.147416809444621</v>
      </c>
      <c r="BJ557">
        <f t="shared" si="454"/>
        <v>0</v>
      </c>
      <c r="BK557">
        <f t="shared" si="466"/>
        <v>0</v>
      </c>
      <c r="BM557">
        <f t="shared" si="467"/>
        <v>-67.304949936019341</v>
      </c>
      <c r="BN557">
        <f t="shared" si="455"/>
        <v>-151.59509253294146</v>
      </c>
      <c r="BQ557" s="66">
        <f t="shared" si="468"/>
        <v>23.853138214687011</v>
      </c>
    </row>
    <row r="558" spans="1:69" ht="13" x14ac:dyDescent="0.3">
      <c r="A558">
        <f t="shared" si="472"/>
        <v>1720000</v>
      </c>
      <c r="B558">
        <f t="shared" si="456"/>
        <v>1720</v>
      </c>
      <c r="C558">
        <f t="shared" si="425"/>
        <v>1.1366540264893934</v>
      </c>
      <c r="D558">
        <f t="shared" si="426"/>
        <v>0.49540725187427154</v>
      </c>
      <c r="F558">
        <f t="shared" si="427"/>
        <v>2.5164559425969065E-5</v>
      </c>
      <c r="G558">
        <f t="shared" si="428"/>
        <v>1.5639486194580891E-3</v>
      </c>
      <c r="H558">
        <f t="shared" si="429"/>
        <v>-3.1400287013805421</v>
      </c>
      <c r="J558">
        <f t="shared" si="430"/>
        <v>15</v>
      </c>
      <c r="M558">
        <f t="shared" si="431"/>
        <v>6.3859174440173804E-4</v>
      </c>
      <c r="N558">
        <f t="shared" si="432"/>
        <v>-1.5707963250000001</v>
      </c>
      <c r="O558">
        <f t="shared" si="433"/>
        <v>592.31521441225334</v>
      </c>
      <c r="P558">
        <f t="shared" si="434"/>
        <v>1.569108035745262</v>
      </c>
      <c r="Q558">
        <f t="shared" si="435"/>
        <v>227.5030925413256</v>
      </c>
      <c r="R558">
        <f t="shared" si="436"/>
        <v>1.566400767996144</v>
      </c>
      <c r="S558">
        <f t="shared" si="437"/>
        <v>0.87538597247994965</v>
      </c>
      <c r="T558">
        <f t="shared" si="438"/>
        <v>-0.50456267363144847</v>
      </c>
      <c r="U558">
        <f t="shared" si="439"/>
        <v>0.11570972336094075</v>
      </c>
      <c r="V558">
        <f t="shared" si="440"/>
        <v>-1.4548268340418784</v>
      </c>
      <c r="X558">
        <f t="shared" si="457"/>
        <v>-48.543163681353093</v>
      </c>
      <c r="Y558">
        <f t="shared" si="441"/>
        <v>-174.13897569402403</v>
      </c>
      <c r="Z558">
        <f t="shared" si="458"/>
        <v>5.8610243059759739</v>
      </c>
      <c r="AC558">
        <v>1</v>
      </c>
      <c r="AD558">
        <f t="shared" si="442"/>
        <v>592.31437026652804</v>
      </c>
      <c r="AE558">
        <f t="shared" si="443"/>
        <v>-0.64011880240883379</v>
      </c>
      <c r="AF558">
        <f t="shared" si="444"/>
        <v>7.4568843140400007E-2</v>
      </c>
      <c r="AG558">
        <f t="shared" si="473"/>
        <v>104.80799098866794</v>
      </c>
      <c r="AH558">
        <f t="shared" si="474"/>
        <v>-913.1101249129116</v>
      </c>
      <c r="AJ558">
        <f t="shared" si="445"/>
        <v>21000</v>
      </c>
      <c r="AK558">
        <f t="shared" si="446"/>
        <v>11597.0761701396</v>
      </c>
      <c r="AL558">
        <v>1</v>
      </c>
      <c r="AM558">
        <f t="shared" si="447"/>
        <v>227.50089475838763</v>
      </c>
      <c r="AN558">
        <f t="shared" si="475"/>
        <v>51.380710671169048</v>
      </c>
      <c r="AO558">
        <f t="shared" si="476"/>
        <v>-92.0814808731933</v>
      </c>
      <c r="AQ558">
        <f t="shared" si="448"/>
        <v>8.4505130771267347E-4</v>
      </c>
      <c r="AR558">
        <f t="shared" si="449"/>
        <v>-2.9069764985315967</v>
      </c>
      <c r="AT558">
        <f t="shared" si="470"/>
        <v>-2654.301105563241</v>
      </c>
      <c r="AU558">
        <f t="shared" si="471"/>
        <v>-305.44599156751235</v>
      </c>
      <c r="AV558">
        <f t="shared" si="459"/>
        <v>-3.0270207542201795</v>
      </c>
      <c r="AW558">
        <f t="shared" si="460"/>
        <v>-163.91019547929355</v>
      </c>
      <c r="AX558">
        <f t="shared" si="461"/>
        <v>-1192.3433525319704</v>
      </c>
      <c r="AY558">
        <f t="shared" si="469"/>
        <v>-1.7074090208749158</v>
      </c>
      <c r="BA558">
        <f t="shared" si="450"/>
        <v>2.219934948647003</v>
      </c>
      <c r="BB558">
        <f t="shared" si="462"/>
        <v>6.9268049677733785</v>
      </c>
      <c r="BC558">
        <f t="shared" si="463"/>
        <v>-1.3196117333452637</v>
      </c>
      <c r="BD558">
        <f t="shared" si="451"/>
        <v>-255.60818300302157</v>
      </c>
      <c r="BF558">
        <f t="shared" si="452"/>
        <v>-60.423017330797748</v>
      </c>
      <c r="BG558">
        <f t="shared" si="453"/>
        <v>-227.13383064264431</v>
      </c>
      <c r="BH558">
        <f t="shared" si="464"/>
        <v>-47.133830642644313</v>
      </c>
      <c r="BI558">
        <f t="shared" si="465"/>
        <v>-47.133830642644313</v>
      </c>
      <c r="BJ558">
        <f t="shared" si="454"/>
        <v>0</v>
      </c>
      <c r="BK558">
        <f t="shared" si="466"/>
        <v>0</v>
      </c>
      <c r="BM558">
        <f t="shared" si="467"/>
        <v>-67.349822298571127</v>
      </c>
      <c r="BN558">
        <f t="shared" si="455"/>
        <v>-151.52564763962275</v>
      </c>
      <c r="BQ558" s="66">
        <f t="shared" si="468"/>
        <v>23.828765768058517</v>
      </c>
    </row>
    <row r="559" spans="1:69" ht="13" x14ac:dyDescent="0.3">
      <c r="A559">
        <f t="shared" si="472"/>
        <v>1725000</v>
      </c>
      <c r="B559">
        <f t="shared" si="456"/>
        <v>1725</v>
      </c>
      <c r="C559">
        <f t="shared" si="425"/>
        <v>1.1374016068604587</v>
      </c>
      <c r="D559">
        <f t="shared" si="426"/>
        <v>0.4966222562757146</v>
      </c>
      <c r="F559">
        <f t="shared" si="427"/>
        <v>2.5018885844337079E-5</v>
      </c>
      <c r="G559">
        <f t="shared" si="428"/>
        <v>1.5594152132090565E-3</v>
      </c>
      <c r="H559">
        <f t="shared" si="429"/>
        <v>-3.1400332347867912</v>
      </c>
      <c r="J559">
        <f t="shared" si="430"/>
        <v>15</v>
      </c>
      <c r="M559">
        <f t="shared" si="431"/>
        <v>6.3674075383825474E-4</v>
      </c>
      <c r="N559">
        <f t="shared" si="432"/>
        <v>-1.5707963250000001</v>
      </c>
      <c r="O559">
        <f t="shared" si="433"/>
        <v>594.03705606506958</v>
      </c>
      <c r="P559">
        <f t="shared" si="434"/>
        <v>1.5691129293332489</v>
      </c>
      <c r="Q559">
        <f t="shared" si="435"/>
        <v>228.16442598134572</v>
      </c>
      <c r="R559">
        <f t="shared" si="436"/>
        <v>1.5664135085828899</v>
      </c>
      <c r="S559">
        <f t="shared" si="437"/>
        <v>0.87479101409399385</v>
      </c>
      <c r="T559">
        <f t="shared" si="438"/>
        <v>-0.50579202145885216</v>
      </c>
      <c r="U559">
        <f t="shared" si="439"/>
        <v>0.11537880406975141</v>
      </c>
      <c r="V559">
        <f t="shared" si="440"/>
        <v>-1.455159984666879</v>
      </c>
      <c r="X559">
        <f t="shared" si="457"/>
        <v>-48.593449487938436</v>
      </c>
      <c r="Y559">
        <f t="shared" si="441"/>
        <v>-174.15813501782938</v>
      </c>
      <c r="Z559">
        <f t="shared" si="458"/>
        <v>5.8418649821706197</v>
      </c>
      <c r="AC559">
        <v>1</v>
      </c>
      <c r="AD559">
        <f t="shared" si="442"/>
        <v>594.03621436614003</v>
      </c>
      <c r="AE559">
        <f t="shared" si="443"/>
        <v>-0.64384583268583906</v>
      </c>
      <c r="AF559">
        <f t="shared" si="444"/>
        <v>7.4785613033250001E-2</v>
      </c>
      <c r="AG559">
        <f t="shared" si="473"/>
        <v>104.20936556654861</v>
      </c>
      <c r="AH559">
        <f t="shared" si="474"/>
        <v>-910.53296195596192</v>
      </c>
      <c r="AJ559">
        <f t="shared" si="445"/>
        <v>21000</v>
      </c>
      <c r="AK559">
        <f t="shared" si="446"/>
        <v>11630.788600866752</v>
      </c>
      <c r="AL559">
        <v>1</v>
      </c>
      <c r="AM559">
        <f t="shared" si="447"/>
        <v>228.16223456873175</v>
      </c>
      <c r="AN559">
        <f t="shared" si="475"/>
        <v>51.37836772734741</v>
      </c>
      <c r="AO559">
        <f t="shared" si="476"/>
        <v>-91.814588298845194</v>
      </c>
      <c r="AQ559">
        <f t="shared" si="448"/>
        <v>8.4015955974294811E-4</v>
      </c>
      <c r="AR559">
        <f t="shared" si="449"/>
        <v>-2.8985504811131713</v>
      </c>
      <c r="AT559">
        <f t="shared" si="470"/>
        <v>-2639.138202452159</v>
      </c>
      <c r="AU559">
        <f t="shared" si="471"/>
        <v>-302.82109967186614</v>
      </c>
      <c r="AV559">
        <f t="shared" si="459"/>
        <v>-3.0273498538590773</v>
      </c>
      <c r="AW559">
        <f t="shared" si="460"/>
        <v>-162.66238771932132</v>
      </c>
      <c r="AX559">
        <f t="shared" si="461"/>
        <v>-1188.9139065495497</v>
      </c>
      <c r="AY559">
        <f t="shared" si="469"/>
        <v>-1.706768072009055</v>
      </c>
      <c r="BA559">
        <f t="shared" si="450"/>
        <v>2.2137311342625656</v>
      </c>
      <c r="BB559">
        <f t="shared" si="462"/>
        <v>6.9024974618681965</v>
      </c>
      <c r="BC559">
        <f t="shared" si="463"/>
        <v>-1.3205817818500223</v>
      </c>
      <c r="BD559">
        <f t="shared" si="451"/>
        <v>-255.66376268833071</v>
      </c>
      <c r="BF559">
        <f t="shared" si="452"/>
        <v>-60.492041297082892</v>
      </c>
      <c r="BG559">
        <f t="shared" si="453"/>
        <v>-227.12005544862657</v>
      </c>
      <c r="BH559">
        <f t="shared" si="464"/>
        <v>-47.120055448626573</v>
      </c>
      <c r="BI559">
        <f t="shared" si="465"/>
        <v>-47.120055448626573</v>
      </c>
      <c r="BJ559">
        <f t="shared" si="454"/>
        <v>0</v>
      </c>
      <c r="BK559">
        <f t="shared" si="466"/>
        <v>0</v>
      </c>
      <c r="BM559">
        <f t="shared" si="467"/>
        <v>-67.394538758951086</v>
      </c>
      <c r="BN559">
        <f t="shared" si="455"/>
        <v>-151.45629276029587</v>
      </c>
      <c r="BQ559" s="66">
        <f t="shared" si="468"/>
        <v>23.804458262153332</v>
      </c>
    </row>
    <row r="560" spans="1:69" ht="13" x14ac:dyDescent="0.3">
      <c r="A560">
        <f t="shared" si="472"/>
        <v>1730000</v>
      </c>
      <c r="B560">
        <f t="shared" si="456"/>
        <v>1730</v>
      </c>
      <c r="C560">
        <f t="shared" si="425"/>
        <v>1.1381508640971745</v>
      </c>
      <c r="D560">
        <f t="shared" si="426"/>
        <v>0.49783566276493685</v>
      </c>
      <c r="F560">
        <f t="shared" si="427"/>
        <v>2.4874473542551315E-5</v>
      </c>
      <c r="G560">
        <f t="shared" si="428"/>
        <v>1.5549080135356605E-3</v>
      </c>
      <c r="H560">
        <f t="shared" si="429"/>
        <v>-3.1400377419864647</v>
      </c>
      <c r="J560">
        <f t="shared" si="430"/>
        <v>15</v>
      </c>
      <c r="M560">
        <f t="shared" si="431"/>
        <v>6.3490046264219049E-4</v>
      </c>
      <c r="N560">
        <f t="shared" si="432"/>
        <v>-1.5707963250000001</v>
      </c>
      <c r="O560">
        <f t="shared" si="433"/>
        <v>595.75889773202914</v>
      </c>
      <c r="P560">
        <f t="shared" si="434"/>
        <v>1.5691177946346797</v>
      </c>
      <c r="Q560">
        <f t="shared" si="435"/>
        <v>228.82575945818795</v>
      </c>
      <c r="R560">
        <f t="shared" si="436"/>
        <v>1.5664261755260365</v>
      </c>
      <c r="S560">
        <f t="shared" si="437"/>
        <v>0.87419554541244637</v>
      </c>
      <c r="T560">
        <f t="shared" si="438"/>
        <v>-0.5070196975097927</v>
      </c>
      <c r="U560">
        <f t="shared" si="439"/>
        <v>0.11504975951869624</v>
      </c>
      <c r="V560">
        <f t="shared" si="440"/>
        <v>-1.4554912351285383</v>
      </c>
      <c r="X560">
        <f t="shared" si="457"/>
        <v>-48.643592259602883</v>
      </c>
      <c r="Y560">
        <f t="shared" si="441"/>
        <v>-174.17718557682696</v>
      </c>
      <c r="Z560">
        <f t="shared" si="458"/>
        <v>5.8228144231730425</v>
      </c>
      <c r="AC560">
        <v>1</v>
      </c>
      <c r="AD560">
        <f t="shared" si="442"/>
        <v>595.75805846575201</v>
      </c>
      <c r="AE560">
        <f t="shared" si="443"/>
        <v>-0.64758368162837976</v>
      </c>
      <c r="AF560">
        <f t="shared" si="444"/>
        <v>7.5002382926100009E-2</v>
      </c>
      <c r="AG560">
        <f t="shared" si="473"/>
        <v>103.6158314305157</v>
      </c>
      <c r="AH560">
        <f t="shared" si="474"/>
        <v>-907.97010622793039</v>
      </c>
      <c r="AJ560">
        <f t="shared" si="445"/>
        <v>21000</v>
      </c>
      <c r="AK560">
        <f t="shared" si="446"/>
        <v>11664.5010315939</v>
      </c>
      <c r="AL560">
        <v>1</v>
      </c>
      <c r="AM560">
        <f t="shared" si="447"/>
        <v>228.82357437907589</v>
      </c>
      <c r="AN560">
        <f t="shared" si="475"/>
        <v>51.376045068179785</v>
      </c>
      <c r="AO560">
        <f t="shared" si="476"/>
        <v>-91.54923836749316</v>
      </c>
      <c r="AQ560">
        <f t="shared" si="448"/>
        <v>8.3531016444667679E-4</v>
      </c>
      <c r="AR560">
        <f t="shared" si="449"/>
        <v>-2.8901731689855015</v>
      </c>
      <c r="AT560">
        <f t="shared" si="470"/>
        <v>-2624.1042879036881</v>
      </c>
      <c r="AU560">
        <f t="shared" si="471"/>
        <v>-300.226132541347</v>
      </c>
      <c r="AV560">
        <f t="shared" si="459"/>
        <v>-3.0276770767506584</v>
      </c>
      <c r="AW560">
        <f t="shared" si="460"/>
        <v>-161.42542764628195</v>
      </c>
      <c r="AX560">
        <f t="shared" si="461"/>
        <v>-1185.5040592883586</v>
      </c>
      <c r="AY560">
        <f t="shared" si="469"/>
        <v>-1.7061300750860302</v>
      </c>
      <c r="BA560">
        <f t="shared" si="450"/>
        <v>2.2075610783329971</v>
      </c>
      <c r="BB560">
        <f t="shared" si="462"/>
        <v>6.8782545676741034</v>
      </c>
      <c r="BC560">
        <f t="shared" si="463"/>
        <v>-1.3215470016646282</v>
      </c>
      <c r="BD560">
        <f t="shared" si="451"/>
        <v>-255.71906571007321</v>
      </c>
      <c r="BF560">
        <f t="shared" si="452"/>
        <v>-60.5608456450448</v>
      </c>
      <c r="BG560">
        <f t="shared" si="453"/>
        <v>-227.10609364314243</v>
      </c>
      <c r="BH560">
        <f t="shared" si="464"/>
        <v>-47.10609364314243</v>
      </c>
      <c r="BI560">
        <f t="shared" si="465"/>
        <v>-47.10609364314243</v>
      </c>
      <c r="BJ560">
        <f t="shared" si="454"/>
        <v>0</v>
      </c>
      <c r="BK560">
        <f t="shared" si="466"/>
        <v>0</v>
      </c>
      <c r="BM560">
        <f t="shared" si="467"/>
        <v>-67.439100212718898</v>
      </c>
      <c r="BN560">
        <f t="shared" si="455"/>
        <v>-151.38702793306922</v>
      </c>
      <c r="BQ560" s="66">
        <f t="shared" si="468"/>
        <v>23.78021536795924</v>
      </c>
    </row>
    <row r="561" spans="1:69" ht="13" x14ac:dyDescent="0.3">
      <c r="A561">
        <f t="shared" si="472"/>
        <v>1735000</v>
      </c>
      <c r="B561">
        <f t="shared" si="456"/>
        <v>1735</v>
      </c>
      <c r="C561">
        <f t="shared" si="425"/>
        <v>1.1389017948900273</v>
      </c>
      <c r="D561">
        <f t="shared" si="426"/>
        <v>0.49904747092602414</v>
      </c>
      <c r="F561">
        <f t="shared" si="427"/>
        <v>2.4731308001756577E-5</v>
      </c>
      <c r="G561">
        <f t="shared" si="428"/>
        <v>1.5504267938460999E-3</v>
      </c>
      <c r="H561">
        <f t="shared" si="429"/>
        <v>-3.1400422232061542</v>
      </c>
      <c r="J561">
        <f t="shared" si="430"/>
        <v>15</v>
      </c>
      <c r="M561">
        <f t="shared" si="431"/>
        <v>6.3307077831180954E-4</v>
      </c>
      <c r="N561">
        <f t="shared" si="432"/>
        <v>-1.5707963250000001</v>
      </c>
      <c r="O561">
        <f t="shared" si="433"/>
        <v>597.48073941300981</v>
      </c>
      <c r="P561">
        <f t="shared" si="434"/>
        <v>1.5691226318941065</v>
      </c>
      <c r="Q561">
        <f t="shared" si="435"/>
        <v>229.48709297153403</v>
      </c>
      <c r="R561">
        <f t="shared" si="436"/>
        <v>1.5664387694622552</v>
      </c>
      <c r="S561">
        <f t="shared" si="437"/>
        <v>0.87359957285606182</v>
      </c>
      <c r="T561">
        <f t="shared" si="438"/>
        <v>-0.50824570149896808</v>
      </c>
      <c r="U561">
        <f t="shared" si="439"/>
        <v>0.11472257392959422</v>
      </c>
      <c r="V561">
        <f t="shared" si="440"/>
        <v>-1.4558206015652544</v>
      </c>
      <c r="X561">
        <f t="shared" si="457"/>
        <v>-48.693592803640541</v>
      </c>
      <c r="Y561">
        <f t="shared" si="441"/>
        <v>-174.19612826565481</v>
      </c>
      <c r="Z561">
        <f t="shared" si="458"/>
        <v>5.8038717343451935</v>
      </c>
      <c r="AC561">
        <v>1</v>
      </c>
      <c r="AD561">
        <f t="shared" si="442"/>
        <v>597.47990256536411</v>
      </c>
      <c r="AE561">
        <f t="shared" si="443"/>
        <v>-0.65133234923645611</v>
      </c>
      <c r="AF561">
        <f t="shared" si="444"/>
        <v>7.5219152818950002E-2</v>
      </c>
      <c r="AG561">
        <f t="shared" si="473"/>
        <v>103.02733126762671</v>
      </c>
      <c r="AH561">
        <f t="shared" si="474"/>
        <v>-905.42144065398406</v>
      </c>
      <c r="AJ561">
        <f t="shared" si="445"/>
        <v>21000</v>
      </c>
      <c r="AK561">
        <f t="shared" si="446"/>
        <v>11698.213462321051</v>
      </c>
      <c r="AL561">
        <v>1</v>
      </c>
      <c r="AM561">
        <f t="shared" si="447"/>
        <v>229.48491418942004</v>
      </c>
      <c r="AN561">
        <f t="shared" si="475"/>
        <v>51.373742460182008</v>
      </c>
      <c r="AO561">
        <f t="shared" si="476"/>
        <v>-91.285417743183459</v>
      </c>
      <c r="AQ561">
        <f t="shared" si="448"/>
        <v>8.3050263431283088E-4</v>
      </c>
      <c r="AR561">
        <f t="shared" si="449"/>
        <v>-2.8818441410655233</v>
      </c>
      <c r="AT561">
        <f t="shared" si="470"/>
        <v>-2609.1979094737653</v>
      </c>
      <c r="AU561">
        <f t="shared" si="471"/>
        <v>-297.66066587485324</v>
      </c>
      <c r="AV561">
        <f t="shared" si="459"/>
        <v>-3.0280024388308786</v>
      </c>
      <c r="AW561">
        <f t="shared" si="460"/>
        <v>-160.19918977220959</v>
      </c>
      <c r="AX561">
        <f t="shared" si="461"/>
        <v>-1182.1136438131059</v>
      </c>
      <c r="AY561">
        <f t="shared" si="469"/>
        <v>-1.7054950050120721</v>
      </c>
      <c r="BA561">
        <f t="shared" si="450"/>
        <v>2.2014245122970939</v>
      </c>
      <c r="BB561">
        <f t="shared" si="462"/>
        <v>6.8540759584827429</v>
      </c>
      <c r="BC561">
        <f t="shared" si="463"/>
        <v>-1.3225074338188065</v>
      </c>
      <c r="BD561">
        <f t="shared" si="451"/>
        <v>-255.77409441907918</v>
      </c>
      <c r="BF561">
        <f t="shared" si="452"/>
        <v>-60.629431589515718</v>
      </c>
      <c r="BG561">
        <f t="shared" si="453"/>
        <v>-227.09194761383483</v>
      </c>
      <c r="BH561">
        <f t="shared" si="464"/>
        <v>-47.091947613834833</v>
      </c>
      <c r="BI561">
        <f t="shared" si="465"/>
        <v>-47.091947613834833</v>
      </c>
      <c r="BJ561">
        <f t="shared" si="454"/>
        <v>0</v>
      </c>
      <c r="BK561">
        <f t="shared" si="466"/>
        <v>0</v>
      </c>
      <c r="BM561">
        <f t="shared" si="467"/>
        <v>-67.483507547998457</v>
      </c>
      <c r="BN561">
        <f t="shared" si="455"/>
        <v>-151.31785319475566</v>
      </c>
      <c r="BQ561" s="66">
        <f t="shared" si="468"/>
        <v>23.756036758767877</v>
      </c>
    </row>
    <row r="562" spans="1:69" ht="13" x14ac:dyDescent="0.3">
      <c r="A562">
        <f t="shared" si="472"/>
        <v>1740000</v>
      </c>
      <c r="B562">
        <f t="shared" si="456"/>
        <v>1740</v>
      </c>
      <c r="C562">
        <f t="shared" si="425"/>
        <v>1.1396543959308436</v>
      </c>
      <c r="D562">
        <f t="shared" si="426"/>
        <v>0.50025768036293405</v>
      </c>
      <c r="F562">
        <f t="shared" si="427"/>
        <v>2.4589374911411677E-5</v>
      </c>
      <c r="G562">
        <f t="shared" si="428"/>
        <v>1.5459713301533913E-3</v>
      </c>
      <c r="H562">
        <f t="shared" si="429"/>
        <v>-3.1400466786698469</v>
      </c>
      <c r="J562">
        <f t="shared" si="430"/>
        <v>15</v>
      </c>
      <c r="M562">
        <f t="shared" si="431"/>
        <v>6.3125160940861471E-4</v>
      </c>
      <c r="N562">
        <f t="shared" si="432"/>
        <v>-1.5707963250000001</v>
      </c>
      <c r="O562">
        <f t="shared" si="433"/>
        <v>599.20258110789041</v>
      </c>
      <c r="P562">
        <f t="shared" si="434"/>
        <v>1.5691274413532692</v>
      </c>
      <c r="Q562">
        <f t="shared" si="435"/>
        <v>230.14842652106921</v>
      </c>
      <c r="R562">
        <f t="shared" si="436"/>
        <v>1.5664512910209007</v>
      </c>
      <c r="S562">
        <f t="shared" si="437"/>
        <v>0.87300310282395044</v>
      </c>
      <c r="T562">
        <f t="shared" si="438"/>
        <v>-0.50947003316195849</v>
      </c>
      <c r="U562">
        <f t="shared" si="439"/>
        <v>0.1143972316995933</v>
      </c>
      <c r="V562">
        <f t="shared" si="440"/>
        <v>-1.4561480999340037</v>
      </c>
      <c r="X562">
        <f t="shared" si="457"/>
        <v>-48.743451920547827</v>
      </c>
      <c r="Y562">
        <f t="shared" si="441"/>
        <v>-174.21496396904507</v>
      </c>
      <c r="Z562">
        <f t="shared" si="458"/>
        <v>5.7850360309549274</v>
      </c>
      <c r="AC562">
        <v>1</v>
      </c>
      <c r="AD562">
        <f t="shared" si="442"/>
        <v>599.2017466649761</v>
      </c>
      <c r="AE562">
        <f t="shared" si="443"/>
        <v>-0.65509183551006811</v>
      </c>
      <c r="AF562">
        <f t="shared" si="444"/>
        <v>7.5435922711799996E-2</v>
      </c>
      <c r="AG562">
        <f t="shared" si="473"/>
        <v>102.44380856548244</v>
      </c>
      <c r="AH562">
        <f t="shared" si="474"/>
        <v>-902.88684941279121</v>
      </c>
      <c r="AJ562">
        <f t="shared" si="445"/>
        <v>21000</v>
      </c>
      <c r="AK562">
        <f t="shared" si="446"/>
        <v>11731.925893048201</v>
      </c>
      <c r="AL562">
        <v>1</v>
      </c>
      <c r="AM562">
        <f t="shared" si="447"/>
        <v>230.14625399976421</v>
      </c>
      <c r="AN562">
        <f t="shared" si="475"/>
        <v>51.371459673219569</v>
      </c>
      <c r="AO562">
        <f t="shared" si="476"/>
        <v>-91.023113243234647</v>
      </c>
      <c r="AQ562">
        <f t="shared" si="448"/>
        <v>8.2573648882477133E-4</v>
      </c>
      <c r="AR562">
        <f t="shared" si="449"/>
        <v>-2.8735629811102044</v>
      </c>
      <c r="AT562">
        <f t="shared" si="470"/>
        <v>-2594.4176350130338</v>
      </c>
      <c r="AU562">
        <f t="shared" si="471"/>
        <v>-295.12428255455097</v>
      </c>
      <c r="AV562">
        <f t="shared" si="459"/>
        <v>-3.028325955856598</v>
      </c>
      <c r="AW562">
        <f t="shared" si="460"/>
        <v>-158.98355042001279</v>
      </c>
      <c r="AX562">
        <f t="shared" si="461"/>
        <v>-1178.742495072659</v>
      </c>
      <c r="AY562">
        <f t="shared" si="469"/>
        <v>-1.7048628369757433</v>
      </c>
      <c r="BA562">
        <f t="shared" si="450"/>
        <v>2.1953211703546778</v>
      </c>
      <c r="BB562">
        <f t="shared" si="462"/>
        <v>6.8299613098708409</v>
      </c>
      <c r="BC562">
        <f t="shared" si="463"/>
        <v>-1.3234631188808548</v>
      </c>
      <c r="BD562">
        <f t="shared" si="451"/>
        <v>-255.82885113974081</v>
      </c>
      <c r="BF562">
        <f t="shared" si="452"/>
        <v>-60.697800335691021</v>
      </c>
      <c r="BG562">
        <f t="shared" si="453"/>
        <v>-227.07761972062104</v>
      </c>
      <c r="BH562">
        <f t="shared" si="464"/>
        <v>-47.077619720621044</v>
      </c>
      <c r="BI562">
        <f t="shared" si="465"/>
        <v>-47.077619720621044</v>
      </c>
      <c r="BJ562">
        <f t="shared" si="454"/>
        <v>0</v>
      </c>
      <c r="BK562">
        <f t="shared" si="466"/>
        <v>0</v>
      </c>
      <c r="BM562">
        <f t="shared" si="467"/>
        <v>-67.527761645561867</v>
      </c>
      <c r="BN562">
        <f t="shared" si="455"/>
        <v>-151.24876858088024</v>
      </c>
      <c r="BQ562" s="66">
        <f t="shared" si="468"/>
        <v>23.731922110155978</v>
      </c>
    </row>
    <row r="563" spans="1:69" ht="13" x14ac:dyDescent="0.3">
      <c r="A563">
        <f t="shared" si="472"/>
        <v>1745000</v>
      </c>
      <c r="B563">
        <f t="shared" si="456"/>
        <v>1745</v>
      </c>
      <c r="C563">
        <f t="shared" si="425"/>
        <v>1.1404086639128341</v>
      </c>
      <c r="D563">
        <f t="shared" si="426"/>
        <v>0.50146629069940052</v>
      </c>
      <c r="F563">
        <f t="shared" si="427"/>
        <v>2.4448660165712996E-5</v>
      </c>
      <c r="G563">
        <f t="shared" si="428"/>
        <v>1.5415414010380454E-3</v>
      </c>
      <c r="H563">
        <f t="shared" si="429"/>
        <v>-3.140051108598962</v>
      </c>
      <c r="J563">
        <f t="shared" si="430"/>
        <v>15</v>
      </c>
      <c r="M563">
        <f t="shared" si="431"/>
        <v>6.2944286554211435E-4</v>
      </c>
      <c r="N563">
        <f t="shared" si="432"/>
        <v>-1.5707963250000001</v>
      </c>
      <c r="O563">
        <f t="shared" si="433"/>
        <v>600.92442281655201</v>
      </c>
      <c r="P563">
        <f t="shared" si="434"/>
        <v>1.5691322232511378</v>
      </c>
      <c r="Q563">
        <f t="shared" si="435"/>
        <v>230.80976010648246</v>
      </c>
      <c r="R563">
        <f t="shared" si="436"/>
        <v>1.566463740824114</v>
      </c>
      <c r="S563">
        <f t="shared" si="437"/>
        <v>0.87240614169350872</v>
      </c>
      <c r="T563">
        <f t="shared" si="438"/>
        <v>-0.5106926922551196</v>
      </c>
      <c r="U563">
        <f t="shared" si="439"/>
        <v>0.11407371739875949</v>
      </c>
      <c r="V563">
        <f t="shared" si="440"/>
        <v>-1.4564737460128712</v>
      </c>
      <c r="X563">
        <f t="shared" si="457"/>
        <v>-48.793170404099115</v>
      </c>
      <c r="Y563">
        <f t="shared" si="441"/>
        <v>-174.23369356196258</v>
      </c>
      <c r="Z563">
        <f t="shared" si="458"/>
        <v>5.766306438037418</v>
      </c>
      <c r="AC563">
        <v>1</v>
      </c>
      <c r="AD563">
        <f t="shared" si="442"/>
        <v>600.92359076458808</v>
      </c>
      <c r="AE563">
        <f t="shared" si="443"/>
        <v>-0.65886214044921554</v>
      </c>
      <c r="AF563">
        <f t="shared" si="444"/>
        <v>7.5652692604650004E-2</v>
      </c>
      <c r="AG563">
        <f t="shared" si="473"/>
        <v>101.86520759890813</v>
      </c>
      <c r="AH563">
        <f t="shared" si="474"/>
        <v>-900.36621792009555</v>
      </c>
      <c r="AJ563">
        <f t="shared" si="445"/>
        <v>21000</v>
      </c>
      <c r="AK563">
        <f t="shared" si="446"/>
        <v>11765.638323775351</v>
      </c>
      <c r="AL563">
        <v>1</v>
      </c>
      <c r="AM563">
        <f t="shared" si="447"/>
        <v>230.80759381010836</v>
      </c>
      <c r="AN563">
        <f t="shared" si="475"/>
        <v>51.369196480450185</v>
      </c>
      <c r="AO563">
        <f t="shared" si="476"/>
        <v>-90.762311836041903</v>
      </c>
      <c r="AQ563">
        <f t="shared" si="448"/>
        <v>8.2101125434017334E-4</v>
      </c>
      <c r="AR563">
        <f t="shared" si="449"/>
        <v>-2.8653292776472052</v>
      </c>
      <c r="AT563">
        <f t="shared" si="470"/>
        <v>-2579.7620523290693</v>
      </c>
      <c r="AU563">
        <f t="shared" si="471"/>
        <v>-292.61657250470211</v>
      </c>
      <c r="AV563">
        <f t="shared" si="459"/>
        <v>-3.0286476434080787</v>
      </c>
      <c r="AW563">
        <f t="shared" si="460"/>
        <v>-157.77838769218195</v>
      </c>
      <c r="AX563">
        <f t="shared" si="461"/>
        <v>-1175.3904498736256</v>
      </c>
      <c r="AY563">
        <f t="shared" si="469"/>
        <v>-1.7042335464440024</v>
      </c>
      <c r="BA563">
        <f t="shared" si="450"/>
        <v>2.1892507894324691</v>
      </c>
      <c r="BB563">
        <f t="shared" si="462"/>
        <v>6.8059102996815639</v>
      </c>
      <c r="BC563">
        <f t="shared" si="463"/>
        <v>-1.3244140969640763</v>
      </c>
      <c r="BD563">
        <f t="shared" si="451"/>
        <v>-255.88333817038108</v>
      </c>
      <c r="BF563">
        <f t="shared" si="452"/>
        <v>-60.765953079230755</v>
      </c>
      <c r="BG563">
        <f t="shared" si="453"/>
        <v>-227.06311229606891</v>
      </c>
      <c r="BH563">
        <f t="shared" si="464"/>
        <v>-47.063112296068908</v>
      </c>
      <c r="BI563">
        <f t="shared" si="465"/>
        <v>-47.063112296068908</v>
      </c>
      <c r="BJ563">
        <f t="shared" si="454"/>
        <v>0</v>
      </c>
      <c r="BK563">
        <f t="shared" si="466"/>
        <v>0</v>
      </c>
      <c r="BM563">
        <f t="shared" si="467"/>
        <v>-67.571863378912326</v>
      </c>
      <c r="BN563">
        <f t="shared" si="455"/>
        <v>-151.1797741256878</v>
      </c>
      <c r="BQ563" s="66">
        <f t="shared" si="468"/>
        <v>23.707871099966699</v>
      </c>
    </row>
    <row r="564" spans="1:69" ht="13" x14ac:dyDescent="0.3">
      <c r="A564">
        <f t="shared" si="472"/>
        <v>1750000</v>
      </c>
      <c r="B564">
        <f t="shared" si="456"/>
        <v>1750</v>
      </c>
      <c r="C564">
        <f t="shared" si="425"/>
        <v>1.141164595530638</v>
      </c>
      <c r="D564">
        <f t="shared" si="426"/>
        <v>0.50267330157883827</v>
      </c>
      <c r="F564">
        <f t="shared" si="427"/>
        <v>2.4309149860089538E-5</v>
      </c>
      <c r="G564">
        <f t="shared" si="428"/>
        <v>1.5371367876113845E-3</v>
      </c>
      <c r="H564">
        <f t="shared" si="429"/>
        <v>-3.1400555132123888</v>
      </c>
      <c r="J564">
        <f t="shared" si="430"/>
        <v>15</v>
      </c>
      <c r="M564">
        <f t="shared" si="431"/>
        <v>6.2764445735485116E-4</v>
      </c>
      <c r="N564">
        <f t="shared" si="432"/>
        <v>-1.5707963250000001</v>
      </c>
      <c r="O564">
        <f t="shared" si="433"/>
        <v>602.64626453887593</v>
      </c>
      <c r="P564">
        <f t="shared" si="434"/>
        <v>1.5691369778239512</v>
      </c>
      <c r="Q564">
        <f t="shared" si="435"/>
        <v>231.47109372746624</v>
      </c>
      <c r="R564">
        <f t="shared" si="436"/>
        <v>1.5664761194869261</v>
      </c>
      <c r="S564">
        <f t="shared" si="437"/>
        <v>0.87180869582035359</v>
      </c>
      <c r="T564">
        <f t="shared" si="438"/>
        <v>-0.51191367855547454</v>
      </c>
      <c r="U564">
        <f t="shared" si="439"/>
        <v>0.11375201576770506</v>
      </c>
      <c r="V564">
        <f t="shared" si="440"/>
        <v>-1.4567975554035382</v>
      </c>
      <c r="X564">
        <f t="shared" si="457"/>
        <v>-48.842749041421413</v>
      </c>
      <c r="Y564">
        <f t="shared" si="441"/>
        <v>-174.25231790974027</v>
      </c>
      <c r="Z564">
        <f t="shared" si="458"/>
        <v>5.7476820902597296</v>
      </c>
      <c r="AC564">
        <v>1</v>
      </c>
      <c r="AD564">
        <f t="shared" si="442"/>
        <v>602.64543486420007</v>
      </c>
      <c r="AE564">
        <f t="shared" si="443"/>
        <v>-0.66264326405389862</v>
      </c>
      <c r="AF564">
        <f t="shared" si="444"/>
        <v>7.5869462497499998E-2</v>
      </c>
      <c r="AG564">
        <f t="shared" si="473"/>
        <v>101.29147341689092</v>
      </c>
      <c r="AH564">
        <f t="shared" si="474"/>
        <v>-897.85943281253572</v>
      </c>
      <c r="AJ564">
        <f t="shared" si="445"/>
        <v>21000</v>
      </c>
      <c r="AK564">
        <f t="shared" si="446"/>
        <v>11799.3507545025</v>
      </c>
      <c r="AL564">
        <v>1</v>
      </c>
      <c r="AM564">
        <f t="shared" si="447"/>
        <v>231.4689336204525</v>
      </c>
      <c r="AN564">
        <f t="shared" si="475"/>
        <v>51.36695265826738</v>
      </c>
      <c r="AO564">
        <f t="shared" si="476"/>
        <v>-90.503000638919062</v>
      </c>
      <c r="AQ564">
        <f t="shared" si="448"/>
        <v>8.163264639733499E-4</v>
      </c>
      <c r="AR564">
        <f t="shared" si="449"/>
        <v>-2.8571426239067246</v>
      </c>
      <c r="AT564">
        <f t="shared" si="470"/>
        <v>-2565.2297688550866</v>
      </c>
      <c r="AU564">
        <f t="shared" si="471"/>
        <v>-290.13713255364695</v>
      </c>
      <c r="AV564">
        <f t="shared" si="459"/>
        <v>-3.0289675168914405</v>
      </c>
      <c r="AW564">
        <f t="shared" si="460"/>
        <v>-156.58358144012681</v>
      </c>
      <c r="AX564">
        <f t="shared" si="461"/>
        <v>-1172.0573468543641</v>
      </c>
      <c r="AY564">
        <f t="shared" si="469"/>
        <v>-1.7036071091583351</v>
      </c>
      <c r="BA564">
        <f t="shared" si="450"/>
        <v>2.1832131091504419</v>
      </c>
      <c r="BB564">
        <f t="shared" si="462"/>
        <v>6.7819226080060098</v>
      </c>
      <c r="BC564">
        <f t="shared" si="463"/>
        <v>-1.3253604077331054</v>
      </c>
      <c r="BD564">
        <f t="shared" si="451"/>
        <v>-255.9375577836162</v>
      </c>
      <c r="BF564">
        <f t="shared" si="452"/>
        <v>-60.83389100635987</v>
      </c>
      <c r="BG564">
        <f t="shared" si="453"/>
        <v>-227.04842764576685</v>
      </c>
      <c r="BH564">
        <f t="shared" si="464"/>
        <v>-47.04842764576685</v>
      </c>
      <c r="BI564">
        <f t="shared" si="465"/>
        <v>-47.04842764576685</v>
      </c>
      <c r="BJ564">
        <f t="shared" si="454"/>
        <v>0</v>
      </c>
      <c r="BK564">
        <f t="shared" si="466"/>
        <v>0</v>
      </c>
      <c r="BM564">
        <f t="shared" si="467"/>
        <v>-67.615813614365891</v>
      </c>
      <c r="BN564">
        <f t="shared" si="455"/>
        <v>-151.11086986215065</v>
      </c>
      <c r="BQ564" s="66">
        <f t="shared" si="468"/>
        <v>23.683883408291145</v>
      </c>
    </row>
    <row r="565" spans="1:69" ht="13" x14ac:dyDescent="0.3">
      <c r="A565">
        <f t="shared" si="472"/>
        <v>1755000</v>
      </c>
      <c r="B565">
        <f t="shared" si="456"/>
        <v>1755</v>
      </c>
      <c r="C565">
        <f t="shared" si="425"/>
        <v>1.1419221874803653</v>
      </c>
      <c r="D565">
        <f t="shared" si="426"/>
        <v>0.50387871266424633</v>
      </c>
      <c r="F565">
        <f t="shared" si="427"/>
        <v>2.417083028776779E-5</v>
      </c>
      <c r="G565">
        <f t="shared" si="428"/>
        <v>1.532757273479483E-3</v>
      </c>
      <c r="H565">
        <f t="shared" si="429"/>
        <v>-3.1400598927265206</v>
      </c>
      <c r="J565">
        <f t="shared" si="430"/>
        <v>15</v>
      </c>
      <c r="M565">
        <f t="shared" si="431"/>
        <v>6.2585629650768629E-4</v>
      </c>
      <c r="N565">
        <f t="shared" si="432"/>
        <v>-1.5707963250000001</v>
      </c>
      <c r="O565">
        <f t="shared" si="433"/>
        <v>604.36810627474563</v>
      </c>
      <c r="P565">
        <f t="shared" si="434"/>
        <v>1.5691417053052561</v>
      </c>
      <c r="Q565">
        <f t="shared" si="435"/>
        <v>232.13242738371653</v>
      </c>
      <c r="R565">
        <f t="shared" si="436"/>
        <v>1.5664884276173598</v>
      </c>
      <c r="S565">
        <f t="shared" si="437"/>
        <v>0.87121077153825655</v>
      </c>
      <c r="T565">
        <f t="shared" si="438"/>
        <v>-0.5131329918606069</v>
      </c>
      <c r="U565">
        <f t="shared" si="439"/>
        <v>0.11343211171525561</v>
      </c>
      <c r="V565">
        <f t="shared" si="440"/>
        <v>-1.4571195435337312</v>
      </c>
      <c r="X565">
        <f t="shared" si="457"/>
        <v>-48.89218861306788</v>
      </c>
      <c r="Y565">
        <f t="shared" si="441"/>
        <v>-174.27083786821288</v>
      </c>
      <c r="Z565">
        <f t="shared" si="458"/>
        <v>5.7291621317871204</v>
      </c>
      <c r="AC565">
        <v>1</v>
      </c>
      <c r="AD565">
        <f t="shared" si="442"/>
        <v>604.36727896381205</v>
      </c>
      <c r="AE565">
        <f t="shared" si="443"/>
        <v>-0.66643520632411724</v>
      </c>
      <c r="AF565">
        <f t="shared" si="444"/>
        <v>7.6086232390349992E-2</v>
      </c>
      <c r="AG565">
        <f t="shared" si="473"/>
        <v>100.72255182976888</v>
      </c>
      <c r="AH565">
        <f t="shared" si="474"/>
        <v>-895.36638193171848</v>
      </c>
      <c r="AJ565">
        <f t="shared" si="445"/>
        <v>21000</v>
      </c>
      <c r="AK565">
        <f t="shared" si="446"/>
        <v>11833.063185229652</v>
      </c>
      <c r="AL565">
        <v>1</v>
      </c>
      <c r="AM565">
        <f t="shared" si="447"/>
        <v>232.13027343079665</v>
      </c>
      <c r="AN565">
        <f t="shared" si="475"/>
        <v>51.364727986245363</v>
      </c>
      <c r="AO565">
        <f t="shared" si="476"/>
        <v>-90.245166915977563</v>
      </c>
      <c r="AQ565">
        <f t="shared" si="448"/>
        <v>8.1168165747991835E-4</v>
      </c>
      <c r="AR565">
        <f t="shared" si="449"/>
        <v>-2.8490026177545134</v>
      </c>
      <c r="AT565">
        <f t="shared" si="470"/>
        <v>-2550.8194113250388</v>
      </c>
      <c r="AU565">
        <f t="shared" si="471"/>
        <v>-287.68556629886427</v>
      </c>
      <c r="AV565">
        <f t="shared" si="459"/>
        <v>-3.0292855915410764</v>
      </c>
      <c r="AW565">
        <f t="shared" si="460"/>
        <v>-155.39901323412846</v>
      </c>
      <c r="AX565">
        <f t="shared" si="461"/>
        <v>-1168.7430264594409</v>
      </c>
      <c r="AY565">
        <f t="shared" si="469"/>
        <v>-1.702983501130948</v>
      </c>
      <c r="BA565">
        <f t="shared" si="450"/>
        <v>2.1772078717886503</v>
      </c>
      <c r="BB565">
        <f t="shared" si="462"/>
        <v>6.7579979171648539</v>
      </c>
      <c r="BC565">
        <f t="shared" si="463"/>
        <v>-1.3263020904101284</v>
      </c>
      <c r="BD565">
        <f t="shared" si="451"/>
        <v>-255.99151222671185</v>
      </c>
      <c r="BF565">
        <f t="shared" si="452"/>
        <v>-60.901615293967055</v>
      </c>
      <c r="BG565">
        <f t="shared" si="453"/>
        <v>-227.03356804868778</v>
      </c>
      <c r="BH565">
        <f t="shared" si="464"/>
        <v>-47.033568048687783</v>
      </c>
      <c r="BI565">
        <f t="shared" si="465"/>
        <v>-47.033568048687783</v>
      </c>
      <c r="BJ565">
        <f t="shared" si="454"/>
        <v>0</v>
      </c>
      <c r="BK565">
        <f t="shared" si="466"/>
        <v>0</v>
      </c>
      <c r="BM565">
        <f t="shared" si="467"/>
        <v>-67.659613211131898</v>
      </c>
      <c r="BN565">
        <f t="shared" si="455"/>
        <v>-151.04205582197594</v>
      </c>
      <c r="BQ565" s="66">
        <f t="shared" si="468"/>
        <v>23.659958717449992</v>
      </c>
    </row>
    <row r="566" spans="1:69" ht="13" x14ac:dyDescent="0.3">
      <c r="A566">
        <f t="shared" si="472"/>
        <v>1760000</v>
      </c>
      <c r="B566">
        <f t="shared" si="456"/>
        <v>1760</v>
      </c>
      <c r="C566">
        <f t="shared" si="425"/>
        <v>1.1426814364596416</v>
      </c>
      <c r="D566">
        <f t="shared" si="426"/>
        <v>0.50508252363811323</v>
      </c>
      <c r="F566">
        <f t="shared" si="427"/>
        <v>2.4033687936404794E-5</v>
      </c>
      <c r="G566">
        <f t="shared" si="428"/>
        <v>1.5284026447077285E-3</v>
      </c>
      <c r="H566">
        <f t="shared" si="429"/>
        <v>-3.1400642473552924</v>
      </c>
      <c r="J566">
        <f t="shared" si="430"/>
        <v>15</v>
      </c>
      <c r="M566">
        <f t="shared" si="431"/>
        <v>6.240782956653349E-4</v>
      </c>
      <c r="N566">
        <f t="shared" si="432"/>
        <v>-1.5707963250000001</v>
      </c>
      <c r="O566">
        <f t="shared" si="433"/>
        <v>606.08994802404573</v>
      </c>
      <c r="P566">
        <f t="shared" si="434"/>
        <v>1.569146405925945</v>
      </c>
      <c r="Q566">
        <f t="shared" si="435"/>
        <v>232.7937610749328</v>
      </c>
      <c r="R566">
        <f t="shared" si="436"/>
        <v>1.5665006658165284</v>
      </c>
      <c r="S566">
        <f t="shared" si="437"/>
        <v>0.8706123751590793</v>
      </c>
      <c r="T566">
        <f t="shared" si="438"/>
        <v>-0.51435063198855269</v>
      </c>
      <c r="U566">
        <f t="shared" si="439"/>
        <v>0.11311399031615489</v>
      </c>
      <c r="V566">
        <f t="shared" si="440"/>
        <v>-1.4574397256596279</v>
      </c>
      <c r="X566">
        <f t="shared" si="457"/>
        <v>-48.941489893090491</v>
      </c>
      <c r="Y566">
        <f t="shared" si="441"/>
        <v>-174.28925428384849</v>
      </c>
      <c r="Z566">
        <f t="shared" si="458"/>
        <v>5.7107457161515072</v>
      </c>
      <c r="AC566">
        <v>1</v>
      </c>
      <c r="AD566">
        <f t="shared" si="442"/>
        <v>606.08912306342404</v>
      </c>
      <c r="AE566">
        <f t="shared" si="443"/>
        <v>-0.6702379672598715</v>
      </c>
      <c r="AF566">
        <f t="shared" si="444"/>
        <v>7.63030022832E-2</v>
      </c>
      <c r="AG566">
        <f t="shared" si="473"/>
        <v>100.15838939666506</v>
      </c>
      <c r="AH566">
        <f t="shared" si="474"/>
        <v>-892.88695430853261</v>
      </c>
      <c r="AJ566">
        <f t="shared" si="445"/>
        <v>21000</v>
      </c>
      <c r="AK566">
        <f t="shared" si="446"/>
        <v>11866.7756159568</v>
      </c>
      <c r="AL566">
        <v>1</v>
      </c>
      <c r="AM566">
        <f t="shared" si="447"/>
        <v>232.79161324114079</v>
      </c>
      <c r="AN566">
        <f t="shared" si="475"/>
        <v>51.36252224708474</v>
      </c>
      <c r="AO566">
        <f t="shared" si="476"/>
        <v>-89.988798076041277</v>
      </c>
      <c r="AQ566">
        <f t="shared" si="448"/>
        <v>8.0707638114375794E-4</v>
      </c>
      <c r="AR566">
        <f t="shared" si="449"/>
        <v>-2.8409088616260281</v>
      </c>
      <c r="AT566">
        <f t="shared" si="470"/>
        <v>-2536.5296254549294</v>
      </c>
      <c r="AU566">
        <f t="shared" si="471"/>
        <v>-285.26148397502993</v>
      </c>
      <c r="AV566">
        <f t="shared" si="459"/>
        <v>-3.0296018824220279</v>
      </c>
      <c r="AW566">
        <f t="shared" si="460"/>
        <v>-154.22456633389197</v>
      </c>
      <c r="AX566">
        <f t="shared" si="461"/>
        <v>-1165.4473309145035</v>
      </c>
      <c r="AY566">
        <f t="shared" si="469"/>
        <v>-1.702362698641025</v>
      </c>
      <c r="BA566">
        <f t="shared" si="450"/>
        <v>2.1712348222545201</v>
      </c>
      <c r="BB566">
        <f t="shared" si="462"/>
        <v>6.7341359116901032</v>
      </c>
      <c r="BC566">
        <f t="shared" si="463"/>
        <v>-1.3272391837810029</v>
      </c>
      <c r="BD566">
        <f t="shared" si="451"/>
        <v>-256.045203721934</v>
      </c>
      <c r="BF566">
        <f t="shared" si="452"/>
        <v>-60.969127109702342</v>
      </c>
      <c r="BG566">
        <f t="shared" si="453"/>
        <v>-227.01853575754728</v>
      </c>
      <c r="BH566">
        <f t="shared" si="464"/>
        <v>-47.018535757547284</v>
      </c>
      <c r="BI566">
        <f t="shared" si="465"/>
        <v>-47.018535757547284</v>
      </c>
      <c r="BJ566">
        <f t="shared" si="454"/>
        <v>0</v>
      </c>
      <c r="BK566">
        <f t="shared" si="466"/>
        <v>0</v>
      </c>
      <c r="BM566">
        <f t="shared" si="467"/>
        <v>-67.703263021392445</v>
      </c>
      <c r="BN566">
        <f t="shared" si="455"/>
        <v>-150.97333203561328</v>
      </c>
      <c r="BQ566" s="66">
        <f t="shared" si="468"/>
        <v>23.636096711975242</v>
      </c>
    </row>
    <row r="567" spans="1:69" ht="13" x14ac:dyDescent="0.3">
      <c r="A567">
        <f t="shared" si="472"/>
        <v>1765000</v>
      </c>
      <c r="B567">
        <f t="shared" si="456"/>
        <v>1765</v>
      </c>
      <c r="C567">
        <f t="shared" si="425"/>
        <v>1.1434423391676498</v>
      </c>
      <c r="D567">
        <f t="shared" si="426"/>
        <v>0.50628473420232012</v>
      </c>
      <c r="F567">
        <f t="shared" si="427"/>
        <v>2.3897709484787853E-5</v>
      </c>
      <c r="G567">
        <f t="shared" si="428"/>
        <v>1.5240726897859818E-3</v>
      </c>
      <c r="H567">
        <f t="shared" si="429"/>
        <v>-3.1400685773102142</v>
      </c>
      <c r="J567">
        <f t="shared" si="430"/>
        <v>15</v>
      </c>
      <c r="M567">
        <f t="shared" si="431"/>
        <v>6.2231036848214697E-4</v>
      </c>
      <c r="N567">
        <f t="shared" si="432"/>
        <v>-1.5707963250000001</v>
      </c>
      <c r="O567">
        <f t="shared" si="433"/>
        <v>607.81178978666185</v>
      </c>
      <c r="P567">
        <f t="shared" si="434"/>
        <v>1.5691510799142945</v>
      </c>
      <c r="Q567">
        <f t="shared" si="435"/>
        <v>233.45509480081785</v>
      </c>
      <c r="R567">
        <f t="shared" si="436"/>
        <v>1.5665128346787338</v>
      </c>
      <c r="S567">
        <f t="shared" si="437"/>
        <v>0.8700135129727129</v>
      </c>
      <c r="T567">
        <f t="shared" si="438"/>
        <v>-0.51556659877769295</v>
      </c>
      <c r="U567">
        <f t="shared" si="439"/>
        <v>0.11279763680880689</v>
      </c>
      <c r="V567">
        <f t="shared" si="440"/>
        <v>-1.4577581168682243</v>
      </c>
      <c r="X567">
        <f t="shared" si="457"/>
        <v>-48.990653649111579</v>
      </c>
      <c r="Y567">
        <f t="shared" si="441"/>
        <v>-174.30756799387751</v>
      </c>
      <c r="Z567">
        <f t="shared" si="458"/>
        <v>5.6924320061224876</v>
      </c>
      <c r="AC567">
        <v>1</v>
      </c>
      <c r="AD567">
        <f t="shared" si="442"/>
        <v>607.81096716303603</v>
      </c>
      <c r="AE567">
        <f t="shared" si="443"/>
        <v>-0.67405154686116131</v>
      </c>
      <c r="AF567">
        <f t="shared" si="444"/>
        <v>7.6519772176050008E-2</v>
      </c>
      <c r="AG567">
        <f t="shared" si="473"/>
        <v>99.598933413162072</v>
      </c>
      <c r="AH567">
        <f t="shared" si="474"/>
        <v>-890.4210401477028</v>
      </c>
      <c r="AJ567">
        <f t="shared" si="445"/>
        <v>21000</v>
      </c>
      <c r="AK567">
        <f t="shared" si="446"/>
        <v>11900.488046683951</v>
      </c>
      <c r="AL567">
        <v>1</v>
      </c>
      <c r="AM567">
        <f t="shared" si="447"/>
        <v>233.45295305148497</v>
      </c>
      <c r="AN567">
        <f t="shared" si="475"/>
        <v>51.360335226559606</v>
      </c>
      <c r="AO567">
        <f t="shared" si="476"/>
        <v>-89.733881670597228</v>
      </c>
      <c r="AQ567">
        <f t="shared" si="448"/>
        <v>8.0251018766620483E-4</v>
      </c>
      <c r="AR567">
        <f t="shared" si="449"/>
        <v>-2.8328609624617034</v>
      </c>
      <c r="AT567">
        <f t="shared" si="470"/>
        <v>-2522.3590756302278</v>
      </c>
      <c r="AU567">
        <f t="shared" si="471"/>
        <v>-282.86450232500027</v>
      </c>
      <c r="AV567">
        <f t="shared" si="459"/>
        <v>-3.029916404432321</v>
      </c>
      <c r="AW567">
        <f t="shared" si="460"/>
        <v>-153.06012565968723</v>
      </c>
      <c r="AX567">
        <f t="shared" si="461"/>
        <v>-1162.170104201575</v>
      </c>
      <c r="AY567">
        <f t="shared" si="469"/>
        <v>-1.7017446782310459</v>
      </c>
      <c r="BA567">
        <f t="shared" si="450"/>
        <v>2.1652937080506018</v>
      </c>
      <c r="BB567">
        <f t="shared" si="462"/>
        <v>6.7103362783070208</v>
      </c>
      <c r="BC567">
        <f t="shared" si="463"/>
        <v>-1.3281717262012751</v>
      </c>
      <c r="BD567">
        <f t="shared" si="451"/>
        <v>-256.0986344668936</v>
      </c>
      <c r="BF567">
        <f t="shared" si="452"/>
        <v>-61.036427612073503</v>
      </c>
      <c r="BG567">
        <f t="shared" si="453"/>
        <v>-227.00333299915582</v>
      </c>
      <c r="BH567">
        <f t="shared" si="464"/>
        <v>-47.003332999155816</v>
      </c>
      <c r="BI567">
        <f t="shared" si="465"/>
        <v>-47.003332999155816</v>
      </c>
      <c r="BJ567">
        <f t="shared" si="454"/>
        <v>0</v>
      </c>
      <c r="BK567">
        <f t="shared" si="466"/>
        <v>0</v>
      </c>
      <c r="BM567">
        <f t="shared" si="467"/>
        <v>-67.746763890380521</v>
      </c>
      <c r="BN567">
        <f t="shared" si="455"/>
        <v>-150.90469853226224</v>
      </c>
      <c r="BQ567" s="66">
        <f t="shared" si="468"/>
        <v>23.61229707859216</v>
      </c>
    </row>
    <row r="568" spans="1:69" ht="13" x14ac:dyDescent="0.3">
      <c r="A568">
        <f t="shared" si="472"/>
        <v>1770000</v>
      </c>
      <c r="B568">
        <f t="shared" si="456"/>
        <v>1770</v>
      </c>
      <c r="C568">
        <f t="shared" si="425"/>
        <v>1.1442048923051731</v>
      </c>
      <c r="D568">
        <f t="shared" si="426"/>
        <v>0.50748534407804491</v>
      </c>
      <c r="F568">
        <f t="shared" si="427"/>
        <v>2.3762881799599499E-5</v>
      </c>
      <c r="G568">
        <f t="shared" si="428"/>
        <v>1.5197671995943263E-3</v>
      </c>
      <c r="H568">
        <f t="shared" si="429"/>
        <v>-3.1400728828004061</v>
      </c>
      <c r="J568">
        <f t="shared" si="430"/>
        <v>15</v>
      </c>
      <c r="M568">
        <f t="shared" si="431"/>
        <v>6.2055242958812963E-4</v>
      </c>
      <c r="N568">
        <f t="shared" si="432"/>
        <v>-1.5707963250000001</v>
      </c>
      <c r="O568">
        <f t="shared" si="433"/>
        <v>609.53363156248145</v>
      </c>
      <c r="P568">
        <f t="shared" si="434"/>
        <v>1.5691557274960013</v>
      </c>
      <c r="Q568">
        <f t="shared" si="435"/>
        <v>234.11642856107792</v>
      </c>
      <c r="R568">
        <f t="shared" si="436"/>
        <v>1.5665249347915633</v>
      </c>
      <c r="S568">
        <f t="shared" si="437"/>
        <v>0.86941419124701635</v>
      </c>
      <c r="T568">
        <f t="shared" si="438"/>
        <v>-0.51678089208664535</v>
      </c>
      <c r="U568">
        <f t="shared" si="439"/>
        <v>0.11248303659305449</v>
      </c>
      <c r="V568">
        <f t="shared" si="440"/>
        <v>-1.4580747320796641</v>
      </c>
      <c r="X568">
        <f t="shared" si="457"/>
        <v>-49.039680642394444</v>
      </c>
      <c r="Y568">
        <f t="shared" si="441"/>
        <v>-174.32577982641985</v>
      </c>
      <c r="Z568">
        <f t="shared" si="458"/>
        <v>5.674220173580153</v>
      </c>
      <c r="AC568">
        <v>1</v>
      </c>
      <c r="AD568">
        <f t="shared" si="442"/>
        <v>609.53281126264801</v>
      </c>
      <c r="AE568">
        <f t="shared" si="443"/>
        <v>-0.67787594512798666</v>
      </c>
      <c r="AF568">
        <f t="shared" si="444"/>
        <v>7.6736542068900002E-2</v>
      </c>
      <c r="AG568">
        <f t="shared" si="473"/>
        <v>99.044131899211195</v>
      </c>
      <c r="AH568">
        <f t="shared" si="474"/>
        <v>-887.96853081257859</v>
      </c>
      <c r="AJ568">
        <f t="shared" si="445"/>
        <v>21000</v>
      </c>
      <c r="AK568">
        <f t="shared" si="446"/>
        <v>11934.200477411101</v>
      </c>
      <c r="AL568">
        <v>1</v>
      </c>
      <c r="AM568">
        <f t="shared" si="447"/>
        <v>234.11429286182911</v>
      </c>
      <c r="AN568">
        <f t="shared" si="475"/>
        <v>51.358166713465401</v>
      </c>
      <c r="AO568">
        <f t="shared" si="476"/>
        <v>-89.480405391780678</v>
      </c>
      <c r="AQ568">
        <f t="shared" si="448"/>
        <v>7.9798263605743592E-4</v>
      </c>
      <c r="AR568">
        <f t="shared" si="449"/>
        <v>-2.824858531643323</v>
      </c>
      <c r="AT568">
        <f t="shared" si="470"/>
        <v>-2508.3064445992409</v>
      </c>
      <c r="AU568">
        <f t="shared" si="471"/>
        <v>-280.4942444736472</v>
      </c>
      <c r="AV568">
        <f t="shared" si="459"/>
        <v>-3.0302291723052637</v>
      </c>
      <c r="AW568">
        <f t="shared" si="460"/>
        <v>-151.90557776406337</v>
      </c>
      <c r="AX568">
        <f t="shared" si="461"/>
        <v>-1158.9111920347566</v>
      </c>
      <c r="AY568">
        <f t="shared" si="469"/>
        <v>-1.7011294167031654</v>
      </c>
      <c r="BA568">
        <f t="shared" si="450"/>
        <v>2.1593842792427727</v>
      </c>
      <c r="BB568">
        <f t="shared" si="462"/>
        <v>6.68659870591617</v>
      </c>
      <c r="BC568">
        <f t="shared" si="463"/>
        <v>-1.3290997556020983</v>
      </c>
      <c r="BD568">
        <f t="shared" si="451"/>
        <v>-256.15180663488553</v>
      </c>
      <c r="BF568">
        <f t="shared" si="452"/>
        <v>-61.103517950541047</v>
      </c>
      <c r="BG568">
        <f t="shared" si="453"/>
        <v>-226.98796197476545</v>
      </c>
      <c r="BH568">
        <f t="shared" si="464"/>
        <v>-46.987961974765454</v>
      </c>
      <c r="BI568">
        <f t="shared" si="465"/>
        <v>-46.987961974765454</v>
      </c>
      <c r="BJ568">
        <f t="shared" si="454"/>
        <v>0</v>
      </c>
      <c r="BK568">
        <f t="shared" si="466"/>
        <v>0</v>
      </c>
      <c r="BM568">
        <f t="shared" si="467"/>
        <v>-67.790116656457215</v>
      </c>
      <c r="BN568">
        <f t="shared" si="455"/>
        <v>-150.83615533987989</v>
      </c>
      <c r="BQ568" s="66">
        <f t="shared" si="468"/>
        <v>23.588559506201307</v>
      </c>
    </row>
    <row r="569" spans="1:69" ht="13" x14ac:dyDescent="0.3">
      <c r="A569">
        <f t="shared" si="472"/>
        <v>1775000</v>
      </c>
      <c r="B569">
        <f t="shared" si="456"/>
        <v>1775</v>
      </c>
      <c r="C569">
        <f t="shared" si="425"/>
        <v>1.144969092574637</v>
      </c>
      <c r="D569">
        <f t="shared" si="426"/>
        <v>0.50868435300566639</v>
      </c>
      <c r="F569">
        <f t="shared" si="427"/>
        <v>2.3629191932246084E-5</v>
      </c>
      <c r="G569">
        <f t="shared" si="428"/>
        <v>1.5154859673694007E-3</v>
      </c>
      <c r="H569">
        <f t="shared" si="429"/>
        <v>-3.1400771640326308</v>
      </c>
      <c r="J569">
        <f t="shared" si="430"/>
        <v>15</v>
      </c>
      <c r="M569">
        <f t="shared" si="431"/>
        <v>6.1880439457520533E-4</v>
      </c>
      <c r="N569">
        <f t="shared" si="432"/>
        <v>-1.5707963250000001</v>
      </c>
      <c r="O569">
        <f t="shared" si="433"/>
        <v>611.25547335139277</v>
      </c>
      <c r="P569">
        <f t="shared" si="434"/>
        <v>1.5691603488942196</v>
      </c>
      <c r="Q569">
        <f t="shared" si="435"/>
        <v>234.77776235542248</v>
      </c>
      <c r="R569">
        <f t="shared" si="436"/>
        <v>1.5665369667359832</v>
      </c>
      <c r="S569">
        <f t="shared" si="437"/>
        <v>0.8688144162277569</v>
      </c>
      <c r="T569">
        <f t="shared" si="438"/>
        <v>-0.51799351179415765</v>
      </c>
      <c r="U569">
        <f t="shared" si="439"/>
        <v>0.11217017522799375</v>
      </c>
      <c r="V569">
        <f t="shared" si="440"/>
        <v>-1.4583895860495275</v>
      </c>
      <c r="X569">
        <f t="shared" si="457"/>
        <v>-49.088571627913105</v>
      </c>
      <c r="Y569">
        <f t="shared" si="441"/>
        <v>-174.34389060061</v>
      </c>
      <c r="Z569">
        <f t="shared" si="458"/>
        <v>5.6561093993900045</v>
      </c>
      <c r="AC569">
        <v>1</v>
      </c>
      <c r="AD569">
        <f t="shared" si="442"/>
        <v>611.25465536226</v>
      </c>
      <c r="AE569">
        <f t="shared" si="443"/>
        <v>-0.68171116206034754</v>
      </c>
      <c r="AF569">
        <f t="shared" si="444"/>
        <v>7.6953311961750009E-2</v>
      </c>
      <c r="AG569">
        <f t="shared" si="473"/>
        <v>98.493933587271925</v>
      </c>
      <c r="AH569">
        <f t="shared" si="474"/>
        <v>-885.52931881015502</v>
      </c>
      <c r="AJ569">
        <f t="shared" si="445"/>
        <v>21000</v>
      </c>
      <c r="AK569">
        <f t="shared" si="446"/>
        <v>11967.912908138251</v>
      </c>
      <c r="AL569">
        <v>1</v>
      </c>
      <c r="AM569">
        <f t="shared" si="447"/>
        <v>234.77563267217326</v>
      </c>
      <c r="AN569">
        <f t="shared" si="475"/>
        <v>51.356016499568007</v>
      </c>
      <c r="AO569">
        <f t="shared" si="476"/>
        <v>-89.228357070394409</v>
      </c>
      <c r="AQ569">
        <f t="shared" si="448"/>
        <v>7.9349329152999073E-4</v>
      </c>
      <c r="AR569">
        <f t="shared" si="449"/>
        <v>-2.8169011849314671</v>
      </c>
      <c r="AT569">
        <f t="shared" si="470"/>
        <v>-2494.3704331723225</v>
      </c>
      <c r="AU569">
        <f t="shared" si="471"/>
        <v>-278.15033980447652</v>
      </c>
      <c r="AV569">
        <f t="shared" si="459"/>
        <v>-3.0305402006117066</v>
      </c>
      <c r="AW569">
        <f t="shared" si="460"/>
        <v>-150.76081080412357</v>
      </c>
      <c r="AX569">
        <f t="shared" si="461"/>
        <v>-1155.6704418363311</v>
      </c>
      <c r="AY569">
        <f t="shared" si="469"/>
        <v>-1.7005168911156505</v>
      </c>
      <c r="BA569">
        <f t="shared" si="450"/>
        <v>2.1535062884288823</v>
      </c>
      <c r="BB569">
        <f t="shared" si="462"/>
        <v>6.6629228855755906</v>
      </c>
      <c r="BC569">
        <f t="shared" si="463"/>
        <v>-1.3300233094960561</v>
      </c>
      <c r="BD569">
        <f t="shared" si="451"/>
        <v>-256.20472237522267</v>
      </c>
      <c r="BF569">
        <f t="shared" si="452"/>
        <v>-61.170399265612176</v>
      </c>
      <c r="BG569">
        <f t="shared" si="453"/>
        <v>-226.97242486041074</v>
      </c>
      <c r="BH569">
        <f t="shared" si="464"/>
        <v>-46.97242486041074</v>
      </c>
      <c r="BI569">
        <f t="shared" si="465"/>
        <v>-46.97242486041074</v>
      </c>
      <c r="BJ569">
        <f t="shared" si="454"/>
        <v>0</v>
      </c>
      <c r="BK569">
        <f t="shared" si="466"/>
        <v>0</v>
      </c>
      <c r="BM569">
        <f t="shared" si="467"/>
        <v>-67.833322151187758</v>
      </c>
      <c r="BN569">
        <f t="shared" si="455"/>
        <v>-150.76770248518807</v>
      </c>
      <c r="BQ569" s="66">
        <f t="shared" si="468"/>
        <v>23.564883685860728</v>
      </c>
    </row>
    <row r="570" spans="1:69" ht="13" x14ac:dyDescent="0.3">
      <c r="A570">
        <f t="shared" si="472"/>
        <v>1780000</v>
      </c>
      <c r="B570">
        <f t="shared" si="456"/>
        <v>1780</v>
      </c>
      <c r="C570">
        <f t="shared" si="425"/>
        <v>1.1457349366801521</v>
      </c>
      <c r="D570">
        <f t="shared" si="426"/>
        <v>0.5098817607446674</v>
      </c>
      <c r="F570">
        <f t="shared" si="427"/>
        <v>2.3496627115748663E-5</v>
      </c>
      <c r="G570">
        <f t="shared" si="428"/>
        <v>1.5112287886712948E-3</v>
      </c>
      <c r="H570">
        <f t="shared" si="429"/>
        <v>-3.1400814212113288</v>
      </c>
      <c r="J570">
        <f t="shared" si="430"/>
        <v>15</v>
      </c>
      <c r="M570">
        <f t="shared" si="431"/>
        <v>6.1706617998370198E-4</v>
      </c>
      <c r="N570">
        <f t="shared" si="432"/>
        <v>-1.5707963250000001</v>
      </c>
      <c r="O570">
        <f t="shared" si="433"/>
        <v>612.97731515328564</v>
      </c>
      <c r="P570">
        <f t="shared" si="434"/>
        <v>1.5691649443295959</v>
      </c>
      <c r="Q570">
        <f t="shared" si="435"/>
        <v>235.43909618356437</v>
      </c>
      <c r="R570">
        <f t="shared" si="436"/>
        <v>1.5665489310864327</v>
      </c>
      <c r="S570">
        <f t="shared" si="437"/>
        <v>0.8682141941385535</v>
      </c>
      <c r="T570">
        <f t="shared" si="438"/>
        <v>-0.51920445779899849</v>
      </c>
      <c r="U570">
        <f t="shared" si="439"/>
        <v>0.11185903842982353</v>
      </c>
      <c r="V570">
        <f t="shared" si="440"/>
        <v>-1.4587026933710847</v>
      </c>
      <c r="X570">
        <f t="shared" si="457"/>
        <v>-49.137327354420883</v>
      </c>
      <c r="Y570">
        <f t="shared" si="441"/>
        <v>-174.3619011267196</v>
      </c>
      <c r="Z570">
        <f t="shared" si="458"/>
        <v>5.6380988732803985</v>
      </c>
      <c r="AC570">
        <v>1</v>
      </c>
      <c r="AD570">
        <f t="shared" si="442"/>
        <v>612.97649946187198</v>
      </c>
      <c r="AE570">
        <f t="shared" si="443"/>
        <v>-0.68555719765824408</v>
      </c>
      <c r="AF570">
        <f t="shared" si="444"/>
        <v>7.7170081854600003E-2</v>
      </c>
      <c r="AG570">
        <f t="shared" si="473"/>
        <v>97.948287910675774</v>
      </c>
      <c r="AH570">
        <f t="shared" si="474"/>
        <v>-883.1032977763191</v>
      </c>
      <c r="AJ570">
        <f t="shared" si="445"/>
        <v>21000</v>
      </c>
      <c r="AK570">
        <f t="shared" si="446"/>
        <v>12001.6253388654</v>
      </c>
      <c r="AL570">
        <v>1</v>
      </c>
      <c r="AM570">
        <f t="shared" si="447"/>
        <v>235.4369724825174</v>
      </c>
      <c r="AN570">
        <f t="shared" si="475"/>
        <v>51.353884379553683</v>
      </c>
      <c r="AO570">
        <f t="shared" si="476"/>
        <v>-88.977724673961333</v>
      </c>
      <c r="AQ570">
        <f t="shared" si="448"/>
        <v>7.8904172539438473E-4</v>
      </c>
      <c r="AR570">
        <f t="shared" si="449"/>
        <v>-2.8089885424040095</v>
      </c>
      <c r="AT570">
        <f t="shared" si="470"/>
        <v>-2480.5497599267842</v>
      </c>
      <c r="AU570">
        <f t="shared" si="471"/>
        <v>-275.83242383895634</v>
      </c>
      <c r="AV570">
        <f t="shared" si="459"/>
        <v>-3.0308495037622656</v>
      </c>
      <c r="AW570">
        <f t="shared" si="460"/>
        <v>-149.62571451434894</v>
      </c>
      <c r="AX570">
        <f t="shared" si="461"/>
        <v>-1152.4477027132584</v>
      </c>
      <c r="AY570">
        <f t="shared" si="469"/>
        <v>-1.6999070787793773</v>
      </c>
      <c r="BA570">
        <f t="shared" si="450"/>
        <v>2.1476594907078463</v>
      </c>
      <c r="BB570">
        <f t="shared" si="462"/>
        <v>6.6393085104831604</v>
      </c>
      <c r="BC570">
        <f t="shared" si="463"/>
        <v>-1.3309424249828883</v>
      </c>
      <c r="BD570">
        <f t="shared" si="451"/>
        <v>-256.25738381356342</v>
      </c>
      <c r="BF570">
        <f t="shared" si="452"/>
        <v>-61.237072688933324</v>
      </c>
      <c r="BG570">
        <f t="shared" si="453"/>
        <v>-226.95672380724434</v>
      </c>
      <c r="BH570">
        <f t="shared" si="464"/>
        <v>-46.956723807244344</v>
      </c>
      <c r="BI570">
        <f t="shared" si="465"/>
        <v>-46.956723807244344</v>
      </c>
      <c r="BJ570">
        <f t="shared" si="454"/>
        <v>0</v>
      </c>
      <c r="BK570">
        <f t="shared" si="466"/>
        <v>0</v>
      </c>
      <c r="BM570">
        <f t="shared" si="467"/>
        <v>-67.876381199416485</v>
      </c>
      <c r="BN570">
        <f t="shared" si="455"/>
        <v>-150.69933999368092</v>
      </c>
      <c r="BQ570" s="66">
        <f t="shared" si="468"/>
        <v>23.5412693107683</v>
      </c>
    </row>
    <row r="571" spans="1:69" ht="13" x14ac:dyDescent="0.3">
      <c r="A571">
        <f t="shared" si="472"/>
        <v>1785000</v>
      </c>
      <c r="B571">
        <f t="shared" si="456"/>
        <v>1785</v>
      </c>
      <c r="C571">
        <f t="shared" si="425"/>
        <v>1.1465024213275548</v>
      </c>
      <c r="D571">
        <f t="shared" si="426"/>
        <v>0.51107756707353902</v>
      </c>
      <c r="F571">
        <f t="shared" si="427"/>
        <v>2.3365174761694791E-5</v>
      </c>
      <c r="G571">
        <f t="shared" si="428"/>
        <v>1.5069954613510055E-3</v>
      </c>
      <c r="H571">
        <f t="shared" si="429"/>
        <v>-3.1400856545386491</v>
      </c>
      <c r="J571">
        <f t="shared" si="430"/>
        <v>15</v>
      </c>
      <c r="M571">
        <f t="shared" si="431"/>
        <v>6.1533770328906965E-4</v>
      </c>
      <c r="N571">
        <f t="shared" si="432"/>
        <v>-1.5707963250000001</v>
      </c>
      <c r="O571">
        <f t="shared" si="433"/>
        <v>614.69915696805072</v>
      </c>
      <c r="P571">
        <f t="shared" si="434"/>
        <v>1.5691695140203044</v>
      </c>
      <c r="Q571">
        <f t="shared" si="435"/>
        <v>236.10043004521953</v>
      </c>
      <c r="R571">
        <f t="shared" si="436"/>
        <v>1.5665608284109145</v>
      </c>
      <c r="S571">
        <f t="shared" si="437"/>
        <v>0.8676135311808203</v>
      </c>
      <c r="T571">
        <f t="shared" si="438"/>
        <v>-0.52041373001985047</v>
      </c>
      <c r="U571">
        <f t="shared" si="439"/>
        <v>0.11154961206972956</v>
      </c>
      <c r="V571">
        <f t="shared" si="440"/>
        <v>-1.4590140684775124</v>
      </c>
      <c r="X571">
        <f t="shared" si="457"/>
        <v>-49.185948564518313</v>
      </c>
      <c r="Y571">
        <f t="shared" si="441"/>
        <v>-174.37981220627879</v>
      </c>
      <c r="Z571">
        <f t="shared" si="458"/>
        <v>5.6201877937212146</v>
      </c>
      <c r="AC571">
        <v>1</v>
      </c>
      <c r="AD571">
        <f t="shared" si="442"/>
        <v>614.69834356148408</v>
      </c>
      <c r="AE571">
        <f t="shared" si="443"/>
        <v>-0.68941405192167615</v>
      </c>
      <c r="AF571">
        <f t="shared" si="444"/>
        <v>7.7386851747449997E-2</v>
      </c>
      <c r="AG571">
        <f t="shared" si="473"/>
        <v>97.407144992210888</v>
      </c>
      <c r="AH571">
        <f t="shared" si="474"/>
        <v>-880.69036246132191</v>
      </c>
      <c r="AJ571">
        <f t="shared" si="445"/>
        <v>21000</v>
      </c>
      <c r="AK571">
        <f t="shared" si="446"/>
        <v>12035.337769592552</v>
      </c>
      <c r="AL571">
        <v>1</v>
      </c>
      <c r="AM571">
        <f t="shared" si="447"/>
        <v>236.09831229286158</v>
      </c>
      <c r="AN571">
        <f t="shared" si="475"/>
        <v>51.351770150980158</v>
      </c>
      <c r="AO571">
        <f t="shared" si="476"/>
        <v>-88.728496304809894</v>
      </c>
      <c r="AQ571">
        <f t="shared" si="448"/>
        <v>7.8462751495676579E-4</v>
      </c>
      <c r="AR571">
        <f t="shared" si="449"/>
        <v>-2.801120228395654</v>
      </c>
      <c r="AT571">
        <f t="shared" si="470"/>
        <v>-2466.8431609173954</v>
      </c>
      <c r="AU571">
        <f t="shared" si="471"/>
        <v>-273.54013811849478</v>
      </c>
      <c r="AV571">
        <f t="shared" si="459"/>
        <v>-3.0311570960095096</v>
      </c>
      <c r="AW571">
        <f t="shared" si="460"/>
        <v>-148.50018017995734</v>
      </c>
      <c r="AX571">
        <f t="shared" si="461"/>
        <v>-1149.2428254340616</v>
      </c>
      <c r="AY571">
        <f t="shared" si="469"/>
        <v>-1.6992999572543828</v>
      </c>
      <c r="BA571">
        <f t="shared" si="450"/>
        <v>2.1418436436491581</v>
      </c>
      <c r="BB571">
        <f t="shared" si="462"/>
        <v>6.6157552759590299</v>
      </c>
      <c r="BC571">
        <f t="shared" si="463"/>
        <v>-1.3318571387551268</v>
      </c>
      <c r="BD571">
        <f t="shared" si="451"/>
        <v>-256.30979305223508</v>
      </c>
      <c r="BF571">
        <f t="shared" si="452"/>
        <v>-61.303539343381729</v>
      </c>
      <c r="BG571">
        <f t="shared" si="453"/>
        <v>-226.94086094186736</v>
      </c>
      <c r="BH571">
        <f t="shared" si="464"/>
        <v>-46.940860941867356</v>
      </c>
      <c r="BI571">
        <f t="shared" si="465"/>
        <v>-46.940860941867356</v>
      </c>
      <c r="BJ571">
        <f t="shared" si="454"/>
        <v>0</v>
      </c>
      <c r="BK571">
        <f t="shared" si="466"/>
        <v>0</v>
      </c>
      <c r="BM571">
        <f t="shared" si="467"/>
        <v>-67.919294619340761</v>
      </c>
      <c r="BN571">
        <f t="shared" si="455"/>
        <v>-150.63106788963228</v>
      </c>
      <c r="BQ571" s="66">
        <f t="shared" si="468"/>
        <v>23.51771607624417</v>
      </c>
    </row>
    <row r="572" spans="1:69" ht="13" x14ac:dyDescent="0.3">
      <c r="A572">
        <f t="shared" si="472"/>
        <v>1790000</v>
      </c>
      <c r="B572">
        <f t="shared" si="456"/>
        <v>1790</v>
      </c>
      <c r="C572">
        <f t="shared" si="425"/>
        <v>1.1472715432244491</v>
      </c>
      <c r="D572">
        <f t="shared" si="426"/>
        <v>0.51227177178968375</v>
      </c>
      <c r="F572">
        <f t="shared" si="427"/>
        <v>2.3234822457249801E-5</v>
      </c>
      <c r="G572">
        <f t="shared" si="428"/>
        <v>1.5027857855184337E-3</v>
      </c>
      <c r="H572">
        <f t="shared" si="429"/>
        <v>-3.1400898642144819</v>
      </c>
      <c r="J572">
        <f t="shared" si="430"/>
        <v>15</v>
      </c>
      <c r="M572">
        <f t="shared" si="431"/>
        <v>6.1361888288882088E-4</v>
      </c>
      <c r="N572">
        <f t="shared" si="432"/>
        <v>-1.5707963250000001</v>
      </c>
      <c r="O572">
        <f t="shared" si="433"/>
        <v>616.42099879558032</v>
      </c>
      <c r="P572">
        <f t="shared" si="434"/>
        <v>1.5691740581820819</v>
      </c>
      <c r="Q572">
        <f t="shared" si="435"/>
        <v>236.76176394010713</v>
      </c>
      <c r="R572">
        <f t="shared" si="436"/>
        <v>1.5665726592710854</v>
      </c>
      <c r="S572">
        <f t="shared" si="437"/>
        <v>0.86701243353371171</v>
      </c>
      <c r="T572">
        <f t="shared" si="438"/>
        <v>-0.52162132839520181</v>
      </c>
      <c r="U572">
        <f t="shared" si="439"/>
        <v>0.11124188217180229</v>
      </c>
      <c r="V572">
        <f t="shared" si="440"/>
        <v>-1.4593237256440723</v>
      </c>
      <c r="X572">
        <f t="shared" si="457"/>
        <v>-49.234435994719931</v>
      </c>
      <c r="Y572">
        <f t="shared" si="441"/>
        <v>-174.39762463219503</v>
      </c>
      <c r="Z572">
        <f t="shared" si="458"/>
        <v>5.6023753678049673</v>
      </c>
      <c r="AC572">
        <v>1</v>
      </c>
      <c r="AD572">
        <f t="shared" si="442"/>
        <v>616.42018766109607</v>
      </c>
      <c r="AE572">
        <f t="shared" si="443"/>
        <v>-0.69328172485064388</v>
      </c>
      <c r="AF572">
        <f t="shared" si="444"/>
        <v>7.7603621640300005E-2</v>
      </c>
      <c r="AG572">
        <f t="shared" si="473"/>
        <v>96.870455632921363</v>
      </c>
      <c r="AH572">
        <f t="shared" si="474"/>
        <v>-878.29040871546613</v>
      </c>
      <c r="AJ572">
        <f t="shared" si="445"/>
        <v>21000</v>
      </c>
      <c r="AK572">
        <f t="shared" si="446"/>
        <v>12069.0502003197</v>
      </c>
      <c r="AL572">
        <v>1</v>
      </c>
      <c r="AM572">
        <f t="shared" si="447"/>
        <v>236.75965210320572</v>
      </c>
      <c r="AN572">
        <f t="shared" si="475"/>
        <v>51.34967361422845</v>
      </c>
      <c r="AO572">
        <f t="shared" si="476"/>
        <v>-88.480660198191458</v>
      </c>
      <c r="AQ572">
        <f t="shared" si="448"/>
        <v>7.8025024341856972E-4</v>
      </c>
      <c r="AR572">
        <f t="shared" si="449"/>
        <v>-2.7932958714384797</v>
      </c>
      <c r="AT572">
        <f t="shared" si="470"/>
        <v>-2453.2493893923388</v>
      </c>
      <c r="AU572">
        <f t="shared" si="471"/>
        <v>-271.27313008899608</v>
      </c>
      <c r="AV572">
        <f t="shared" si="459"/>
        <v>-3.0314629914501099</v>
      </c>
      <c r="AW572">
        <f t="shared" si="460"/>
        <v>-147.38410061078693</v>
      </c>
      <c r="AX572">
        <f t="shared" si="461"/>
        <v>-1146.0556624060841</v>
      </c>
      <c r="AY572">
        <f t="shared" si="469"/>
        <v>-1.6986955043464746</v>
      </c>
      <c r="BA572">
        <f t="shared" si="450"/>
        <v>2.1360585072628302</v>
      </c>
      <c r="BB572">
        <f t="shared" si="462"/>
        <v>6.5922628794282234</v>
      </c>
      <c r="BC572">
        <f t="shared" si="463"/>
        <v>-1.3327674871036352</v>
      </c>
      <c r="BD572">
        <f t="shared" si="451"/>
        <v>-256.36195217055092</v>
      </c>
      <c r="BF572">
        <f t="shared" si="452"/>
        <v>-61.369800343155639</v>
      </c>
      <c r="BG572">
        <f t="shared" si="453"/>
        <v>-226.92483836665389</v>
      </c>
      <c r="BH572">
        <f t="shared" si="464"/>
        <v>-46.924838366653887</v>
      </c>
      <c r="BI572">
        <f t="shared" si="465"/>
        <v>-46.924838366653887</v>
      </c>
      <c r="BJ572">
        <f t="shared" si="454"/>
        <v>0</v>
      </c>
      <c r="BK572">
        <f t="shared" si="466"/>
        <v>0</v>
      </c>
      <c r="BM572">
        <f t="shared" si="467"/>
        <v>-67.962063222583865</v>
      </c>
      <c r="BN572">
        <f t="shared" si="455"/>
        <v>-150.56288619610299</v>
      </c>
      <c r="BQ572" s="66">
        <f t="shared" si="468"/>
        <v>23.494223679713357</v>
      </c>
    </row>
    <row r="573" spans="1:69" ht="13" x14ac:dyDescent="0.3">
      <c r="A573">
        <f t="shared" si="472"/>
        <v>1795000</v>
      </c>
      <c r="B573">
        <f t="shared" si="456"/>
        <v>1795</v>
      </c>
      <c r="C573">
        <f t="shared" si="425"/>
        <v>1.1480422990802477</v>
      </c>
      <c r="D573">
        <f t="shared" si="426"/>
        <v>0.51346437470931949</v>
      </c>
      <c r="F573">
        <f t="shared" si="427"/>
        <v>2.3105557962226318E-5</v>
      </c>
      <c r="G573">
        <f t="shared" si="428"/>
        <v>1.4985995635109222E-3</v>
      </c>
      <c r="H573">
        <f t="shared" si="429"/>
        <v>-3.1400940504364891</v>
      </c>
      <c r="J573">
        <f t="shared" si="430"/>
        <v>15</v>
      </c>
      <c r="M573">
        <f t="shared" si="431"/>
        <v>6.1190963808968764E-4</v>
      </c>
      <c r="N573">
        <f t="shared" si="432"/>
        <v>-1.5707963250000001</v>
      </c>
      <c r="O573">
        <f t="shared" si="433"/>
        <v>618.14284063576781</v>
      </c>
      <c r="P573">
        <f t="shared" si="434"/>
        <v>1.5691785770282611</v>
      </c>
      <c r="Q573">
        <f t="shared" si="435"/>
        <v>237.42309786794945</v>
      </c>
      <c r="R573">
        <f t="shared" si="436"/>
        <v>1.5665844242223443</v>
      </c>
      <c r="S573">
        <f t="shared" si="437"/>
        <v>0.86641090735406945</v>
      </c>
      <c r="T573">
        <f t="shared" si="438"/>
        <v>-0.5228272528832385</v>
      </c>
      <c r="U573">
        <f t="shared" si="439"/>
        <v>0.11093583491098809</v>
      </c>
      <c r="V573">
        <f t="shared" si="440"/>
        <v>-1.4596316789902568</v>
      </c>
      <c r="X573">
        <f t="shared" si="457"/>
        <v>-49.282790375520307</v>
      </c>
      <c r="Y573">
        <f t="shared" si="441"/>
        <v>-174.41533918886989</v>
      </c>
      <c r="Z573">
        <f t="shared" si="458"/>
        <v>5.5846608111301066</v>
      </c>
      <c r="AC573">
        <v>1</v>
      </c>
      <c r="AD573">
        <f t="shared" si="442"/>
        <v>618.14203176070805</v>
      </c>
      <c r="AE573">
        <f t="shared" si="443"/>
        <v>-0.69716021644514714</v>
      </c>
      <c r="AF573">
        <f t="shared" si="444"/>
        <v>7.7820391533149999E-2</v>
      </c>
      <c r="AG573">
        <f t="shared" si="473"/>
        <v>96.338171301117768</v>
      </c>
      <c r="AH573">
        <f t="shared" si="474"/>
        <v>-875.90333347501507</v>
      </c>
      <c r="AJ573">
        <f t="shared" si="445"/>
        <v>21000</v>
      </c>
      <c r="AK573">
        <f t="shared" si="446"/>
        <v>12102.762631046851</v>
      </c>
      <c r="AL573">
        <v>1</v>
      </c>
      <c r="AM573">
        <f t="shared" si="447"/>
        <v>237.42099191354984</v>
      </c>
      <c r="AN573">
        <f t="shared" si="475"/>
        <v>51.347594572455868</v>
      </c>
      <c r="AO573">
        <f t="shared" si="476"/>
        <v>-88.234204720429275</v>
      </c>
      <c r="AQ573">
        <f t="shared" si="448"/>
        <v>7.7590949977812869E-4</v>
      </c>
      <c r="AR573">
        <f t="shared" si="449"/>
        <v>-2.785515104203482</v>
      </c>
      <c r="AT573">
        <f t="shared" si="470"/>
        <v>-2439.7672155145301</v>
      </c>
      <c r="AU573">
        <f t="shared" si="471"/>
        <v>-269.03105298793656</v>
      </c>
      <c r="AV573">
        <f t="shared" si="459"/>
        <v>-3.0317672040269597</v>
      </c>
      <c r="AW573">
        <f t="shared" si="460"/>
        <v>-146.27737011569099</v>
      </c>
      <c r="AX573">
        <f t="shared" si="461"/>
        <v>-1142.8860676531265</v>
      </c>
      <c r="AY573">
        <f t="shared" si="469"/>
        <v>-1.6980936981038948</v>
      </c>
      <c r="BA573">
        <f t="shared" si="450"/>
        <v>2.1303038439697617</v>
      </c>
      <c r="BB573">
        <f t="shared" si="462"/>
        <v>6.5688310204034046</v>
      </c>
      <c r="BC573">
        <f t="shared" si="463"/>
        <v>-1.3336735059230649</v>
      </c>
      <c r="BD573">
        <f t="shared" si="451"/>
        <v>-256.41386322512301</v>
      </c>
      <c r="BF573">
        <f t="shared" si="452"/>
        <v>-61.435856793863479</v>
      </c>
      <c r="BG573">
        <f t="shared" si="453"/>
        <v>-226.90865816007118</v>
      </c>
      <c r="BH573">
        <f t="shared" si="464"/>
        <v>-46.908658160071184</v>
      </c>
      <c r="BI573">
        <f t="shared" si="465"/>
        <v>-46.908658160071184</v>
      </c>
      <c r="BJ573">
        <f t="shared" si="454"/>
        <v>0</v>
      </c>
      <c r="BK573">
        <f t="shared" si="466"/>
        <v>0</v>
      </c>
      <c r="BM573">
        <f t="shared" si="467"/>
        <v>-68.004687814266887</v>
      </c>
      <c r="BN573">
        <f t="shared" si="455"/>
        <v>-150.4947949349482</v>
      </c>
      <c r="BQ573" s="66">
        <f t="shared" si="468"/>
        <v>23.47079182068854</v>
      </c>
    </row>
    <row r="574" spans="1:69" ht="13" x14ac:dyDescent="0.3">
      <c r="A574">
        <f t="shared" si="472"/>
        <v>1800000</v>
      </c>
      <c r="B574">
        <f t="shared" si="456"/>
        <v>1800</v>
      </c>
      <c r="C574">
        <f t="shared" si="425"/>
        <v>1.1488146856062131</v>
      </c>
      <c r="D574">
        <f t="shared" si="426"/>
        <v>0.51465537566738218</v>
      </c>
      <c r="F574">
        <f t="shared" si="427"/>
        <v>2.2977369206210645E-5</v>
      </c>
      <c r="G574">
        <f t="shared" si="428"/>
        <v>1.4944365998623133E-3</v>
      </c>
      <c r="H574">
        <f t="shared" si="429"/>
        <v>-3.1400982134001381</v>
      </c>
      <c r="J574">
        <f t="shared" si="430"/>
        <v>15</v>
      </c>
      <c r="M574">
        <f t="shared" si="431"/>
        <v>6.1020988909499415E-4</v>
      </c>
      <c r="N574">
        <f t="shared" si="432"/>
        <v>-1.5707963250000001</v>
      </c>
      <c r="O574">
        <f t="shared" si="433"/>
        <v>619.86468248850747</v>
      </c>
      <c r="P574">
        <f t="shared" si="434"/>
        <v>1.5691830707698051</v>
      </c>
      <c r="Q574">
        <f t="shared" si="435"/>
        <v>238.08443182847199</v>
      </c>
      <c r="R574">
        <f t="shared" si="436"/>
        <v>1.5665961238139194</v>
      </c>
      <c r="S574">
        <f t="shared" si="437"/>
        <v>0.86580895877637132</v>
      </c>
      <c r="T574">
        <f t="shared" si="438"/>
        <v>-0.52403150346173644</v>
      </c>
      <c r="U574">
        <f t="shared" si="439"/>
        <v>0.11063145661107297</v>
      </c>
      <c r="V574">
        <f t="shared" si="440"/>
        <v>-1.4599379424818988</v>
      </c>
      <c r="X574">
        <f t="shared" si="457"/>
        <v>-49.331012431459087</v>
      </c>
      <c r="Y574">
        <f t="shared" si="441"/>
        <v>-174.43295665231452</v>
      </c>
      <c r="Z574">
        <f t="shared" si="458"/>
        <v>5.5670433476854839</v>
      </c>
      <c r="AC574">
        <v>1</v>
      </c>
      <c r="AD574">
        <f t="shared" si="442"/>
        <v>619.86387586032004</v>
      </c>
      <c r="AE574">
        <f t="shared" si="443"/>
        <v>-0.70104952670518594</v>
      </c>
      <c r="AF574">
        <f t="shared" si="444"/>
        <v>7.8037161425999993E-2</v>
      </c>
      <c r="AG574">
        <f t="shared" si="473"/>
        <v>95.81024412159374</v>
      </c>
      <c r="AH574">
        <f t="shared" si="474"/>
        <v>-873.52903474830737</v>
      </c>
      <c r="AJ574">
        <f t="shared" si="445"/>
        <v>21000</v>
      </c>
      <c r="AK574">
        <f t="shared" si="446"/>
        <v>12136.475061774001</v>
      </c>
      <c r="AL574">
        <v>1</v>
      </c>
      <c r="AM574">
        <f t="shared" si="447"/>
        <v>238.08233172389399</v>
      </c>
      <c r="AN574">
        <f t="shared" si="475"/>
        <v>51.345532831549683</v>
      </c>
      <c r="AO574">
        <f t="shared" si="476"/>
        <v>-87.989118367098229</v>
      </c>
      <c r="AQ574">
        <f t="shared" si="448"/>
        <v>7.7160487873419148E-4</v>
      </c>
      <c r="AR574">
        <f t="shared" si="449"/>
        <v>-2.7777775634430895</v>
      </c>
      <c r="AT574">
        <f t="shared" si="470"/>
        <v>-2426.3954260881501</v>
      </c>
      <c r="AU574">
        <f t="shared" si="471"/>
        <v>-266.81356573389604</v>
      </c>
      <c r="AV574">
        <f t="shared" si="459"/>
        <v>-3.0320697475312532</v>
      </c>
      <c r="AW574">
        <f t="shared" si="460"/>
        <v>-145.17988447743409</v>
      </c>
      <c r="AX574">
        <f t="shared" si="461"/>
        <v>-1139.7338967934402</v>
      </c>
      <c r="AY574">
        <f t="shared" si="469"/>
        <v>-1.6974945168140367</v>
      </c>
      <c r="BA574">
        <f t="shared" si="450"/>
        <v>2.1245794185725098</v>
      </c>
      <c r="BB574">
        <f t="shared" si="462"/>
        <v>6.5454594004677489</v>
      </c>
      <c r="BC574">
        <f t="shared" si="463"/>
        <v>-1.3345752307172165</v>
      </c>
      <c r="BD574">
        <f t="shared" si="451"/>
        <v>-256.4655282501692</v>
      </c>
      <c r="BF574">
        <f t="shared" si="452"/>
        <v>-61.50170979261182</v>
      </c>
      <c r="BG574">
        <f t="shared" si="453"/>
        <v>-226.892322376994</v>
      </c>
      <c r="BH574">
        <f t="shared" si="464"/>
        <v>-46.892322376994002</v>
      </c>
      <c r="BI574">
        <f t="shared" si="465"/>
        <v>-46.892322376994002</v>
      </c>
      <c r="BJ574">
        <f t="shared" si="454"/>
        <v>0</v>
      </c>
      <c r="BK574">
        <f t="shared" si="466"/>
        <v>0</v>
      </c>
      <c r="BM574">
        <f t="shared" si="467"/>
        <v>-68.047169193079569</v>
      </c>
      <c r="BN574">
        <f t="shared" si="455"/>
        <v>-150.4267941268248</v>
      </c>
      <c r="BQ574" s="66">
        <f t="shared" si="468"/>
        <v>23.447420200752887</v>
      </c>
    </row>
    <row r="575" spans="1:69" ht="13" x14ac:dyDescent="0.3">
      <c r="A575">
        <f t="shared" si="472"/>
        <v>1805000</v>
      </c>
      <c r="B575">
        <f t="shared" si="456"/>
        <v>1805</v>
      </c>
      <c r="C575">
        <f t="shared" si="425"/>
        <v>1.1495886995154976</v>
      </c>
      <c r="D575">
        <f t="shared" si="426"/>
        <v>0.51584477451743038</v>
      </c>
      <c r="F575">
        <f t="shared" si="427"/>
        <v>2.285024428574481E-5</v>
      </c>
      <c r="G575">
        <f t="shared" si="428"/>
        <v>1.4902967012725211E-3</v>
      </c>
      <c r="H575">
        <f t="shared" si="429"/>
        <v>-3.1401023532987278</v>
      </c>
      <c r="J575">
        <f t="shared" si="430"/>
        <v>15</v>
      </c>
      <c r="M575">
        <f t="shared" si="431"/>
        <v>6.0851955699223789E-4</v>
      </c>
      <c r="N575">
        <f t="shared" si="432"/>
        <v>-1.5707963250000001</v>
      </c>
      <c r="O575">
        <f t="shared" si="433"/>
        <v>621.58652435369527</v>
      </c>
      <c r="P575">
        <f t="shared" si="434"/>
        <v>1.5691875396153387</v>
      </c>
      <c r="Q575">
        <f t="shared" si="435"/>
        <v>238.74576582140301</v>
      </c>
      <c r="R575">
        <f t="shared" si="436"/>
        <v>1.5666077585889526</v>
      </c>
      <c r="S575">
        <f t="shared" si="437"/>
        <v>0.8652065939126804</v>
      </c>
      <c r="T575">
        <f t="shared" si="438"/>
        <v>-0.52523408012795347</v>
      </c>
      <c r="U575">
        <f t="shared" si="439"/>
        <v>0.11032873374269847</v>
      </c>
      <c r="V575">
        <f t="shared" si="440"/>
        <v>-1.4602425299332469</v>
      </c>
      <c r="X575">
        <f t="shared" si="457"/>
        <v>-49.379102881185275</v>
      </c>
      <c r="Y575">
        <f t="shared" si="441"/>
        <v>-174.4504777902626</v>
      </c>
      <c r="Z575">
        <f t="shared" si="458"/>
        <v>5.549522209737404</v>
      </c>
      <c r="AC575">
        <v>1</v>
      </c>
      <c r="AD575">
        <f t="shared" si="442"/>
        <v>621.58571995993213</v>
      </c>
      <c r="AE575">
        <f t="shared" si="443"/>
        <v>-0.70494965563076029</v>
      </c>
      <c r="AF575">
        <f t="shared" si="444"/>
        <v>7.8253931318850001E-2</v>
      </c>
      <c r="AG575">
        <f t="shared" si="473"/>
        <v>95.28662686504444</v>
      </c>
      <c r="AH575">
        <f t="shared" si="474"/>
        <v>-871.16741160208426</v>
      </c>
      <c r="AJ575">
        <f t="shared" si="445"/>
        <v>21000</v>
      </c>
      <c r="AK575">
        <f t="shared" si="446"/>
        <v>12170.187492501151</v>
      </c>
      <c r="AL575">
        <v>1</v>
      </c>
      <c r="AM575">
        <f t="shared" si="447"/>
        <v>238.74367153423813</v>
      </c>
      <c r="AN575">
        <f t="shared" si="475"/>
        <v>51.3434882000819</v>
      </c>
      <c r="AO575">
        <f t="shared" si="476"/>
        <v>-87.745389761234691</v>
      </c>
      <c r="AQ575">
        <f t="shared" si="448"/>
        <v>7.6733598059131069E-4</v>
      </c>
      <c r="AR575">
        <f t="shared" si="449"/>
        <v>-2.7700828899346313</v>
      </c>
      <c r="AT575">
        <f t="shared" si="470"/>
        <v>-2413.132824290311</v>
      </c>
      <c r="AU575">
        <f t="shared" si="471"/>
        <v>-264.62033281848608</v>
      </c>
      <c r="AV575">
        <f t="shared" si="459"/>
        <v>-3.0323706356045372</v>
      </c>
      <c r="AW575">
        <f t="shared" si="460"/>
        <v>-144.09154092807682</v>
      </c>
      <c r="AX575">
        <f t="shared" si="461"/>
        <v>-1136.599007018084</v>
      </c>
      <c r="AY575">
        <f t="shared" si="469"/>
        <v>-1.6968979390002166</v>
      </c>
      <c r="BA575">
        <f t="shared" si="450"/>
        <v>2.1188849982264659</v>
      </c>
      <c r="BB575">
        <f t="shared" si="462"/>
        <v>6.5221477232579437</v>
      </c>
      <c r="BC575">
        <f t="shared" si="463"/>
        <v>-1.3354726966043207</v>
      </c>
      <c r="BD575">
        <f t="shared" si="451"/>
        <v>-256.51694925781601</v>
      </c>
      <c r="BF575">
        <f t="shared" si="452"/>
        <v>-61.567360428092258</v>
      </c>
      <c r="BG575">
        <f t="shared" si="453"/>
        <v>-226.87583304901455</v>
      </c>
      <c r="BH575">
        <f t="shared" si="464"/>
        <v>-46.875833049014545</v>
      </c>
      <c r="BI575">
        <f t="shared" si="465"/>
        <v>-46.875833049014545</v>
      </c>
      <c r="BJ575">
        <f t="shared" si="454"/>
        <v>0</v>
      </c>
      <c r="BK575">
        <f t="shared" si="466"/>
        <v>0</v>
      </c>
      <c r="BM575">
        <f t="shared" si="467"/>
        <v>-68.089508151350216</v>
      </c>
      <c r="BN575">
        <f t="shared" si="455"/>
        <v>-150.35888379119856</v>
      </c>
      <c r="BQ575" s="66">
        <f t="shared" si="468"/>
        <v>23.424108523543083</v>
      </c>
    </row>
    <row r="576" spans="1:69" ht="13" x14ac:dyDescent="0.3">
      <c r="A576">
        <f t="shared" si="472"/>
        <v>1810000</v>
      </c>
      <c r="B576">
        <f t="shared" si="456"/>
        <v>1810</v>
      </c>
      <c r="C576">
        <f t="shared" si="425"/>
        <v>1.1503643375231836</v>
      </c>
      <c r="D576">
        <f t="shared" si="426"/>
        <v>0.51703257113154755</v>
      </c>
      <c r="F576">
        <f t="shared" si="427"/>
        <v>2.2724171461563028E-5</v>
      </c>
      <c r="G576">
        <f t="shared" si="428"/>
        <v>1.4861796765776117E-3</v>
      </c>
      <c r="H576">
        <f t="shared" si="429"/>
        <v>-3.1401064703234227</v>
      </c>
      <c r="J576">
        <f t="shared" si="430"/>
        <v>15</v>
      </c>
      <c r="M576">
        <f t="shared" si="431"/>
        <v>6.0683856374087815E-4</v>
      </c>
      <c r="N576">
        <f t="shared" si="432"/>
        <v>-1.5707963250000001</v>
      </c>
      <c r="O576">
        <f t="shared" si="433"/>
        <v>623.30836623122798</v>
      </c>
      <c r="P576">
        <f t="shared" si="434"/>
        <v>1.5691919837711816</v>
      </c>
      <c r="Q576">
        <f t="shared" si="435"/>
        <v>239.40709984647407</v>
      </c>
      <c r="R576">
        <f t="shared" si="436"/>
        <v>1.5666193290845858</v>
      </c>
      <c r="S576">
        <f t="shared" si="437"/>
        <v>0.86460381885259674</v>
      </c>
      <c r="T576">
        <f t="shared" si="438"/>
        <v>-0.52643498289852153</v>
      </c>
      <c r="U576">
        <f t="shared" si="439"/>
        <v>0.11002765292140881</v>
      </c>
      <c r="V576">
        <f t="shared" si="440"/>
        <v>-1.4605454550090082</v>
      </c>
      <c r="X576">
        <f t="shared" si="457"/>
        <v>-49.427062437520519</v>
      </c>
      <c r="Y576">
        <f t="shared" si="441"/>
        <v>-174.46790336228176</v>
      </c>
      <c r="Z576">
        <f t="shared" si="458"/>
        <v>5.5320966377182401</v>
      </c>
      <c r="AC576">
        <v>1</v>
      </c>
      <c r="AD576">
        <f t="shared" si="442"/>
        <v>623.30756405954412</v>
      </c>
      <c r="AE576">
        <f t="shared" si="443"/>
        <v>-0.70886060322187017</v>
      </c>
      <c r="AF576">
        <f t="shared" si="444"/>
        <v>7.8470701211700009E-2</v>
      </c>
      <c r="AG576">
        <f t="shared" si="473"/>
        <v>94.767272937682478</v>
      </c>
      <c r="AH576">
        <f t="shared" si="474"/>
        <v>-868.81836414801944</v>
      </c>
      <c r="AJ576">
        <f t="shared" si="445"/>
        <v>21000</v>
      </c>
      <c r="AK576">
        <f t="shared" si="446"/>
        <v>12203.8999232283</v>
      </c>
      <c r="AL576">
        <v>1</v>
      </c>
      <c r="AM576">
        <f t="shared" si="447"/>
        <v>239.40501134458231</v>
      </c>
      <c r="AN576">
        <f t="shared" si="475"/>
        <v>51.341460489264847</v>
      </c>
      <c r="AO576">
        <f t="shared" si="476"/>
        <v>-87.503007651576453</v>
      </c>
      <c r="AQ576">
        <f t="shared" si="448"/>
        <v>7.6310241116705753E-4</v>
      </c>
      <c r="AR576">
        <f t="shared" si="449"/>
        <v>-2.7624307284247482</v>
      </c>
      <c r="AT576">
        <f t="shared" si="470"/>
        <v>-2399.9782294077331</v>
      </c>
      <c r="AU576">
        <f t="shared" si="471"/>
        <v>-262.4510242006167</v>
      </c>
      <c r="AV576">
        <f t="shared" si="459"/>
        <v>-3.0326698817407238</v>
      </c>
      <c r="AW576">
        <f t="shared" si="460"/>
        <v>-143.01223812484039</v>
      </c>
      <c r="AX576">
        <f t="shared" si="461"/>
        <v>-1133.4812570696286</v>
      </c>
      <c r="AY576">
        <f t="shared" si="469"/>
        <v>-1.6963039434184948</v>
      </c>
      <c r="BA576">
        <f t="shared" si="450"/>
        <v>2.1132203524114392</v>
      </c>
      <c r="BB576">
        <f t="shared" si="462"/>
        <v>6.4988956944473575</v>
      </c>
      <c r="BC576">
        <f t="shared" si="463"/>
        <v>-1.3363659383222291</v>
      </c>
      <c r="BD576">
        <f t="shared" si="451"/>
        <v>-256.56812823839562</v>
      </c>
      <c r="BF576">
        <f t="shared" si="452"/>
        <v>-61.632809780667202</v>
      </c>
      <c r="BG576">
        <f t="shared" si="453"/>
        <v>-226.85919218474703</v>
      </c>
      <c r="BH576">
        <f t="shared" si="464"/>
        <v>-46.85919218474703</v>
      </c>
      <c r="BI576">
        <f t="shared" si="465"/>
        <v>-46.85919218474703</v>
      </c>
      <c r="BJ576">
        <f t="shared" si="454"/>
        <v>0</v>
      </c>
      <c r="BK576">
        <f t="shared" si="466"/>
        <v>0</v>
      </c>
      <c r="BM576">
        <f t="shared" si="467"/>
        <v>-68.131705475114572</v>
      </c>
      <c r="BN576">
        <f t="shared" si="455"/>
        <v>-150.29106394635139</v>
      </c>
      <c r="BQ576" s="66">
        <f t="shared" si="468"/>
        <v>23.400856494732494</v>
      </c>
    </row>
    <row r="577" spans="1:69" ht="13" x14ac:dyDescent="0.3">
      <c r="A577">
        <f t="shared" si="472"/>
        <v>1815000</v>
      </c>
      <c r="B577">
        <f t="shared" si="456"/>
        <v>1815</v>
      </c>
      <c r="C577">
        <f t="shared" si="425"/>
        <v>1.1511415963463236</v>
      </c>
      <c r="D577">
        <f t="shared" si="426"/>
        <v>0.51821876540024581</v>
      </c>
      <c r="F577">
        <f t="shared" si="427"/>
        <v>2.2599139155881417E-5</v>
      </c>
      <c r="G577">
        <f t="shared" si="428"/>
        <v>1.482085336720374E-3</v>
      </c>
      <c r="H577">
        <f t="shared" si="429"/>
        <v>-3.1401105646632796</v>
      </c>
      <c r="J577">
        <f t="shared" si="430"/>
        <v>15</v>
      </c>
      <c r="M577">
        <f t="shared" si="431"/>
        <v>6.0516683216032478E-4</v>
      </c>
      <c r="N577">
        <f t="shared" si="432"/>
        <v>-1.5707963250000001</v>
      </c>
      <c r="O577">
        <f t="shared" si="433"/>
        <v>625.0302081210034</v>
      </c>
      <c r="P577">
        <f t="shared" si="434"/>
        <v>1.5691964034413803</v>
      </c>
      <c r="Q577">
        <f t="shared" si="435"/>
        <v>240.06843390341945</v>
      </c>
      <c r="R577">
        <f t="shared" si="436"/>
        <v>1.5666308358320407</v>
      </c>
      <c r="S577">
        <f t="shared" si="437"/>
        <v>0.86400063966321039</v>
      </c>
      <c r="T577">
        <f t="shared" si="438"/>
        <v>-0.52763421180933823</v>
      </c>
      <c r="U577">
        <f t="shared" si="439"/>
        <v>0.10972820090572895</v>
      </c>
      <c r="V577">
        <f t="shared" si="440"/>
        <v>-1.4608467312263582</v>
      </c>
      <c r="X577">
        <f t="shared" si="457"/>
        <v>-49.474891807521686</v>
      </c>
      <c r="Y577">
        <f t="shared" si="441"/>
        <v>-174.48523411988361</v>
      </c>
      <c r="Z577">
        <f t="shared" si="458"/>
        <v>5.5147658801163857</v>
      </c>
      <c r="AC577">
        <v>1</v>
      </c>
      <c r="AD577">
        <f t="shared" si="442"/>
        <v>625.02940815915611</v>
      </c>
      <c r="AE577">
        <f t="shared" si="443"/>
        <v>-0.7127823694785157</v>
      </c>
      <c r="AF577">
        <f t="shared" si="444"/>
        <v>7.8687471104550002E-2</v>
      </c>
      <c r="AG577">
        <f t="shared" si="473"/>
        <v>94.252136371047555</v>
      </c>
      <c r="AH577">
        <f t="shared" si="474"/>
        <v>-866.4817935294526</v>
      </c>
      <c r="AJ577">
        <f t="shared" si="445"/>
        <v>21000</v>
      </c>
      <c r="AK577">
        <f t="shared" si="446"/>
        <v>12237.612353955452</v>
      </c>
      <c r="AL577">
        <v>1</v>
      </c>
      <c r="AM577">
        <f t="shared" si="447"/>
        <v>240.06635115492645</v>
      </c>
      <c r="AN577">
        <f t="shared" si="475"/>
        <v>51.339449512907557</v>
      </c>
      <c r="AO577">
        <f t="shared" si="476"/>
        <v>-87.261960910831306</v>
      </c>
      <c r="AQ577">
        <f t="shared" si="448"/>
        <v>7.5890378170102358E-4</v>
      </c>
      <c r="AR577">
        <f t="shared" si="449"/>
        <v>-2.7548207275747156</v>
      </c>
      <c r="AT577">
        <f t="shared" si="470"/>
        <v>-2386.9304765783259</v>
      </c>
      <c r="AU577">
        <f t="shared" si="471"/>
        <v>-260.3053152030451</v>
      </c>
      <c r="AV577">
        <f t="shared" si="459"/>
        <v>-3.032967499288076</v>
      </c>
      <c r="AW577">
        <f t="shared" si="460"/>
        <v>-141.94187612643779</v>
      </c>
      <c r="AX577">
        <f t="shared" si="461"/>
        <v>-1130.3805072212053</v>
      </c>
      <c r="AY577">
        <f t="shared" si="469"/>
        <v>-1.6957125090545504</v>
      </c>
      <c r="BA577">
        <f t="shared" si="450"/>
        <v>2.107585252903629</v>
      </c>
      <c r="BB577">
        <f t="shared" si="462"/>
        <v>6.4757030217293332</v>
      </c>
      <c r="BC577">
        <f t="shared" si="463"/>
        <v>-1.3372549902335256</v>
      </c>
      <c r="BD577">
        <f t="shared" si="451"/>
        <v>-256.61906716073918</v>
      </c>
      <c r="BF577">
        <f t="shared" si="452"/>
        <v>-61.698058922454507</v>
      </c>
      <c r="BG577">
        <f t="shared" si="453"/>
        <v>-226.84240177012782</v>
      </c>
      <c r="BH577">
        <f t="shared" si="464"/>
        <v>-46.842401770127822</v>
      </c>
      <c r="BI577">
        <f t="shared" si="465"/>
        <v>-46.842401770127822</v>
      </c>
      <c r="BJ577">
        <f t="shared" si="454"/>
        <v>0</v>
      </c>
      <c r="BK577">
        <f t="shared" si="466"/>
        <v>0</v>
      </c>
      <c r="BM577">
        <f t="shared" si="467"/>
        <v>-68.173761944183838</v>
      </c>
      <c r="BN577">
        <f t="shared" si="455"/>
        <v>-150.22333460938867</v>
      </c>
      <c r="BQ577" s="66">
        <f t="shared" si="468"/>
        <v>23.377663822014473</v>
      </c>
    </row>
    <row r="578" spans="1:69" ht="13" x14ac:dyDescent="0.3">
      <c r="A578">
        <f t="shared" si="472"/>
        <v>1820000</v>
      </c>
      <c r="B578">
        <f t="shared" si="456"/>
        <v>1820</v>
      </c>
      <c r="C578">
        <f t="shared" si="425"/>
        <v>1.15192047270398</v>
      </c>
      <c r="D578">
        <f t="shared" si="426"/>
        <v>0.51940335723236919</v>
      </c>
      <c r="F578">
        <f t="shared" si="427"/>
        <v>2.2475135949739694E-5</v>
      </c>
      <c r="G578">
        <f t="shared" si="428"/>
        <v>1.4780134947213783E-3</v>
      </c>
      <c r="H578">
        <f t="shared" si="429"/>
        <v>-3.1401146365052788</v>
      </c>
      <c r="J578">
        <f t="shared" si="430"/>
        <v>15</v>
      </c>
      <c r="M578">
        <f t="shared" si="431"/>
        <v>6.0350428591812613E-4</v>
      </c>
      <c r="N578">
        <f t="shared" si="432"/>
        <v>-1.5707963250000001</v>
      </c>
      <c r="O578">
        <f t="shared" si="433"/>
        <v>626.75205002292091</v>
      </c>
      <c r="P578">
        <f t="shared" si="434"/>
        <v>1.5692007988277388</v>
      </c>
      <c r="Q578">
        <f t="shared" si="435"/>
        <v>240.7297679919765</v>
      </c>
      <c r="R578">
        <f t="shared" si="436"/>
        <v>1.5666422793567025</v>
      </c>
      <c r="S578">
        <f t="shared" si="437"/>
        <v>0.86339706238905445</v>
      </c>
      <c r="T578">
        <f t="shared" si="438"/>
        <v>-0.52883176691545952</v>
      </c>
      <c r="U578">
        <f t="shared" si="439"/>
        <v>0.1094303645952731</v>
      </c>
      <c r="V578">
        <f t="shared" si="440"/>
        <v>-1.4611463719569175</v>
      </c>
      <c r="X578">
        <f t="shared" si="457"/>
        <v>-49.522591692542541</v>
      </c>
      <c r="Y578">
        <f t="shared" si="441"/>
        <v>-174.50247080663118</v>
      </c>
      <c r="Z578">
        <f t="shared" si="458"/>
        <v>5.4975291933688197</v>
      </c>
      <c r="AC578">
        <v>1</v>
      </c>
      <c r="AD578">
        <f t="shared" si="442"/>
        <v>626.75125225876809</v>
      </c>
      <c r="AE578">
        <f t="shared" si="443"/>
        <v>-0.71671495440069688</v>
      </c>
      <c r="AF578">
        <f t="shared" si="444"/>
        <v>7.890424099740001E-2</v>
      </c>
      <c r="AG578">
        <f t="shared" si="473"/>
        <v>93.741171812005078</v>
      </c>
      <c r="AH578">
        <f t="shared" si="474"/>
        <v>-864.15760190831702</v>
      </c>
      <c r="AJ578">
        <f t="shared" si="445"/>
        <v>21000</v>
      </c>
      <c r="AK578">
        <f t="shared" si="446"/>
        <v>12271.3247846826</v>
      </c>
      <c r="AL578">
        <v>1</v>
      </c>
      <c r="AM578">
        <f t="shared" si="447"/>
        <v>240.7276909652706</v>
      </c>
      <c r="AN578">
        <f t="shared" si="475"/>
        <v>51.337455087372952</v>
      </c>
      <c r="AO578">
        <f t="shared" si="476"/>
        <v>-87.022238533974289</v>
      </c>
      <c r="AQ578">
        <f t="shared" si="448"/>
        <v>7.547397087655696E-4</v>
      </c>
      <c r="AR578">
        <f t="shared" si="449"/>
        <v>-2.7472525399066736</v>
      </c>
      <c r="AT578">
        <f t="shared" si="470"/>
        <v>-2373.9884165375711</v>
      </c>
      <c r="AU578">
        <f t="shared" si="471"/>
        <v>-258.18288641115066</v>
      </c>
      <c r="AV578">
        <f t="shared" si="459"/>
        <v>-3.0332635014511582</v>
      </c>
      <c r="AW578">
        <f t="shared" si="460"/>
        <v>-140.88035636986331</v>
      </c>
      <c r="AX578">
        <f t="shared" si="461"/>
        <v>-1127.2966192558945</v>
      </c>
      <c r="AY578">
        <f t="shared" si="469"/>
        <v>-1.6951236151206022</v>
      </c>
      <c r="BA578">
        <f t="shared" si="450"/>
        <v>2.1019794737479813</v>
      </c>
      <c r="BB578">
        <f t="shared" si="462"/>
        <v>6.4525694148005917</v>
      </c>
      <c r="BC578">
        <f t="shared" si="463"/>
        <v>-1.338139886330556</v>
      </c>
      <c r="BD578">
        <f t="shared" si="451"/>
        <v>-256.66976797246457</v>
      </c>
      <c r="BF578">
        <f t="shared" si="452"/>
        <v>-61.76310891741111</v>
      </c>
      <c r="BG578">
        <f t="shared" si="453"/>
        <v>-226.82546376871099</v>
      </c>
      <c r="BH578">
        <f t="shared" si="464"/>
        <v>-46.825463768710989</v>
      </c>
      <c r="BI578">
        <f t="shared" si="465"/>
        <v>-46.825463768710989</v>
      </c>
      <c r="BJ578">
        <f t="shared" si="454"/>
        <v>0</v>
      </c>
      <c r="BK578">
        <f t="shared" si="466"/>
        <v>0</v>
      </c>
      <c r="BM578">
        <f t="shared" si="467"/>
        <v>-68.215678332211695</v>
      </c>
      <c r="BN578">
        <f t="shared" si="455"/>
        <v>-150.15569579624645</v>
      </c>
      <c r="BQ578" s="66">
        <f t="shared" si="468"/>
        <v>23.354530215085731</v>
      </c>
    </row>
    <row r="579" spans="1:69" ht="13" x14ac:dyDescent="0.3">
      <c r="A579">
        <f t="shared" si="472"/>
        <v>1825000</v>
      </c>
      <c r="B579">
        <f t="shared" si="456"/>
        <v>1825</v>
      </c>
      <c r="C579">
        <f t="shared" si="425"/>
        <v>1.1527009633172642</v>
      </c>
      <c r="D579">
        <f t="shared" si="426"/>
        <v>0.52058634655499691</v>
      </c>
      <c r="F579">
        <f t="shared" si="427"/>
        <v>2.2352150580393869E-5</v>
      </c>
      <c r="G579">
        <f t="shared" si="428"/>
        <v>1.473963965650509E-3</v>
      </c>
      <c r="H579">
        <f t="shared" si="429"/>
        <v>-3.1401186860343495</v>
      </c>
      <c r="J579">
        <f t="shared" si="430"/>
        <v>15</v>
      </c>
      <c r="M579">
        <f t="shared" si="431"/>
        <v>6.0185084951835043E-4</v>
      </c>
      <c r="N579">
        <f t="shared" si="432"/>
        <v>-1.5707963250000001</v>
      </c>
      <c r="O579">
        <f t="shared" si="433"/>
        <v>628.47389193688048</v>
      </c>
      <c r="P579">
        <f t="shared" si="434"/>
        <v>1.5692051701298497</v>
      </c>
      <c r="Q579">
        <f t="shared" si="435"/>
        <v>241.3911021118854</v>
      </c>
      <c r="R579">
        <f t="shared" si="436"/>
        <v>1.5666536601781986</v>
      </c>
      <c r="S579">
        <f t="shared" si="437"/>
        <v>0.86279309305206242</v>
      </c>
      <c r="T579">
        <f t="shared" si="438"/>
        <v>-0.53002764829099136</v>
      </c>
      <c r="U579">
        <f t="shared" si="439"/>
        <v>0.10913413102888277</v>
      </c>
      <c r="V579">
        <f t="shared" si="440"/>
        <v>-1.461444390428698</v>
      </c>
      <c r="X579">
        <f t="shared" si="457"/>
        <v>-49.570162788294596</v>
      </c>
      <c r="Y579">
        <f t="shared" si="441"/>
        <v>-174.5196141582451</v>
      </c>
      <c r="Z579">
        <f t="shared" si="458"/>
        <v>5.4803858417548952</v>
      </c>
      <c r="AC579">
        <v>1</v>
      </c>
      <c r="AD579">
        <f t="shared" si="442"/>
        <v>628.47309635838008</v>
      </c>
      <c r="AE579">
        <f t="shared" si="443"/>
        <v>-0.7206583579884136</v>
      </c>
      <c r="AF579">
        <f t="shared" si="444"/>
        <v>7.9121010890250004E-2</v>
      </c>
      <c r="AG579">
        <f t="shared" si="473"/>
        <v>93.234334512930246</v>
      </c>
      <c r="AH579">
        <f t="shared" si="474"/>
        <v>-861.84569245226601</v>
      </c>
      <c r="AJ579">
        <f t="shared" si="445"/>
        <v>21000</v>
      </c>
      <c r="AK579">
        <f t="shared" si="446"/>
        <v>12305.037215409751</v>
      </c>
      <c r="AL579">
        <v>1</v>
      </c>
      <c r="AM579">
        <f t="shared" si="447"/>
        <v>241.38903077561474</v>
      </c>
      <c r="AN579">
        <f t="shared" si="475"/>
        <v>51.335477031536072</v>
      </c>
      <c r="AO579">
        <f t="shared" si="476"/>
        <v>-86.783829636573145</v>
      </c>
      <c r="AQ579">
        <f t="shared" si="448"/>
        <v>7.5060981417828378E-4</v>
      </c>
      <c r="AR579">
        <f t="shared" si="449"/>
        <v>-2.7397258217507359</v>
      </c>
      <c r="AT579">
        <f t="shared" si="470"/>
        <v>-2361.1509153696124</v>
      </c>
      <c r="AU579">
        <f t="shared" si="471"/>
        <v>-256.08342357388278</v>
      </c>
      <c r="AV579">
        <f t="shared" si="459"/>
        <v>-3.0335579012927569</v>
      </c>
      <c r="AW579">
        <f t="shared" si="460"/>
        <v>-139.8275816476297</v>
      </c>
      <c r="AX579">
        <f t="shared" si="461"/>
        <v>-1124.2294564464416</v>
      </c>
      <c r="AY579">
        <f t="shared" si="469"/>
        <v>-1.6945372410523838</v>
      </c>
      <c r="BA579">
        <f t="shared" si="450"/>
        <v>2.0964027912309384</v>
      </c>
      <c r="BB579">
        <f t="shared" si="462"/>
        <v>6.4294945853448233</v>
      </c>
      <c r="BC579">
        <f t="shared" si="463"/>
        <v>-1.3390206602403731</v>
      </c>
      <c r="BD579">
        <f t="shared" si="451"/>
        <v>-256.72023260025998</v>
      </c>
      <c r="BF579">
        <f t="shared" si="452"/>
        <v>-61.827960821415566</v>
      </c>
      <c r="BG579">
        <f t="shared" si="453"/>
        <v>-226.80838012195838</v>
      </c>
      <c r="BH579">
        <f t="shared" si="464"/>
        <v>-46.808380121958379</v>
      </c>
      <c r="BI579">
        <f t="shared" si="465"/>
        <v>-46.808380121958379</v>
      </c>
      <c r="BJ579">
        <f t="shared" si="454"/>
        <v>0</v>
      </c>
      <c r="BK579">
        <f t="shared" si="466"/>
        <v>0</v>
      </c>
      <c r="BM579">
        <f t="shared" si="467"/>
        <v>-68.257455406760386</v>
      </c>
      <c r="BN579">
        <f t="shared" si="455"/>
        <v>-150.0881475216984</v>
      </c>
      <c r="BQ579" s="66">
        <f t="shared" si="468"/>
        <v>23.331455385629958</v>
      </c>
    </row>
    <row r="580" spans="1:69" ht="13" x14ac:dyDescent="0.3">
      <c r="A580">
        <f t="shared" si="472"/>
        <v>1830000</v>
      </c>
      <c r="B580">
        <f t="shared" si="456"/>
        <v>1830</v>
      </c>
      <c r="C580">
        <f t="shared" si="425"/>
        <v>1.1534830649093752</v>
      </c>
      <c r="D580">
        <f t="shared" si="426"/>
        <v>0.52176773331334658</v>
      </c>
      <c r="F580">
        <f t="shared" si="427"/>
        <v>2.2230171938758653E-5</v>
      </c>
      <c r="G580">
        <f t="shared" si="428"/>
        <v>1.4699365665989655E-3</v>
      </c>
      <c r="H580">
        <f t="shared" si="429"/>
        <v>-3.1401227134334011</v>
      </c>
      <c r="J580">
        <f t="shared" si="430"/>
        <v>15</v>
      </c>
      <c r="M580">
        <f t="shared" si="431"/>
        <v>6.0020644829015819E-4</v>
      </c>
      <c r="N580">
        <f t="shared" si="432"/>
        <v>-1.5707963250000001</v>
      </c>
      <c r="O580">
        <f t="shared" si="433"/>
        <v>630.19573386278341</v>
      </c>
      <c r="P580">
        <f t="shared" si="434"/>
        <v>1.5692095175451239</v>
      </c>
      <c r="Q580">
        <f t="shared" si="435"/>
        <v>242.05243626288924</v>
      </c>
      <c r="R580">
        <f t="shared" si="436"/>
        <v>1.5666649788104778</v>
      </c>
      <c r="S580">
        <f t="shared" si="437"/>
        <v>0.86218873765152348</v>
      </c>
      <c r="T580">
        <f t="shared" si="438"/>
        <v>-0.53122185602898198</v>
      </c>
      <c r="U580">
        <f t="shared" si="439"/>
        <v>0.10883948738279413</v>
      </c>
      <c r="V580">
        <f t="shared" si="440"/>
        <v>-1.4617407997280183</v>
      </c>
      <c r="X580">
        <f t="shared" si="457"/>
        <v>-49.617605784907212</v>
      </c>
      <c r="Y580">
        <f t="shared" si="441"/>
        <v>-174.53666490270831</v>
      </c>
      <c r="Z580">
        <f t="shared" si="458"/>
        <v>5.4633350972916901</v>
      </c>
      <c r="AC580">
        <v>1</v>
      </c>
      <c r="AD580">
        <f t="shared" si="442"/>
        <v>630.19494045799206</v>
      </c>
      <c r="AE580">
        <f t="shared" si="443"/>
        <v>-0.72461258024166575</v>
      </c>
      <c r="AF580">
        <f t="shared" si="444"/>
        <v>7.9337780783099998E-2</v>
      </c>
      <c r="AG580">
        <f t="shared" si="473"/>
        <v>92.731580322073597</v>
      </c>
      <c r="AH580">
        <f t="shared" si="474"/>
        <v>-859.5459693219874</v>
      </c>
      <c r="AJ580">
        <f t="shared" si="445"/>
        <v>21000</v>
      </c>
      <c r="AK580">
        <f t="shared" si="446"/>
        <v>12338.749646136901</v>
      </c>
      <c r="AL580">
        <v>1</v>
      </c>
      <c r="AM580">
        <f t="shared" si="447"/>
        <v>242.05037058595892</v>
      </c>
      <c r="AN580">
        <f t="shared" si="475"/>
        <v>51.333515166742821</v>
      </c>
      <c r="AO580">
        <f t="shared" si="476"/>
        <v>-86.546723453140899</v>
      </c>
      <c r="AQ580">
        <f t="shared" si="448"/>
        <v>7.4651372491611235E-4</v>
      </c>
      <c r="AR580">
        <f t="shared" si="449"/>
        <v>-2.7322402331929712</v>
      </c>
      <c r="AT580">
        <f t="shared" si="470"/>
        <v>-2348.4168542629418</v>
      </c>
      <c r="AU580">
        <f t="shared" si="471"/>
        <v>-254.00661750683028</v>
      </c>
      <c r="AV580">
        <f t="shared" si="459"/>
        <v>-3.0338507117357705</v>
      </c>
      <c r="AW580">
        <f t="shared" si="460"/>
        <v>-138.78345608544251</v>
      </c>
      <c r="AX580">
        <f t="shared" si="461"/>
        <v>-1121.1788835353022</v>
      </c>
      <c r="AY580">
        <f t="shared" si="469"/>
        <v>-1.6939533665061615</v>
      </c>
      <c r="BA580">
        <f t="shared" si="450"/>
        <v>2.0908549838535557</v>
      </c>
      <c r="BB580">
        <f t="shared" si="462"/>
        <v>6.4064782470163752</v>
      </c>
      <c r="BC580">
        <f t="shared" si="463"/>
        <v>-1.339897345229609</v>
      </c>
      <c r="BD580">
        <f t="shared" si="451"/>
        <v>-256.77046295016305</v>
      </c>
      <c r="BF580">
        <f t="shared" si="452"/>
        <v>-61.892615682349579</v>
      </c>
      <c r="BG580">
        <f t="shared" si="453"/>
        <v>-226.79115274952636</v>
      </c>
      <c r="BH580">
        <f t="shared" si="464"/>
        <v>-46.791152749526361</v>
      </c>
      <c r="BI580">
        <f t="shared" si="465"/>
        <v>-46.791152749526361</v>
      </c>
      <c r="BJ580">
        <f t="shared" si="454"/>
        <v>0</v>
      </c>
      <c r="BK580">
        <f t="shared" si="466"/>
        <v>0</v>
      </c>
      <c r="BM580">
        <f t="shared" si="467"/>
        <v>-68.299093929365952</v>
      </c>
      <c r="BN580">
        <f t="shared" si="455"/>
        <v>-150.02068979936331</v>
      </c>
      <c r="BQ580" s="66">
        <f t="shared" si="468"/>
        <v>23.308439047301512</v>
      </c>
    </row>
    <row r="581" spans="1:69" ht="13" x14ac:dyDescent="0.3">
      <c r="A581">
        <f t="shared" si="472"/>
        <v>1835000</v>
      </c>
      <c r="B581">
        <f t="shared" si="456"/>
        <v>1835</v>
      </c>
      <c r="C581">
        <f t="shared" si="425"/>
        <v>1.1542667742056394</v>
      </c>
      <c r="D581">
        <f t="shared" si="426"/>
        <v>0.52294751747067725</v>
      </c>
      <c r="F581">
        <f t="shared" si="427"/>
        <v>2.2109189066898677E-5</v>
      </c>
      <c r="G581">
        <f t="shared" si="428"/>
        <v>1.4659311166517199E-3</v>
      </c>
      <c r="H581">
        <f t="shared" si="429"/>
        <v>-3.1401267188833484</v>
      </c>
      <c r="J581">
        <f t="shared" si="430"/>
        <v>15</v>
      </c>
      <c r="M581">
        <f t="shared" si="431"/>
        <v>5.9857100837656105E-4</v>
      </c>
      <c r="N581">
        <f t="shared" si="432"/>
        <v>-1.5707963250000001</v>
      </c>
      <c r="O581">
        <f t="shared" si="433"/>
        <v>631.91757580053218</v>
      </c>
      <c r="P581">
        <f t="shared" si="434"/>
        <v>1.5692138412688215</v>
      </c>
      <c r="Q581">
        <f t="shared" si="435"/>
        <v>242.71377044473374</v>
      </c>
      <c r="R581">
        <f t="shared" si="436"/>
        <v>1.5666762357618871</v>
      </c>
      <c r="S581">
        <f t="shared" si="437"/>
        <v>0.86158400216404207</v>
      </c>
      <c r="T581">
        <f t="shared" si="438"/>
        <v>-0.53241439024131376</v>
      </c>
      <c r="U581">
        <f t="shared" si="439"/>
        <v>0.10854642096883396</v>
      </c>
      <c r="V581">
        <f t="shared" si="440"/>
        <v>-1.4620356128013867</v>
      </c>
      <c r="X581">
        <f t="shared" si="457"/>
        <v>-49.664921366986846</v>
      </c>
      <c r="Y581">
        <f t="shared" si="441"/>
        <v>-174.55362376036859</v>
      </c>
      <c r="Z581">
        <f t="shared" si="458"/>
        <v>5.4463762396314053</v>
      </c>
      <c r="AC581">
        <v>1</v>
      </c>
      <c r="AD581">
        <f t="shared" si="442"/>
        <v>631.91678455760405</v>
      </c>
      <c r="AE581">
        <f t="shared" si="443"/>
        <v>-0.72857762116045355</v>
      </c>
      <c r="AF581">
        <f t="shared" si="444"/>
        <v>7.9554550675950006E-2</v>
      </c>
      <c r="AG581">
        <f t="shared" si="473"/>
        <v>92.232865674103877</v>
      </c>
      <c r="AH581">
        <f t="shared" si="474"/>
        <v>-857.25833765870686</v>
      </c>
      <c r="AJ581">
        <f t="shared" si="445"/>
        <v>21000</v>
      </c>
      <c r="AK581">
        <f t="shared" si="446"/>
        <v>12372.462076864051</v>
      </c>
      <c r="AL581">
        <v>1</v>
      </c>
      <c r="AM581">
        <f t="shared" si="447"/>
        <v>242.71171039630306</v>
      </c>
      <c r="AN581">
        <f t="shared" si="475"/>
        <v>51.331569316769709</v>
      </c>
      <c r="AO581">
        <f t="shared" si="476"/>
        <v>-86.310909335515589</v>
      </c>
      <c r="AQ581">
        <f t="shared" si="448"/>
        <v>7.4245107303112551E-4</v>
      </c>
      <c r="AR581">
        <f t="shared" si="449"/>
        <v>-2.724795438024231</v>
      </c>
      <c r="AT581">
        <f t="shared" si="470"/>
        <v>-2335.7851292705918</v>
      </c>
      <c r="AU581">
        <f t="shared" si="471"/>
        <v>-251.95216399735952</v>
      </c>
      <c r="AV581">
        <f t="shared" si="459"/>
        <v>-3.0341419455650689</v>
      </c>
      <c r="AW581">
        <f t="shared" si="460"/>
        <v>-137.74788512030327</v>
      </c>
      <c r="AX581">
        <f t="shared" si="461"/>
        <v>-1118.1447667150042</v>
      </c>
      <c r="AY581">
        <f t="shared" si="469"/>
        <v>-1.6933719713558033</v>
      </c>
      <c r="BA581">
        <f t="shared" si="450"/>
        <v>2.0853358323049855</v>
      </c>
      <c r="BB581">
        <f t="shared" si="462"/>
        <v>6.3835201154240604</v>
      </c>
      <c r="BC581">
        <f t="shared" si="463"/>
        <v>-1.3407699742092656</v>
      </c>
      <c r="BD581">
        <f t="shared" si="451"/>
        <v>-256.82046090783535</v>
      </c>
      <c r="BF581">
        <f t="shared" si="452"/>
        <v>-61.957074540178461</v>
      </c>
      <c r="BG581">
        <f t="shared" si="453"/>
        <v>-226.77378354954723</v>
      </c>
      <c r="BH581">
        <f t="shared" si="464"/>
        <v>-46.773783549547232</v>
      </c>
      <c r="BI581">
        <f t="shared" si="465"/>
        <v>-46.773783549547232</v>
      </c>
      <c r="BJ581">
        <f t="shared" si="454"/>
        <v>0</v>
      </c>
      <c r="BK581">
        <f t="shared" si="466"/>
        <v>0</v>
      </c>
      <c r="BM581">
        <f t="shared" si="467"/>
        <v>-68.340594655602516</v>
      </c>
      <c r="BN581">
        <f t="shared" si="455"/>
        <v>-149.95332264171194</v>
      </c>
      <c r="BQ581" s="66">
        <f t="shared" si="468"/>
        <v>23.285480915709197</v>
      </c>
    </row>
    <row r="582" spans="1:69" ht="13" x14ac:dyDescent="0.3">
      <c r="A582">
        <f t="shared" si="472"/>
        <v>1840000</v>
      </c>
      <c r="B582">
        <f t="shared" si="456"/>
        <v>1840</v>
      </c>
      <c r="C582">
        <f t="shared" si="425"/>
        <v>1.1550520879335477</v>
      </c>
      <c r="D582">
        <f t="shared" si="426"/>
        <v>0.52412569900819306</v>
      </c>
      <c r="F582">
        <f t="shared" si="427"/>
        <v>2.1989191155567296E-5</v>
      </c>
      <c r="G582">
        <f t="shared" si="428"/>
        <v>1.4619474368604238E-3</v>
      </c>
      <c r="H582">
        <f t="shared" si="429"/>
        <v>-3.1401307025631398</v>
      </c>
      <c r="J582">
        <f t="shared" si="430"/>
        <v>15</v>
      </c>
      <c r="M582">
        <f t="shared" si="431"/>
        <v>5.9694445672336385E-4</v>
      </c>
      <c r="N582">
        <f t="shared" si="432"/>
        <v>-1.5707963250000001</v>
      </c>
      <c r="O582">
        <f t="shared" si="433"/>
        <v>633.63941775003025</v>
      </c>
      <c r="P582">
        <f t="shared" si="434"/>
        <v>1.5692181414940791</v>
      </c>
      <c r="Q582">
        <f t="shared" si="435"/>
        <v>243.3751046571675</v>
      </c>
      <c r="R582">
        <f t="shared" si="436"/>
        <v>1.5666874315352484</v>
      </c>
      <c r="S582">
        <f t="shared" si="437"/>
        <v>0.86097889254349769</v>
      </c>
      <c r="T582">
        <f t="shared" si="438"/>
        <v>-0.53360525105859602</v>
      </c>
      <c r="U582">
        <f t="shared" si="439"/>
        <v>0.10825491923264398</v>
      </c>
      <c r="V582">
        <f t="shared" si="440"/>
        <v>-1.4623288424573573</v>
      </c>
      <c r="X582">
        <f t="shared" si="457"/>
        <v>-49.712110213675579</v>
      </c>
      <c r="Y582">
        <f t="shared" si="441"/>
        <v>-174.5704914440397</v>
      </c>
      <c r="Z582">
        <f t="shared" si="458"/>
        <v>5.4295085559602967</v>
      </c>
      <c r="AC582">
        <v>1</v>
      </c>
      <c r="AD582">
        <f t="shared" si="442"/>
        <v>633.63862865721603</v>
      </c>
      <c r="AE582">
        <f t="shared" si="443"/>
        <v>-0.73255348074477711</v>
      </c>
      <c r="AF582">
        <f t="shared" si="444"/>
        <v>7.97713205688E-2</v>
      </c>
      <c r="AG582">
        <f t="shared" si="473"/>
        <v>91.738147580825085</v>
      </c>
      <c r="AH582">
        <f t="shared" si="474"/>
        <v>-854.98270357187641</v>
      </c>
      <c r="AJ582">
        <f t="shared" si="445"/>
        <v>21000</v>
      </c>
      <c r="AK582">
        <f t="shared" si="446"/>
        <v>12406.1745075912</v>
      </c>
      <c r="AL582">
        <v>1</v>
      </c>
      <c r="AM582">
        <f t="shared" si="447"/>
        <v>243.37305020664721</v>
      </c>
      <c r="AN582">
        <f t="shared" si="475"/>
        <v>51.329639307784241</v>
      </c>
      <c r="AO582">
        <f t="shared" si="476"/>
        <v>-86.076376751266309</v>
      </c>
      <c r="AQ582">
        <f t="shared" si="448"/>
        <v>7.3842149556788345E-4</v>
      </c>
      <c r="AR582">
        <f t="shared" si="449"/>
        <v>-2.7173911036898111</v>
      </c>
      <c r="AT582">
        <f t="shared" si="470"/>
        <v>-2323.2546510747425</v>
      </c>
      <c r="AU582">
        <f t="shared" si="471"/>
        <v>-249.91976371177327</v>
      </c>
      <c r="AV582">
        <f t="shared" si="459"/>
        <v>-3.0344316154293249</v>
      </c>
      <c r="AW582">
        <f t="shared" si="460"/>
        <v>-136.72077547903029</v>
      </c>
      <c r="AX582">
        <f t="shared" si="461"/>
        <v>-1115.126973608822</v>
      </c>
      <c r="AY582">
        <f t="shared" si="469"/>
        <v>-1.6927930356898924</v>
      </c>
      <c r="BA582">
        <f t="shared" si="450"/>
        <v>2.0798451194363374</v>
      </c>
      <c r="BB582">
        <f t="shared" si="462"/>
        <v>6.3606199081151518</v>
      </c>
      <c r="BC582">
        <f t="shared" si="463"/>
        <v>-1.3416385797394326</v>
      </c>
      <c r="BD582">
        <f t="shared" si="451"/>
        <v>-256.87022833883248</v>
      </c>
      <c r="BF582">
        <f t="shared" si="452"/>
        <v>-62.021338427030628</v>
      </c>
      <c r="BG582">
        <f t="shared" si="453"/>
        <v>-226.75627439890661</v>
      </c>
      <c r="BH582">
        <f t="shared" si="464"/>
        <v>-46.756274398906612</v>
      </c>
      <c r="BI582">
        <f t="shared" si="465"/>
        <v>-46.756274398906612</v>
      </c>
      <c r="BJ582">
        <f t="shared" si="454"/>
        <v>0</v>
      </c>
      <c r="BK582">
        <f t="shared" si="466"/>
        <v>0</v>
      </c>
      <c r="BM582">
        <f t="shared" si="467"/>
        <v>-68.381958335145782</v>
      </c>
      <c r="BN582">
        <f t="shared" si="455"/>
        <v>-149.88604606007416</v>
      </c>
      <c r="BQ582" s="66">
        <f t="shared" si="468"/>
        <v>23.262580708400293</v>
      </c>
    </row>
    <row r="583" spans="1:69" ht="13" x14ac:dyDescent="0.3">
      <c r="A583">
        <f t="shared" si="472"/>
        <v>1845000</v>
      </c>
      <c r="B583">
        <f t="shared" si="456"/>
        <v>1845</v>
      </c>
      <c r="C583">
        <f t="shared" si="425"/>
        <v>1.1558390028227949</v>
      </c>
      <c r="D583">
        <f t="shared" si="426"/>
        <v>0.52530227792494544</v>
      </c>
      <c r="F583">
        <f t="shared" si="427"/>
        <v>2.187016754179205E-5</v>
      </c>
      <c r="G583">
        <f t="shared" si="428"/>
        <v>1.4579853502167577E-3</v>
      </c>
      <c r="H583">
        <f t="shared" si="429"/>
        <v>-3.1401346646497834</v>
      </c>
      <c r="J583">
        <f t="shared" si="430"/>
        <v>15</v>
      </c>
      <c r="M583">
        <f t="shared" si="431"/>
        <v>5.9532672106828697E-4</v>
      </c>
      <c r="N583">
        <f t="shared" si="432"/>
        <v>-1.5707963250000001</v>
      </c>
      <c r="O583">
        <f t="shared" si="433"/>
        <v>635.36125971118202</v>
      </c>
      <c r="P583">
        <f t="shared" si="434"/>
        <v>1.569222418411941</v>
      </c>
      <c r="Q583">
        <f t="shared" si="435"/>
        <v>244.03643889994188</v>
      </c>
      <c r="R583">
        <f t="shared" si="436"/>
        <v>1.5666985666279327</v>
      </c>
      <c r="S583">
        <f t="shared" si="437"/>
        <v>0.86037341472100559</v>
      </c>
      <c r="T583">
        <f t="shared" si="438"/>
        <v>-0.53479443863005627</v>
      </c>
      <c r="U583">
        <f t="shared" si="439"/>
        <v>0.10796496975193247</v>
      </c>
      <c r="V583">
        <f t="shared" si="440"/>
        <v>-1.4626205013683542</v>
      </c>
      <c r="X583">
        <f t="shared" si="457"/>
        <v>-49.759172998708806</v>
      </c>
      <c r="Y583">
        <f t="shared" si="441"/>
        <v>-174.58726865910108</v>
      </c>
      <c r="Z583">
        <f t="shared" si="458"/>
        <v>5.4127313408989153</v>
      </c>
      <c r="AC583">
        <v>1</v>
      </c>
      <c r="AD583">
        <f t="shared" si="442"/>
        <v>635.36047275682802</v>
      </c>
      <c r="AE583">
        <f t="shared" si="443"/>
        <v>-0.73654015899463599</v>
      </c>
      <c r="AF583">
        <f t="shared" si="444"/>
        <v>7.9988090461649994E-2</v>
      </c>
      <c r="AG583">
        <f t="shared" si="473"/>
        <v>91.247383622063992</v>
      </c>
      <c r="AH583">
        <f t="shared" si="474"/>
        <v>-852.71897412704618</v>
      </c>
      <c r="AJ583">
        <f t="shared" si="445"/>
        <v>21000</v>
      </c>
      <c r="AK583">
        <f t="shared" si="446"/>
        <v>12439.88693831835</v>
      </c>
      <c r="AL583">
        <v>1</v>
      </c>
      <c r="AM583">
        <f t="shared" si="447"/>
        <v>244.03439001699135</v>
      </c>
      <c r="AN583">
        <f t="shared" si="475"/>
        <v>51.3277249683061</v>
      </c>
      <c r="AO583">
        <f t="shared" si="476"/>
        <v>-85.843115282125211</v>
      </c>
      <c r="AQ583">
        <f t="shared" si="448"/>
        <v>7.3442463448236759E-4</v>
      </c>
      <c r="AR583">
        <f t="shared" si="449"/>
        <v>-2.7100269012399365</v>
      </c>
      <c r="AT583">
        <f t="shared" si="470"/>
        <v>-2310.8243447556524</v>
      </c>
      <c r="AU583">
        <f t="shared" si="471"/>
        <v>-247.90912210444324</v>
      </c>
      <c r="AV583">
        <f t="shared" si="459"/>
        <v>-3.0347197338428136</v>
      </c>
      <c r="AW583">
        <f t="shared" si="460"/>
        <v>-135.70203515719015</v>
      </c>
      <c r="AX583">
        <f t="shared" si="461"/>
        <v>-1112.125373251763</v>
      </c>
      <c r="AY583">
        <f t="shared" si="469"/>
        <v>-1.6922165398088869</v>
      </c>
      <c r="BA583">
        <f t="shared" si="450"/>
        <v>2.0743826302348909</v>
      </c>
      <c r="BB583">
        <f t="shared" si="462"/>
        <v>6.3377773445594752</v>
      </c>
      <c r="BC583">
        <f t="shared" si="463"/>
        <v>-1.3425031940339267</v>
      </c>
      <c r="BD583">
        <f t="shared" si="451"/>
        <v>-256.91976708887029</v>
      </c>
      <c r="BF583">
        <f t="shared" si="452"/>
        <v>-62.085408367276074</v>
      </c>
      <c r="BG583">
        <f t="shared" si="453"/>
        <v>-226.73862715351638</v>
      </c>
      <c r="BH583">
        <f t="shared" si="464"/>
        <v>-46.738627153516376</v>
      </c>
      <c r="BI583">
        <f t="shared" si="465"/>
        <v>-46.738627153516376</v>
      </c>
      <c r="BJ583">
        <f t="shared" si="454"/>
        <v>0</v>
      </c>
      <c r="BK583">
        <f t="shared" si="466"/>
        <v>0</v>
      </c>
      <c r="BM583">
        <f t="shared" si="467"/>
        <v>-68.423185711835544</v>
      </c>
      <c r="BN583">
        <f t="shared" si="455"/>
        <v>-149.81886006464612</v>
      </c>
      <c r="BQ583" s="66">
        <f t="shared" si="468"/>
        <v>23.239738144844612</v>
      </c>
    </row>
    <row r="584" spans="1:69" ht="13" x14ac:dyDescent="0.3">
      <c r="A584">
        <f t="shared" si="472"/>
        <v>1850000</v>
      </c>
      <c r="B584">
        <f t="shared" si="456"/>
        <v>1850</v>
      </c>
      <c r="C584">
        <f t="shared" si="425"/>
        <v>1.1566275156053165</v>
      </c>
      <c r="D584">
        <f t="shared" si="426"/>
        <v>0.52647725423773772</v>
      </c>
      <c r="F584">
        <f t="shared" si="427"/>
        <v>2.1752107706505764E-5</v>
      </c>
      <c r="G584">
        <f t="shared" si="428"/>
        <v>1.4540446816262089E-3</v>
      </c>
      <c r="H584">
        <f t="shared" si="429"/>
        <v>-3.140138605318374</v>
      </c>
      <c r="J584">
        <f t="shared" si="430"/>
        <v>15</v>
      </c>
      <c r="M584">
        <f t="shared" si="431"/>
        <v>5.9371772993026457E-4</v>
      </c>
      <c r="N584">
        <f t="shared" si="432"/>
        <v>-1.5707963250000001</v>
      </c>
      <c r="O584">
        <f t="shared" si="433"/>
        <v>637.08310168389289</v>
      </c>
      <c r="P584">
        <f t="shared" si="434"/>
        <v>1.5692266722113848</v>
      </c>
      <c r="Q584">
        <f t="shared" si="435"/>
        <v>244.69777317281083</v>
      </c>
      <c r="R584">
        <f t="shared" si="436"/>
        <v>1.566709641531935</v>
      </c>
      <c r="S584">
        <f t="shared" si="437"/>
        <v>0.85976757460487974</v>
      </c>
      <c r="T584">
        <f t="shared" si="438"/>
        <v>-0.53598195312343333</v>
      </c>
      <c r="U584">
        <f t="shared" si="439"/>
        <v>0.10767656023475343</v>
      </c>
      <c r="V584">
        <f t="shared" si="440"/>
        <v>-1.4629106020724685</v>
      </c>
      <c r="X584">
        <f t="shared" si="457"/>
        <v>-49.80611039047227</v>
      </c>
      <c r="Y584">
        <f t="shared" si="441"/>
        <v>-174.60395610359578</v>
      </c>
      <c r="Z584">
        <f t="shared" si="458"/>
        <v>5.3960438964042226</v>
      </c>
      <c r="AC584">
        <v>1</v>
      </c>
      <c r="AD584">
        <f t="shared" si="442"/>
        <v>637.08231685644012</v>
      </c>
      <c r="AE584">
        <f t="shared" si="443"/>
        <v>-0.74053765591003051</v>
      </c>
      <c r="AF584">
        <f t="shared" si="444"/>
        <v>8.0204860354500002E-2</v>
      </c>
      <c r="AG584">
        <f t="shared" si="473"/>
        <v>90.760531936723638</v>
      </c>
      <c r="AH584">
        <f t="shared" si="474"/>
        <v>-850.46705733390979</v>
      </c>
      <c r="AJ584">
        <f t="shared" si="445"/>
        <v>21000</v>
      </c>
      <c r="AK584">
        <f t="shared" si="446"/>
        <v>12473.599369045502</v>
      </c>
      <c r="AL584">
        <v>1</v>
      </c>
      <c r="AM584">
        <f t="shared" si="447"/>
        <v>244.69572982733547</v>
      </c>
      <c r="AN584">
        <f t="shared" si="475"/>
        <v>51.325826129169059</v>
      </c>
      <c r="AO584">
        <f t="shared" si="476"/>
        <v>-85.611114622444902</v>
      </c>
      <c r="AQ584">
        <f t="shared" si="448"/>
        <v>7.3046013656244435E-4</v>
      </c>
      <c r="AR584">
        <f t="shared" si="449"/>
        <v>-2.7027025052810441</v>
      </c>
      <c r="AT584">
        <f t="shared" si="470"/>
        <v>-2298.4931495648025</v>
      </c>
      <c r="AU584">
        <f t="shared" si="471"/>
        <v>-245.91994932886516</v>
      </c>
      <c r="AV584">
        <f t="shared" si="459"/>
        <v>-3.0350063131871874</v>
      </c>
      <c r="AW584">
        <f t="shared" si="460"/>
        <v>-134.69157339842931</v>
      </c>
      <c r="AX584">
        <f t="shared" si="461"/>
        <v>-1109.1398360718479</v>
      </c>
      <c r="AY584">
        <f t="shared" si="469"/>
        <v>-1.6916424642223242</v>
      </c>
      <c r="BA584">
        <f t="shared" si="450"/>
        <v>2.068948151798661</v>
      </c>
      <c r="BB584">
        <f t="shared" si="462"/>
        <v>6.3149921461336325</v>
      </c>
      <c r="BC584">
        <f t="shared" si="463"/>
        <v>-1.3433638489648632</v>
      </c>
      <c r="BD584">
        <f t="shared" si="451"/>
        <v>-256.96907898408642</v>
      </c>
      <c r="BF584">
        <f t="shared" si="452"/>
        <v>-62.14928537760386</v>
      </c>
      <c r="BG584">
        <f t="shared" si="453"/>
        <v>-226.7208436485837</v>
      </c>
      <c r="BH584">
        <f t="shared" si="464"/>
        <v>-46.720843648583696</v>
      </c>
      <c r="BI584">
        <f t="shared" si="465"/>
        <v>-46.720843648583696</v>
      </c>
      <c r="BJ584">
        <f t="shared" si="454"/>
        <v>0</v>
      </c>
      <c r="BK584">
        <f t="shared" si="466"/>
        <v>0</v>
      </c>
      <c r="BM584">
        <f t="shared" si="467"/>
        <v>-68.464277523737493</v>
      </c>
      <c r="BN584">
        <f t="shared" si="455"/>
        <v>-149.7517646644973</v>
      </c>
      <c r="BQ584" s="66">
        <f t="shared" si="468"/>
        <v>23.216952946418768</v>
      </c>
    </row>
    <row r="585" spans="1:69" ht="13" x14ac:dyDescent="0.3">
      <c r="A585">
        <f t="shared" si="472"/>
        <v>1855000</v>
      </c>
      <c r="B585">
        <f t="shared" si="456"/>
        <v>1855</v>
      </c>
      <c r="C585">
        <f t="shared" ref="C585:C626" si="477">SQRT((A585/Fesr)^2+1)</f>
        <v>1.1574176230153272</v>
      </c>
      <c r="D585">
        <f t="shared" ref="D585:D614" si="478">ATAN(A585/Fesr)</f>
        <v>0.52765062798102691</v>
      </c>
      <c r="F585">
        <f t="shared" ref="F585:F626" si="479">(Ro/(Ro+Rdcr))/SQRT((A585/(Q*Fo))^2+(1-(A585^2/Fo^2))^2)</f>
        <v>2.1635001272222249E-5</v>
      </c>
      <c r="G585">
        <f t="shared" ref="G585:G614" si="480">-ATAN(A585*Fo/(Q*(Fo^2-A585^2)))</f>
        <v>1.4501252578822772E-3</v>
      </c>
      <c r="H585">
        <f t="shared" ref="H585:H648" si="481">IF(G585&gt;0,G585-Pi,G585)</f>
        <v>-3.1401425247421177</v>
      </c>
      <c r="J585">
        <f t="shared" ref="J585:J648" si="482">Vin/Vramp</f>
        <v>15</v>
      </c>
      <c r="M585">
        <f t="shared" ref="M585:M614" si="483">1/(2*Pi*_Rfb1*(Cc1ea_u+Cc2ea_u)*A585)</f>
        <v>5.9211741259891616E-4</v>
      </c>
      <c r="N585">
        <f t="shared" ref="N585:N648" si="484">-Pi/2</f>
        <v>-1.5707963250000001</v>
      </c>
      <c r="O585">
        <f t="shared" ref="O585:O614" si="485">SQRT(1+(A585/Fz1_u)^2)</f>
        <v>638.80494366806965</v>
      </c>
      <c r="P585">
        <f t="shared" ref="P585:P648" si="486">ATAN2(Fz1_u,A585)</f>
        <v>1.5692309030793516</v>
      </c>
      <c r="Q585">
        <f t="shared" ref="Q585:Q614" si="487">SQRT(1+(A585/Fz2_u)^2)</f>
        <v>245.35910747553103</v>
      </c>
      <c r="R585">
        <f t="shared" ref="R585:R648" si="488">ATAN2(Fz2_u,A585)</f>
        <v>1.5667206567339453</v>
      </c>
      <c r="S585">
        <f t="shared" ref="S585:S614" si="489">1/SQRT(1+(A585/Fp1_u)^2)</f>
        <v>0.85916137808059723</v>
      </c>
      <c r="T585">
        <f t="shared" ref="T585:T648" si="490">-ATAN2(Fp1_u,A585)</f>
        <v>-0.53716779472486886</v>
      </c>
      <c r="U585">
        <f t="shared" ref="U585:U626" si="491">1/SQRT(1+(A585/Fp2_u)^2)</f>
        <v>0.1073896785178121</v>
      </c>
      <c r="V585">
        <f t="shared" ref="V585:V648" si="492">-ATAN2(Fp2_u,A585)</f>
        <v>-1.4631991569752261</v>
      </c>
      <c r="X585">
        <f t="shared" si="457"/>
        <v>-49.852923052058209</v>
      </c>
      <c r="Y585">
        <f t="shared" ref="Y585:Y614" si="493">(180/Pi)*(D585+H585+N585+P585+R585+T585+V585)</f>
        <v>-174.6205544683267</v>
      </c>
      <c r="Z585">
        <f t="shared" si="458"/>
        <v>5.3794455316732979</v>
      </c>
      <c r="AC585">
        <v>1</v>
      </c>
      <c r="AD585">
        <f t="shared" ref="AD585:AD626" si="494">Rcea1_u*Cc1ea_u*A585*2*Pi</f>
        <v>638.8041609560521</v>
      </c>
      <c r="AE585">
        <f t="shared" ref="AE585:AE626" si="495">-Rcea1_u*Cc1ea_u*Cc2ea_u*(A585*2*Pi)^2</f>
        <v>-0.74454597149096069</v>
      </c>
      <c r="AF585">
        <f t="shared" ref="AF585:AF626" si="496">(Cc2ea_u+Cc1ea_u)*A585*2*Pi</f>
        <v>8.0421630247350009E-2</v>
      </c>
      <c r="AG585">
        <f t="shared" si="473"/>
        <v>90.277551214000795</v>
      </c>
      <c r="AH585">
        <f t="shared" si="474"/>
        <v>-848.22686213453096</v>
      </c>
      <c r="AJ585">
        <f t="shared" ref="AJ585:AJ648" si="497">_Rfb1</f>
        <v>21000</v>
      </c>
      <c r="AK585">
        <f t="shared" ref="AK585:AK626" si="498">_Rfb1*Rcea2_u*Cc3ea_u*A585*2*Pi</f>
        <v>12507.311799772651</v>
      </c>
      <c r="AL585">
        <v>1</v>
      </c>
      <c r="AM585">
        <f t="shared" ref="AM585:AM626" si="499">(_Rfb1+Rcea2_u)*Cc3ea_u*A585*2*Pi</f>
        <v>245.35706963767967</v>
      </c>
      <c r="AN585">
        <f t="shared" si="475"/>
        <v>51.323942623483568</v>
      </c>
      <c r="AO585">
        <f t="shared" si="476"/>
        <v>-85.380364577680851</v>
      </c>
      <c r="AQ585">
        <f t="shared" ref="AQ585:AQ626" si="500">Eadcg/(1+(Eadcg*A585/GBP)^2)</f>
        <v>7.2652765334982653E-4</v>
      </c>
      <c r="AR585">
        <f t="shared" ref="AR585:AR626" si="501">-(A585*Eadcg*Eadcg/GBP)/(1+(Eadcg*A585/GBP)^2)</f>
        <v>-2.6954175939278562</v>
      </c>
      <c r="AT585">
        <f t="shared" si="470"/>
        <v>-2286.2600187021994</v>
      </c>
      <c r="AU585">
        <f t="shared" si="471"/>
        <v>-243.95196015059571</v>
      </c>
      <c r="AV585">
        <f t="shared" si="459"/>
        <v>-3.0352913657132192</v>
      </c>
      <c r="AW585">
        <f t="shared" si="460"/>
        <v>-133.68930067419811</v>
      </c>
      <c r="AX585">
        <f t="shared" si="461"/>
        <v>-1106.1702338716932</v>
      </c>
      <c r="AY585">
        <f t="shared" si="469"/>
        <v>-1.6910707896460691</v>
      </c>
      <c r="BA585">
        <f t="shared" ref="BA585:BA648" si="502">SQRT(AT585^2+AU585^2)/SQRT(AW585^2+AX585^2)</f>
        <v>2.0635414733113167</v>
      </c>
      <c r="BB585">
        <f t="shared" si="462"/>
        <v>6.2922640361053794</v>
      </c>
      <c r="BC585">
        <f t="shared" si="463"/>
        <v>-1.3442205760671502</v>
      </c>
      <c r="BD585">
        <f t="shared" ref="BD585:BD648" si="503">BC585*180/Pi-180</f>
        <v>-257.01816583129801</v>
      </c>
      <c r="BF585">
        <f t="shared" ref="BF585:BF648" si="504">20*LOG(BA585*J585*F585*C585)</f>
        <v>-62.212970467098678</v>
      </c>
      <c r="BG585">
        <f t="shared" ref="BG585:BG648" si="505">(180/Pi)*(D585+H585+BC585)</f>
        <v>-226.70292569887548</v>
      </c>
      <c r="BH585">
        <f t="shared" si="464"/>
        <v>-46.702925698875475</v>
      </c>
      <c r="BI585">
        <f t="shared" si="465"/>
        <v>-46.702925698875475</v>
      </c>
      <c r="BJ585">
        <f t="shared" ref="BJ585:BJ648" si="506">SUM((BF586&lt;0)*(BF585&gt;0))*A585</f>
        <v>0</v>
      </c>
      <c r="BK585">
        <f t="shared" si="466"/>
        <v>0</v>
      </c>
      <c r="BM585">
        <f t="shared" si="467"/>
        <v>-68.505234503204065</v>
      </c>
      <c r="BN585">
        <f t="shared" ref="BN585:BN648" si="507">(H585+D585)*180/Pi</f>
        <v>-149.68475986757744</v>
      </c>
      <c r="BQ585" s="66">
        <f t="shared" si="468"/>
        <v>23.194224836390518</v>
      </c>
    </row>
    <row r="586" spans="1:69" ht="13" x14ac:dyDescent="0.3">
      <c r="A586">
        <f t="shared" si="472"/>
        <v>1860000</v>
      </c>
      <c r="B586">
        <f t="shared" ref="B586:B649" si="508">A586/1000</f>
        <v>1860</v>
      </c>
      <c r="C586">
        <f t="shared" si="477"/>
        <v>1.1582093217893574</v>
      </c>
      <c r="D586">
        <f t="shared" si="478"/>
        <v>0.52882239920682772</v>
      </c>
      <c r="F586">
        <f t="shared" si="479"/>
        <v>2.1518838000755701E-5</v>
      </c>
      <c r="G586">
        <f t="shared" si="480"/>
        <v>1.4462269076410943E-3</v>
      </c>
      <c r="H586">
        <f t="shared" si="481"/>
        <v>-3.140146423092359</v>
      </c>
      <c r="J586">
        <f t="shared" si="482"/>
        <v>15</v>
      </c>
      <c r="M586">
        <f t="shared" si="483"/>
        <v>5.9052569912418785E-4</v>
      </c>
      <c r="N586">
        <f t="shared" si="484"/>
        <v>-1.5707963250000001</v>
      </c>
      <c r="O586">
        <f t="shared" si="485"/>
        <v>640.52678566361965</v>
      </c>
      <c r="P586">
        <f t="shared" si="486"/>
        <v>1.5692351112007721</v>
      </c>
      <c r="Q586">
        <f t="shared" si="487"/>
        <v>246.02044180786177</v>
      </c>
      <c r="R586">
        <f t="shared" si="488"/>
        <v>1.5667316127154203</v>
      </c>
      <c r="S586">
        <f t="shared" si="489"/>
        <v>0.85855483101076246</v>
      </c>
      <c r="T586">
        <f t="shared" si="490"/>
        <v>-0.53835196363880033</v>
      </c>
      <c r="U586">
        <f t="shared" si="491"/>
        <v>0.10710431256479683</v>
      </c>
      <c r="V586">
        <f t="shared" si="492"/>
        <v>-1.4634861783513278</v>
      </c>
      <c r="X586">
        <f t="shared" ref="X586:X614" si="509">20*LOG(C586*J586*O586*Q586*F586*M586*S586*U586)</f>
        <v>-49.899611641320966</v>
      </c>
      <c r="Y586">
        <f t="shared" si="493"/>
        <v>-174.63706443695176</v>
      </c>
      <c r="Z586">
        <f t="shared" ref="Z586:Z649" si="510">Y586+180</f>
        <v>5.3629355630482394</v>
      </c>
      <c r="AC586">
        <v>1</v>
      </c>
      <c r="AD586">
        <f t="shared" si="494"/>
        <v>640.52600505566409</v>
      </c>
      <c r="AE586">
        <f t="shared" si="495"/>
        <v>-0.7485651057374263</v>
      </c>
      <c r="AF586">
        <f t="shared" si="496"/>
        <v>8.0638400140200003E-2</v>
      </c>
      <c r="AG586">
        <f t="shared" si="473"/>
        <v>89.798400684763152</v>
      </c>
      <c r="AH586">
        <f t="shared" si="474"/>
        <v>-845.9982983917406</v>
      </c>
      <c r="AJ586">
        <f t="shared" si="497"/>
        <v>21000</v>
      </c>
      <c r="AK586">
        <f t="shared" si="498"/>
        <v>12541.024230499801</v>
      </c>
      <c r="AL586">
        <v>1</v>
      </c>
      <c r="AM586">
        <f t="shared" si="499"/>
        <v>246.01840944802382</v>
      </c>
      <c r="AN586">
        <f t="shared" si="475"/>
        <v>51.322074286600184</v>
      </c>
      <c r="AO586">
        <f t="shared" si="476"/>
        <v>-85.150855062898103</v>
      </c>
      <c r="AQ586">
        <f t="shared" si="500"/>
        <v>7.2262684106350148E-4</v>
      </c>
      <c r="AR586">
        <f t="shared" si="501"/>
        <v>-2.6881718487562254</v>
      </c>
      <c r="AT586">
        <f t="shared" si="470"/>
        <v>-2274.1239190977267</v>
      </c>
      <c r="AU586">
        <f t="shared" si="471"/>
        <v>-242.004873862024</v>
      </c>
      <c r="AV586">
        <f t="shared" ref="AV586:AV649" si="511">ATAN2(AT586,AU586)</f>
        <v>-3.035574903542523</v>
      </c>
      <c r="AW586">
        <f t="shared" ref="AW586:AW649" si="512">AG586-AH586*AO586/_Rfb2+AG586*AN586/_Rfb2+AN586-AO586*AR586+AQ586*AN586</f>
        <v>-132.69512866385713</v>
      </c>
      <c r="AX586">
        <f t="shared" ref="AX586:AX649" si="513">AH586+AH586*AN586/_Rfb2+AG586*AO586/_Rfb2+AO586+AO586*AQ586+AN586*AR586</f>
        <v>-1103.2164398103855</v>
      </c>
      <c r="AY586">
        <f t="shared" si="469"/>
        <v>-1.6905014969996042</v>
      </c>
      <c r="BA586">
        <f t="shared" si="502"/>
        <v>2.0581623860174334</v>
      </c>
      <c r="BB586">
        <f t="shared" ref="BB586:BB649" si="514">20*LOG(BA586)</f>
        <v>6.2695927396180924</v>
      </c>
      <c r="BC586">
        <f t="shared" ref="BC586:BC649" si="515">AV586-AY586</f>
        <v>-1.3450734065429188</v>
      </c>
      <c r="BD586">
        <f t="shared" si="503"/>
        <v>-257.06702941825552</v>
      </c>
      <c r="BF586">
        <f t="shared" si="504"/>
        <v>-62.276464637316415</v>
      </c>
      <c r="BG586">
        <f t="shared" si="505"/>
        <v>-226.68487509897915</v>
      </c>
      <c r="BH586">
        <f t="shared" ref="BH586:BH649" si="516">IF(BG586&gt;180,BG586-180,BG586+180)</f>
        <v>-46.684875098979148</v>
      </c>
      <c r="BI586">
        <f t="shared" ref="BI586:BI649" si="517">IF(BH586&gt;180,BH586-360,BH586)</f>
        <v>-46.684875098979148</v>
      </c>
      <c r="BJ586">
        <f t="shared" si="506"/>
        <v>0</v>
      </c>
      <c r="BK586">
        <f t="shared" ref="BK586:BK649" si="518">IF(BJ586&gt;0,BI586,0)</f>
        <v>0</v>
      </c>
      <c r="BM586">
        <f t="shared" ref="BM586:BM649" si="519">20*LOG(J586*F586*C586)</f>
        <v>-68.546057376934499</v>
      </c>
      <c r="BN586">
        <f t="shared" si="507"/>
        <v>-149.61784568072366</v>
      </c>
      <c r="BQ586" s="66">
        <f t="shared" ref="BQ586:BQ649" si="520">20*LOG(BA586*7)</f>
        <v>23.171553539903229</v>
      </c>
    </row>
    <row r="587" spans="1:69" ht="13" x14ac:dyDescent="0.3">
      <c r="A587">
        <f t="shared" si="472"/>
        <v>1865000</v>
      </c>
      <c r="B587">
        <f t="shared" si="508"/>
        <v>1865</v>
      </c>
      <c r="C587">
        <f t="shared" si="477"/>
        <v>1.1590026086662899</v>
      </c>
      <c r="D587">
        <f t="shared" si="478"/>
        <v>0.52999256798461547</v>
      </c>
      <c r="F587">
        <f t="shared" si="479"/>
        <v>2.1403607790982865E-5</v>
      </c>
      <c r="G587">
        <f t="shared" si="480"/>
        <v>1.4423494613964531E-3</v>
      </c>
      <c r="H587">
        <f t="shared" si="481"/>
        <v>-3.1401503005386036</v>
      </c>
      <c r="J587">
        <f t="shared" si="482"/>
        <v>15</v>
      </c>
      <c r="M587">
        <f t="shared" si="483"/>
        <v>5.8894252030616053E-4</v>
      </c>
      <c r="N587">
        <f t="shared" si="484"/>
        <v>-1.5707963250000001</v>
      </c>
      <c r="O587">
        <f t="shared" si="485"/>
        <v>642.24862767045147</v>
      </c>
      <c r="P587">
        <f t="shared" si="486"/>
        <v>1.5692392967585937</v>
      </c>
      <c r="Q587">
        <f t="shared" si="487"/>
        <v>246.68177616956487</v>
      </c>
      <c r="R587">
        <f t="shared" si="488"/>
        <v>1.5667425099526544</v>
      </c>
      <c r="S587">
        <f t="shared" si="489"/>
        <v>0.85794793923507551</v>
      </c>
      <c r="T587">
        <f t="shared" si="490"/>
        <v>-0.539534460087853</v>
      </c>
      <c r="U587">
        <f t="shared" si="491"/>
        <v>0.10682045046473661</v>
      </c>
      <c r="V587">
        <f t="shared" si="492"/>
        <v>-1.4637716783463639</v>
      </c>
      <c r="X587">
        <f t="shared" si="509"/>
        <v>-49.946176810931668</v>
      </c>
      <c r="Y587">
        <f t="shared" si="493"/>
        <v>-174.65348668607692</v>
      </c>
      <c r="Z587">
        <f t="shared" si="510"/>
        <v>5.3465133139230829</v>
      </c>
      <c r="AC587">
        <v>1</v>
      </c>
      <c r="AD587">
        <f t="shared" si="494"/>
        <v>642.24784915527607</v>
      </c>
      <c r="AE587">
        <f t="shared" si="495"/>
        <v>-0.75259505864942744</v>
      </c>
      <c r="AF587">
        <f t="shared" si="496"/>
        <v>8.0855170033049997E-2</v>
      </c>
      <c r="AG587">
        <f t="shared" si="473"/>
        <v>89.323040113082826</v>
      </c>
      <c r="AH587">
        <f t="shared" si="474"/>
        <v>-843.78127687770314</v>
      </c>
      <c r="AJ587">
        <f t="shared" si="497"/>
        <v>21000</v>
      </c>
      <c r="AK587">
        <f t="shared" si="498"/>
        <v>12574.736661226951</v>
      </c>
      <c r="AL587">
        <v>1</v>
      </c>
      <c r="AM587">
        <f t="shared" si="499"/>
        <v>246.67974925836793</v>
      </c>
      <c r="AN587">
        <f t="shared" si="475"/>
        <v>51.32022095607352</v>
      </c>
      <c r="AO587">
        <f t="shared" si="476"/>
        <v>-84.922576101302326</v>
      </c>
      <c r="AQ587">
        <f t="shared" si="500"/>
        <v>7.1875736052459508E-4</v>
      </c>
      <c r="AR587">
        <f t="shared" si="501"/>
        <v>-2.6809649547567398</v>
      </c>
      <c r="AT587">
        <f t="shared" si="470"/>
        <v>-2262.0838311964699</v>
      </c>
      <c r="AU587">
        <f t="shared" si="471"/>
        <v>-240.07841419893424</v>
      </c>
      <c r="AV587">
        <f t="shared" si="511"/>
        <v>-3.0358569386692413</v>
      </c>
      <c r="AW587">
        <f t="shared" si="512"/>
        <v>-131.70897023516093</v>
      </c>
      <c r="AX587">
        <f t="shared" si="513"/>
        <v>-1100.2783283856349</v>
      </c>
      <c r="AY587">
        <f t="shared" ref="AY587:AY650" si="521">ATAN2(AW587,AX587)</f>
        <v>-1.689934567403365</v>
      </c>
      <c r="BA587">
        <f t="shared" si="502"/>
        <v>2.0528106831981026</v>
      </c>
      <c r="BB587">
        <f t="shared" si="514"/>
        <v>6.2469779836754471</v>
      </c>
      <c r="BC587">
        <f t="shared" si="515"/>
        <v>-1.3459223712658763</v>
      </c>
      <c r="BD587">
        <f t="shared" si="503"/>
        <v>-257.11567151389204</v>
      </c>
      <c r="BF587">
        <f t="shared" si="504"/>
        <v>-62.33976888235879</v>
      </c>
      <c r="BG587">
        <f t="shared" si="505"/>
        <v>-226.66669362355924</v>
      </c>
      <c r="BH587">
        <f t="shared" si="516"/>
        <v>-46.66669362355924</v>
      </c>
      <c r="BI587">
        <f t="shared" si="517"/>
        <v>-46.66669362355924</v>
      </c>
      <c r="BJ587">
        <f t="shared" si="506"/>
        <v>0</v>
      </c>
      <c r="BK587">
        <f t="shared" si="518"/>
        <v>0</v>
      </c>
      <c r="BM587">
        <f t="shared" si="519"/>
        <v>-68.586746866034233</v>
      </c>
      <c r="BN587">
        <f t="shared" si="507"/>
        <v>-149.55102210966717</v>
      </c>
      <c r="BQ587" s="66">
        <f t="shared" si="520"/>
        <v>23.148938783960581</v>
      </c>
    </row>
    <row r="588" spans="1:69" ht="13" x14ac:dyDescent="0.3">
      <c r="A588">
        <f t="shared" si="472"/>
        <v>1870000</v>
      </c>
      <c r="B588">
        <f t="shared" si="508"/>
        <v>1870</v>
      </c>
      <c r="C588">
        <f t="shared" si="477"/>
        <v>1.1597974803873978</v>
      </c>
      <c r="D588">
        <f t="shared" si="478"/>
        <v>0.53116113440122936</v>
      </c>
      <c r="F588">
        <f t="shared" si="479"/>
        <v>2.1289300676646991E-5</v>
      </c>
      <c r="G588">
        <f t="shared" si="480"/>
        <v>1.4384927514552359E-3</v>
      </c>
      <c r="H588">
        <f t="shared" si="481"/>
        <v>-3.1401541572485452</v>
      </c>
      <c r="J588">
        <f t="shared" si="482"/>
        <v>15</v>
      </c>
      <c r="M588">
        <f t="shared" si="483"/>
        <v>5.8736780768502107E-4</v>
      </c>
      <c r="N588">
        <f t="shared" si="484"/>
        <v>-1.5707963250000001</v>
      </c>
      <c r="O588">
        <f t="shared" si="485"/>
        <v>643.97046968847462</v>
      </c>
      <c r="P588">
        <f t="shared" si="486"/>
        <v>1.5692434599338072</v>
      </c>
      <c r="Q588">
        <f t="shared" si="487"/>
        <v>247.34311056040471</v>
      </c>
      <c r="R588">
        <f t="shared" si="488"/>
        <v>1.5667533489168477</v>
      </c>
      <c r="S588">
        <f t="shared" si="489"/>
        <v>0.85734070857029865</v>
      </c>
      <c r="T588">
        <f t="shared" si="490"/>
        <v>-0.54071528431273275</v>
      </c>
      <c r="U588">
        <f t="shared" si="491"/>
        <v>0.10653808043038393</v>
      </c>
      <c r="V588">
        <f t="shared" si="492"/>
        <v>-1.4640556689784989</v>
      </c>
      <c r="X588">
        <f t="shared" si="509"/>
        <v>-49.992619208432359</v>
      </c>
      <c r="Y588">
        <f t="shared" si="493"/>
        <v>-174.66982188534871</v>
      </c>
      <c r="Z588">
        <f t="shared" si="510"/>
        <v>5.3301781146512894</v>
      </c>
      <c r="AC588">
        <v>1</v>
      </c>
      <c r="AD588">
        <f t="shared" si="494"/>
        <v>643.96969325488806</v>
      </c>
      <c r="AE588">
        <f t="shared" si="495"/>
        <v>-0.75663583022696423</v>
      </c>
      <c r="AF588">
        <f t="shared" si="496"/>
        <v>8.1071939925900005E-2</v>
      </c>
      <c r="AG588">
        <f t="shared" si="473"/>
        <v>88.851429787923379</v>
      </c>
      <c r="AH588">
        <f t="shared" si="474"/>
        <v>-841.57570926264964</v>
      </c>
      <c r="AJ588">
        <f t="shared" si="497"/>
        <v>21000</v>
      </c>
      <c r="AK588">
        <f t="shared" si="498"/>
        <v>12608.449091954102</v>
      </c>
      <c r="AL588">
        <v>1</v>
      </c>
      <c r="AM588">
        <f t="shared" si="499"/>
        <v>247.34108906871208</v>
      </c>
      <c r="AN588">
        <f t="shared" si="475"/>
        <v>51.318382471626876</v>
      </c>
      <c r="AO588">
        <f t="shared" si="476"/>
        <v>-84.695517822793974</v>
      </c>
      <c r="AQ588">
        <f t="shared" si="500"/>
        <v>7.1491887708263909E-4</v>
      </c>
      <c r="AR588">
        <f t="shared" si="501"/>
        <v>-2.6737966002890703</v>
      </c>
      <c r="AT588">
        <f t="shared" si="470"/>
        <v>-2250.1387487479246</v>
      </c>
      <c r="AU588">
        <f t="shared" si="471"/>
        <v>-238.17230925881864</v>
      </c>
      <c r="AV588">
        <f t="shared" si="511"/>
        <v>-3.036137482961712</v>
      </c>
      <c r="AW588">
        <f t="shared" si="512"/>
        <v>-130.73073942510678</v>
      </c>
      <c r="AX588">
        <f t="shared" si="513"/>
        <v>-1097.355775416213</v>
      </c>
      <c r="AY588">
        <f t="shared" si="521"/>
        <v>-1.6893699821761139</v>
      </c>
      <c r="BA588">
        <f t="shared" si="502"/>
        <v>2.0474861601468484</v>
      </c>
      <c r="BB588">
        <f t="shared" si="514"/>
        <v>6.224419497126112</v>
      </c>
      <c r="BC588">
        <f t="shared" si="515"/>
        <v>-1.3467675007855981</v>
      </c>
      <c r="BD588">
        <f t="shared" si="503"/>
        <v>-257.16409386856935</v>
      </c>
      <c r="BF588">
        <f t="shared" si="504"/>
        <v>-62.402884188947134</v>
      </c>
      <c r="BG588">
        <f t="shared" si="505"/>
        <v>-226.64838302761004</v>
      </c>
      <c r="BH588">
        <f t="shared" si="516"/>
        <v>-46.648383027610038</v>
      </c>
      <c r="BI588">
        <f t="shared" si="517"/>
        <v>-46.648383027610038</v>
      </c>
      <c r="BJ588">
        <f t="shared" si="506"/>
        <v>0</v>
      </c>
      <c r="BK588">
        <f t="shared" si="518"/>
        <v>0</v>
      </c>
      <c r="BM588">
        <f t="shared" si="519"/>
        <v>-68.627303686073247</v>
      </c>
      <c r="BN588">
        <f t="shared" si="507"/>
        <v>-149.48428915904066</v>
      </c>
      <c r="BQ588" s="66">
        <f t="shared" si="520"/>
        <v>23.126380297411249</v>
      </c>
    </row>
    <row r="589" spans="1:69" ht="13" x14ac:dyDescent="0.3">
      <c r="A589">
        <f t="shared" si="472"/>
        <v>1875000</v>
      </c>
      <c r="B589">
        <f t="shared" si="508"/>
        <v>1875</v>
      </c>
      <c r="C589">
        <f t="shared" si="477"/>
        <v>1.1605939336963798</v>
      </c>
      <c r="D589">
        <f t="shared" si="478"/>
        <v>0.53232809856077579</v>
      </c>
      <c r="F589">
        <f t="shared" si="479"/>
        <v>2.1175906824202754E-5</v>
      </c>
      <c r="G589">
        <f t="shared" si="480"/>
        <v>1.4346566119132383E-3</v>
      </c>
      <c r="H589">
        <f t="shared" si="481"/>
        <v>-3.1401579933880868</v>
      </c>
      <c r="J589">
        <f t="shared" si="482"/>
        <v>15</v>
      </c>
      <c r="M589">
        <f t="shared" si="483"/>
        <v>5.8580149353119437E-4</v>
      </c>
      <c r="N589">
        <f t="shared" si="484"/>
        <v>-1.5707963250000001</v>
      </c>
      <c r="O589">
        <f t="shared" si="485"/>
        <v>645.69231171759952</v>
      </c>
      <c r="P589">
        <f t="shared" si="486"/>
        <v>1.5692476009054732</v>
      </c>
      <c r="Q589">
        <f t="shared" si="487"/>
        <v>248.00444498014824</v>
      </c>
      <c r="R589">
        <f t="shared" si="488"/>
        <v>1.5667641300741741</v>
      </c>
      <c r="S589">
        <f t="shared" si="489"/>
        <v>0.856733144810227</v>
      </c>
      <c r="T589">
        <f t="shared" si="490"/>
        <v>-0.54189443657211789</v>
      </c>
      <c r="U589">
        <f t="shared" si="491"/>
        <v>0.1062571907966223</v>
      </c>
      <c r="V589">
        <f t="shared" si="492"/>
        <v>-1.464338162140133</v>
      </c>
      <c r="X589">
        <f t="shared" si="509"/>
        <v>-50.038939476289372</v>
      </c>
      <c r="Y589">
        <f t="shared" si="493"/>
        <v>-174.68607069754401</v>
      </c>
      <c r="Z589">
        <f t="shared" si="510"/>
        <v>5.313929302455989</v>
      </c>
      <c r="AC589">
        <v>1</v>
      </c>
      <c r="AD589">
        <f t="shared" si="494"/>
        <v>645.69153735450004</v>
      </c>
      <c r="AE589">
        <f t="shared" si="495"/>
        <v>-0.76068742047003668</v>
      </c>
      <c r="AF589">
        <f t="shared" si="496"/>
        <v>8.1288709818749999E-2</v>
      </c>
      <c r="AG589">
        <f t="shared" si="473"/>
        <v>88.383530514977096</v>
      </c>
      <c r="AH589">
        <f t="shared" si="474"/>
        <v>-839.38150810377726</v>
      </c>
      <c r="AJ589">
        <f t="shared" si="497"/>
        <v>21000</v>
      </c>
      <c r="AK589">
        <f t="shared" si="498"/>
        <v>12642.16152268125</v>
      </c>
      <c r="AL589">
        <v>1</v>
      </c>
      <c r="AM589">
        <f t="shared" si="499"/>
        <v>248.00242887905628</v>
      </c>
      <c r="AN589">
        <f t="shared" si="475"/>
        <v>51.316558675117705</v>
      </c>
      <c r="AO589">
        <f t="shared" si="476"/>
        <v>-84.469670462545992</v>
      </c>
      <c r="AQ589">
        <f t="shared" si="500"/>
        <v>7.1111106054321351E-4</v>
      </c>
      <c r="AR589">
        <f t="shared" si="501"/>
        <v>-2.6666664770370505</v>
      </c>
      <c r="AT589">
        <f t="shared" si="470"/>
        <v>-2238.287678599027</v>
      </c>
      <c r="AU589">
        <f t="shared" si="471"/>
        <v>-236.28629142089866</v>
      </c>
      <c r="AV589">
        <f t="shared" si="511"/>
        <v>-3.0364165481641074</v>
      </c>
      <c r="AW589">
        <f t="shared" si="512"/>
        <v>-129.76035142114381</v>
      </c>
      <c r="AX589">
        <f t="shared" si="513"/>
        <v>-1094.448658024666</v>
      </c>
      <c r="AY589">
        <f t="shared" si="521"/>
        <v>-1.6888077228323564</v>
      </c>
      <c r="BA589">
        <f t="shared" si="502"/>
        <v>2.0421886141458958</v>
      </c>
      <c r="BB589">
        <f t="shared" si="514"/>
        <v>6.2019170106486872</v>
      </c>
      <c r="BC589">
        <f t="shared" si="515"/>
        <v>-1.3476088253317511</v>
      </c>
      <c r="BD589">
        <f t="shared" si="503"/>
        <v>-257.21229821431979</v>
      </c>
      <c r="BF589">
        <f t="shared" si="504"/>
        <v>-62.46581153649511</v>
      </c>
      <c r="BG589">
        <f t="shared" si="505"/>
        <v>-226.62994504670462</v>
      </c>
      <c r="BH589">
        <f t="shared" si="516"/>
        <v>-46.62994504670462</v>
      </c>
      <c r="BI589">
        <f t="shared" si="517"/>
        <v>-46.62994504670462</v>
      </c>
      <c r="BJ589">
        <f t="shared" si="506"/>
        <v>0</v>
      </c>
      <c r="BK589">
        <f t="shared" si="518"/>
        <v>0</v>
      </c>
      <c r="BM589">
        <f t="shared" si="519"/>
        <v>-68.66772854714381</v>
      </c>
      <c r="BN589">
        <f t="shared" si="507"/>
        <v>-149.41764683238483</v>
      </c>
      <c r="BQ589" s="66">
        <f t="shared" si="520"/>
        <v>23.103877810933824</v>
      </c>
    </row>
    <row r="590" spans="1:69" ht="13" x14ac:dyDescent="0.3">
      <c r="A590">
        <f t="shared" si="472"/>
        <v>1880000</v>
      </c>
      <c r="B590">
        <f t="shared" si="508"/>
        <v>1880</v>
      </c>
      <c r="C590">
        <f t="shared" si="477"/>
        <v>1.1613919653393967</v>
      </c>
      <c r="D590">
        <f t="shared" si="478"/>
        <v>0.53349346058453129</v>
      </c>
      <c r="F590">
        <f t="shared" si="479"/>
        <v>2.1063416530701249E-5</v>
      </c>
      <c r="G590">
        <f t="shared" si="480"/>
        <v>1.4308408786313761E-3</v>
      </c>
      <c r="H590">
        <f t="shared" si="481"/>
        <v>-3.140161809121369</v>
      </c>
      <c r="J590">
        <f t="shared" si="482"/>
        <v>15</v>
      </c>
      <c r="M590">
        <f t="shared" si="483"/>
        <v>5.8424351083563261E-4</v>
      </c>
      <c r="N590">
        <f t="shared" si="484"/>
        <v>-1.5707963250000001</v>
      </c>
      <c r="O590">
        <f t="shared" si="485"/>
        <v>647.41415375773761</v>
      </c>
      <c r="P590">
        <f t="shared" si="486"/>
        <v>1.5692517198507465</v>
      </c>
      <c r="Q590">
        <f t="shared" si="487"/>
        <v>248.6657794285648</v>
      </c>
      <c r="R590">
        <f t="shared" si="488"/>
        <v>1.5667748538858493</v>
      </c>
      <c r="S590">
        <f t="shared" si="489"/>
        <v>0.85612525372565818</v>
      </c>
      <c r="T590">
        <f t="shared" si="490"/>
        <v>-0.54307191714255287</v>
      </c>
      <c r="U590">
        <f t="shared" si="491"/>
        <v>0.10597777001889833</v>
      </c>
      <c r="V590">
        <f t="shared" si="492"/>
        <v>-1.4646191695995359</v>
      </c>
      <c r="X590">
        <f t="shared" si="509"/>
        <v>-50.08513825194597</v>
      </c>
      <c r="Y590">
        <f t="shared" si="493"/>
        <v>-174.70223377865983</v>
      </c>
      <c r="Z590">
        <f t="shared" si="510"/>
        <v>5.2977662213401686</v>
      </c>
      <c r="AC590">
        <v>1</v>
      </c>
      <c r="AD590">
        <f t="shared" si="494"/>
        <v>647.41338145411203</v>
      </c>
      <c r="AE590">
        <f t="shared" si="495"/>
        <v>-0.76474982937864466</v>
      </c>
      <c r="AF590">
        <f t="shared" si="496"/>
        <v>8.1505479711600007E-2</v>
      </c>
      <c r="AG590">
        <f t="shared" si="473"/>
        <v>87.919303608649372</v>
      </c>
      <c r="AH590">
        <f t="shared" si="474"/>
        <v>-837.19858683430766</v>
      </c>
      <c r="AJ590">
        <f t="shared" si="497"/>
        <v>21000</v>
      </c>
      <c r="AK590">
        <f t="shared" si="498"/>
        <v>12675.873953408402</v>
      </c>
      <c r="AL590">
        <v>1</v>
      </c>
      <c r="AM590">
        <f t="shared" si="499"/>
        <v>248.6637686894004</v>
      </c>
      <c r="AN590">
        <f t="shared" si="475"/>
        <v>51.314749410503573</v>
      </c>
      <c r="AO590">
        <f t="shared" si="476"/>
        <v>-84.245024359604102</v>
      </c>
      <c r="AQ590">
        <f t="shared" si="500"/>
        <v>7.073335850969341E-4</v>
      </c>
      <c r="AR590">
        <f t="shared" si="501"/>
        <v>-2.6595742799644722</v>
      </c>
      <c r="AT590">
        <f t="shared" si="470"/>
        <v>-2226.5296404909068</v>
      </c>
      <c r="AU590">
        <f t="shared" si="471"/>
        <v>-234.42009726781507</v>
      </c>
      <c r="AV590">
        <f t="shared" si="511"/>
        <v>-3.0366941458980445</v>
      </c>
      <c r="AW590">
        <f t="shared" si="512"/>
        <v>-128.79772254273405</v>
      </c>
      <c r="AX590">
        <f t="shared" si="513"/>
        <v>-1091.5568546202962</v>
      </c>
      <c r="AY590">
        <f t="shared" si="521"/>
        <v>-1.688247771079797</v>
      </c>
      <c r="BA590">
        <f t="shared" si="502"/>
        <v>2.0369178444427489</v>
      </c>
      <c r="BB590">
        <f t="shared" si="514"/>
        <v>6.1794702567366961</v>
      </c>
      <c r="BC590">
        <f t="shared" si="515"/>
        <v>-1.3484463748182476</v>
      </c>
      <c r="BD590">
        <f t="shared" si="503"/>
        <v>-257.26028626508423</v>
      </c>
      <c r="BF590">
        <f t="shared" si="504"/>
        <v>-62.528551897180733</v>
      </c>
      <c r="BG590">
        <f t="shared" si="505"/>
        <v>-226.6113813972398</v>
      </c>
      <c r="BH590">
        <f t="shared" si="516"/>
        <v>-46.611381397239796</v>
      </c>
      <c r="BI590">
        <f t="shared" si="517"/>
        <v>-46.611381397239796</v>
      </c>
      <c r="BJ590">
        <f t="shared" si="506"/>
        <v>0</v>
      </c>
      <c r="BK590">
        <f t="shared" si="518"/>
        <v>0</v>
      </c>
      <c r="BM590">
        <f t="shared" si="519"/>
        <v>-68.70802215391744</v>
      </c>
      <c r="BN590">
        <f t="shared" si="507"/>
        <v>-149.35109513215556</v>
      </c>
      <c r="BQ590" s="66">
        <f t="shared" si="520"/>
        <v>23.081431057021831</v>
      </c>
    </row>
    <row r="591" spans="1:69" ht="13" x14ac:dyDescent="0.3">
      <c r="A591">
        <f t="shared" si="472"/>
        <v>1885000</v>
      </c>
      <c r="B591">
        <f t="shared" si="508"/>
        <v>1885</v>
      </c>
      <c r="C591">
        <f t="shared" si="477"/>
        <v>1.1621915720651073</v>
      </c>
      <c r="D591">
        <f t="shared" si="478"/>
        <v>0.53465722061084653</v>
      </c>
      <c r="F591">
        <f t="shared" si="479"/>
        <v>2.0951820221714177E-5</v>
      </c>
      <c r="G591">
        <f t="shared" si="480"/>
        <v>1.4270453892122734E-3</v>
      </c>
      <c r="H591">
        <f t="shared" si="481"/>
        <v>-3.1401656046107878</v>
      </c>
      <c r="J591">
        <f t="shared" si="482"/>
        <v>15</v>
      </c>
      <c r="M591">
        <f t="shared" si="483"/>
        <v>5.8269379330025959E-4</v>
      </c>
      <c r="N591">
        <f t="shared" si="484"/>
        <v>-1.5707963250000001</v>
      </c>
      <c r="O591">
        <f t="shared" si="485"/>
        <v>649.13599580880134</v>
      </c>
      <c r="P591">
        <f t="shared" si="486"/>
        <v>1.5692558169449036</v>
      </c>
      <c r="Q591">
        <f t="shared" si="487"/>
        <v>249.32711390542627</v>
      </c>
      <c r="R591">
        <f t="shared" si="488"/>
        <v>1.566785520808194</v>
      </c>
      <c r="S591">
        <f t="shared" si="489"/>
        <v>0.85551704106436499</v>
      </c>
      <c r="T591">
        <f t="shared" si="490"/>
        <v>-0.54424772631834017</v>
      </c>
      <c r="U591">
        <f t="shared" si="491"/>
        <v>0.10569980667167767</v>
      </c>
      <c r="V591">
        <f t="shared" si="492"/>
        <v>-1.4648987030024556</v>
      </c>
      <c r="X591">
        <f t="shared" si="509"/>
        <v>-50.131216167874399</v>
      </c>
      <c r="Y591">
        <f t="shared" si="493"/>
        <v>-174.71831177800058</v>
      </c>
      <c r="Z591">
        <f t="shared" si="510"/>
        <v>5.281688221999417</v>
      </c>
      <c r="AC591">
        <v>1</v>
      </c>
      <c r="AD591">
        <f t="shared" si="494"/>
        <v>649.13522555372401</v>
      </c>
      <c r="AE591">
        <f t="shared" si="495"/>
        <v>-0.7688230569527883</v>
      </c>
      <c r="AF591">
        <f t="shared" si="496"/>
        <v>8.1722249604450001E-2</v>
      </c>
      <c r="AG591">
        <f t="shared" si="473"/>
        <v>87.458710884187013</v>
      </c>
      <c r="AH591">
        <f t="shared" si="474"/>
        <v>-835.02685975270663</v>
      </c>
      <c r="AJ591">
        <f t="shared" si="497"/>
        <v>21000</v>
      </c>
      <c r="AK591">
        <f t="shared" si="498"/>
        <v>12709.586384135551</v>
      </c>
      <c r="AL591">
        <v>1</v>
      </c>
      <c r="AM591">
        <f t="shared" si="499"/>
        <v>249.32510849974454</v>
      </c>
      <c r="AN591">
        <f t="shared" si="475"/>
        <v>51.312954523808699</v>
      </c>
      <c r="AO591">
        <f t="shared" si="476"/>
        <v>-84.021569955509136</v>
      </c>
      <c r="AQ591">
        <f t="shared" si="500"/>
        <v>7.0358612924975692E-4</v>
      </c>
      <c r="AR591">
        <f t="shared" si="501"/>
        <v>-2.6525197072715838</v>
      </c>
      <c r="AT591">
        <f t="shared" si="470"/>
        <v>-2214.863666859299</v>
      </c>
      <c r="AU591">
        <f t="shared" si="471"/>
        <v>-232.57346750894681</v>
      </c>
      <c r="AV591">
        <f t="shared" si="511"/>
        <v>-3.0369702876641762</v>
      </c>
      <c r="AW591">
        <f t="shared" si="512"/>
        <v>-127.84277022325645</v>
      </c>
      <c r="AX591">
        <f t="shared" si="513"/>
        <v>-1088.6802448824099</v>
      </c>
      <c r="AY591">
        <f t="shared" si="521"/>
        <v>-1.6876901088168348</v>
      </c>
      <c r="BA591">
        <f t="shared" si="502"/>
        <v>2.0316736522270888</v>
      </c>
      <c r="BB591">
        <f t="shared" si="514"/>
        <v>6.1570789696837283</v>
      </c>
      <c r="BC591">
        <f t="shared" si="515"/>
        <v>-1.3492801788473414</v>
      </c>
      <c r="BD591">
        <f t="shared" si="503"/>
        <v>-257.3080597169469</v>
      </c>
      <c r="BF591">
        <f t="shared" si="504"/>
        <v>-62.591106236017346</v>
      </c>
      <c r="BG591">
        <f t="shared" si="505"/>
        <v>-226.59269377667749</v>
      </c>
      <c r="BH591">
        <f t="shared" si="516"/>
        <v>-46.592693776677493</v>
      </c>
      <c r="BI591">
        <f t="shared" si="517"/>
        <v>-46.592693776677493</v>
      </c>
      <c r="BJ591">
        <f t="shared" si="506"/>
        <v>0</v>
      </c>
      <c r="BK591">
        <f t="shared" si="518"/>
        <v>0</v>
      </c>
      <c r="BM591">
        <f t="shared" si="519"/>
        <v>-68.748185205701063</v>
      </c>
      <c r="BN591">
        <f t="shared" si="507"/>
        <v>-149.28463405973062</v>
      </c>
      <c r="BQ591" s="66">
        <f t="shared" si="520"/>
        <v>23.059039769968869</v>
      </c>
    </row>
    <row r="592" spans="1:69" ht="13" x14ac:dyDescent="0.3">
      <c r="A592">
        <f>A591+5000</f>
        <v>1890000</v>
      </c>
      <c r="B592">
        <f t="shared" si="508"/>
        <v>1890</v>
      </c>
      <c r="C592">
        <f t="shared" si="477"/>
        <v>1.1629927506247035</v>
      </c>
      <c r="D592">
        <f t="shared" si="478"/>
        <v>0.5358193787950486</v>
      </c>
      <c r="F592">
        <f t="shared" si="479"/>
        <v>2.0841108449296465E-5</v>
      </c>
      <c r="G592">
        <f t="shared" si="480"/>
        <v>1.4232699829772207E-3</v>
      </c>
      <c r="H592">
        <f t="shared" si="481"/>
        <v>-3.1401693800170229</v>
      </c>
      <c r="J592">
        <f t="shared" si="482"/>
        <v>15</v>
      </c>
      <c r="M592">
        <f t="shared" si="483"/>
        <v>5.8115227532856586E-4</v>
      </c>
      <c r="N592">
        <f t="shared" si="484"/>
        <v>-1.5707963250000001</v>
      </c>
      <c r="O592">
        <f t="shared" si="485"/>
        <v>650.85783787070386</v>
      </c>
      <c r="P592">
        <f t="shared" si="486"/>
        <v>1.569259892361365</v>
      </c>
      <c r="Q592">
        <f t="shared" si="487"/>
        <v>249.98844841050689</v>
      </c>
      <c r="R592">
        <f t="shared" si="488"/>
        <v>1.5667961312927019</v>
      </c>
      <c r="S592">
        <f t="shared" si="489"/>
        <v>0.8549085125510687</v>
      </c>
      <c r="T592">
        <f t="shared" si="490"/>
        <v>-0.54542186441143325</v>
      </c>
      <c r="U592">
        <f t="shared" si="491"/>
        <v>0.10542328944692436</v>
      </c>
      <c r="V592">
        <f t="shared" si="492"/>
        <v>-1.4651767738737038</v>
      </c>
      <c r="X592">
        <f t="shared" si="509"/>
        <v>-50.177173851627202</v>
      </c>
      <c r="Y592">
        <f t="shared" si="493"/>
        <v>-174.73430533826468</v>
      </c>
      <c r="Z592">
        <f t="shared" si="510"/>
        <v>5.2656946617353242</v>
      </c>
      <c r="AC592">
        <v>1</v>
      </c>
      <c r="AD592">
        <f t="shared" si="494"/>
        <v>650.857069653336</v>
      </c>
      <c r="AE592">
        <f t="shared" si="495"/>
        <v>-0.77290710319246736</v>
      </c>
      <c r="AF592">
        <f t="shared" si="496"/>
        <v>8.1939019497299995E-2</v>
      </c>
      <c r="AG592">
        <f t="shared" si="473"/>
        <v>87.001714649947942</v>
      </c>
      <c r="AH592">
        <f t="shared" si="474"/>
        <v>-832.86624201205689</v>
      </c>
      <c r="AJ592">
        <f t="shared" si="497"/>
        <v>21000</v>
      </c>
      <c r="AK592">
        <f t="shared" si="498"/>
        <v>12743.298814862701</v>
      </c>
      <c r="AL592">
        <v>1</v>
      </c>
      <c r="AM592">
        <f t="shared" si="499"/>
        <v>249.98644831008869</v>
      </c>
      <c r="AN592">
        <f t="shared" si="475"/>
        <v>51.311173863091291</v>
      </c>
      <c r="AO592">
        <f t="shared" si="476"/>
        <v>-83.79929779294153</v>
      </c>
      <c r="AQ592">
        <f t="shared" si="500"/>
        <v>6.9986837575457185E-4</v>
      </c>
      <c r="AR592">
        <f t="shared" si="501"/>
        <v>-2.6455024603522816</v>
      </c>
      <c r="AT592">
        <f t="shared" si="470"/>
        <v>-2203.2888026385353</v>
      </c>
      <c r="AU592">
        <f t="shared" si="471"/>
        <v>-230.74614690532223</v>
      </c>
      <c r="AV592">
        <f t="shared" si="511"/>
        <v>-3.0372449848437535</v>
      </c>
      <c r="AW592">
        <f t="shared" si="512"/>
        <v>-126.89541299224878</v>
      </c>
      <c r="AX592">
        <f t="shared" si="513"/>
        <v>-1085.8187097438242</v>
      </c>
      <c r="AY592">
        <f t="shared" si="521"/>
        <v>-1.6871347181300975</v>
      </c>
      <c r="BA592">
        <f t="shared" si="502"/>
        <v>2.0264558406079902</v>
      </c>
      <c r="BB592">
        <f t="shared" si="514"/>
        <v>6.1347428855687181</v>
      </c>
      <c r="BC592">
        <f t="shared" si="515"/>
        <v>-1.350110266713656</v>
      </c>
      <c r="BD592">
        <f t="shared" si="503"/>
        <v>-257.35562024836611</v>
      </c>
      <c r="BF592">
        <f t="shared" si="504"/>
        <v>-62.653475510923748</v>
      </c>
      <c r="BG592">
        <f t="shared" si="505"/>
        <v>-226.5738838637827</v>
      </c>
      <c r="BH592">
        <f t="shared" si="516"/>
        <v>-46.573883863782697</v>
      </c>
      <c r="BI592">
        <f t="shared" si="517"/>
        <v>-46.573883863782697</v>
      </c>
      <c r="BJ592">
        <f t="shared" si="506"/>
        <v>0</v>
      </c>
      <c r="BK592">
        <f t="shared" si="518"/>
        <v>0</v>
      </c>
      <c r="BM592">
        <f t="shared" si="519"/>
        <v>-68.788218396492468</v>
      </c>
      <c r="BN592">
        <f t="shared" si="507"/>
        <v>-149.21826361541662</v>
      </c>
      <c r="BQ592" s="66">
        <f t="shared" si="520"/>
        <v>23.036703685853858</v>
      </c>
    </row>
    <row r="593" spans="1:69" ht="13" x14ac:dyDescent="0.3">
      <c r="A593">
        <f t="shared" ref="A593:A598" si="522">A592+5000</f>
        <v>1895000</v>
      </c>
      <c r="B593">
        <f t="shared" si="508"/>
        <v>1895</v>
      </c>
      <c r="C593">
        <f t="shared" si="477"/>
        <v>1.1637954977719458</v>
      </c>
      <c r="D593">
        <f t="shared" si="478"/>
        <v>0.53697993530934574</v>
      </c>
      <c r="F593">
        <f t="shared" si="479"/>
        <v>2.0731271889986445E-5</v>
      </c>
      <c r="G593">
        <f t="shared" si="480"/>
        <v>1.4195145009434987E-3</v>
      </c>
      <c r="H593">
        <f t="shared" si="481"/>
        <v>-3.1401731354990567</v>
      </c>
      <c r="J593">
        <f t="shared" si="482"/>
        <v>15</v>
      </c>
      <c r="M593">
        <f t="shared" si="483"/>
        <v>5.7961889201635331E-4</v>
      </c>
      <c r="N593">
        <f t="shared" si="484"/>
        <v>-1.5707963250000001</v>
      </c>
      <c r="O593">
        <f t="shared" si="485"/>
        <v>652.57967994335957</v>
      </c>
      <c r="P593">
        <f t="shared" si="486"/>
        <v>1.5692639462717215</v>
      </c>
      <c r="Q593">
        <f t="shared" si="487"/>
        <v>250.64978294358329</v>
      </c>
      <c r="R593">
        <f t="shared" si="488"/>
        <v>1.5668066857861007</v>
      </c>
      <c r="S593">
        <f t="shared" si="489"/>
        <v>0.85429967388741379</v>
      </c>
      <c r="T593">
        <f t="shared" si="490"/>
        <v>-0.54659433175132977</v>
      </c>
      <c r="U593">
        <f t="shared" si="491"/>
        <v>0.10514820715260353</v>
      </c>
      <c r="V593">
        <f t="shared" si="492"/>
        <v>-1.4654533936187144</v>
      </c>
      <c r="X593">
        <f t="shared" si="509"/>
        <v>-50.223011925887931</v>
      </c>
      <c r="Y593">
        <f t="shared" si="493"/>
        <v>-174.75021509562922</v>
      </c>
      <c r="Z593">
        <f t="shared" si="510"/>
        <v>5.2497849043707845</v>
      </c>
      <c r="AC593">
        <v>1</v>
      </c>
      <c r="AD593">
        <f t="shared" si="494"/>
        <v>652.57891375294798</v>
      </c>
      <c r="AE593">
        <f t="shared" si="495"/>
        <v>-0.77700196809768207</v>
      </c>
      <c r="AF593">
        <f t="shared" si="496"/>
        <v>8.2155789390150002E-2</v>
      </c>
      <c r="AG593">
        <f t="shared" si="473"/>
        <v>86.548277699809006</v>
      </c>
      <c r="AH593">
        <f t="shared" si="474"/>
        <v>-830.71664960958788</v>
      </c>
      <c r="AJ593">
        <f t="shared" si="497"/>
        <v>21000</v>
      </c>
      <c r="AK593">
        <f t="shared" si="498"/>
        <v>12777.011245589851</v>
      </c>
      <c r="AL593">
        <v>1</v>
      </c>
      <c r="AM593">
        <f t="shared" si="499"/>
        <v>250.64778812043286</v>
      </c>
      <c r="AN593">
        <f t="shared" si="475"/>
        <v>51.309407278411328</v>
      </c>
      <c r="AO593">
        <f t="shared" si="476"/>
        <v>-83.578198514387154</v>
      </c>
      <c r="AQ593">
        <f t="shared" si="500"/>
        <v>6.9618001154405696E-4</v>
      </c>
      <c r="AR593">
        <f t="shared" si="501"/>
        <v>-2.638522243751976</v>
      </c>
      <c r="AT593">
        <f t="shared" si="470"/>
        <v>-2191.8041050690458</v>
      </c>
      <c r="AU593">
        <f t="shared" si="471"/>
        <v>-228.93788419608421</v>
      </c>
      <c r="AV593">
        <f t="shared" si="511"/>
        <v>-3.0375182487001648</v>
      </c>
      <c r="AW593">
        <f t="shared" si="512"/>
        <v>-125.95557045797857</v>
      </c>
      <c r="AX593">
        <f t="shared" si="513"/>
        <v>-1082.9721313746318</v>
      </c>
      <c r="AY593">
        <f t="shared" si="521"/>
        <v>-1.6865815812920129</v>
      </c>
      <c r="BA593">
        <f t="shared" si="502"/>
        <v>2.0212642145914401</v>
      </c>
      <c r="BB593">
        <f t="shared" si="514"/>
        <v>6.1124617422413383</v>
      </c>
      <c r="BC593">
        <f t="shared" si="515"/>
        <v>-1.350936667408152</v>
      </c>
      <c r="BD593">
        <f t="shared" si="503"/>
        <v>-257.40296952040148</v>
      </c>
      <c r="BF593">
        <f t="shared" si="504"/>
        <v>-62.715660672793589</v>
      </c>
      <c r="BG593">
        <f t="shared" si="505"/>
        <v>-226.55495331885732</v>
      </c>
      <c r="BH593">
        <f t="shared" si="516"/>
        <v>-46.554953318857315</v>
      </c>
      <c r="BI593">
        <f t="shared" si="517"/>
        <v>-46.554953318857315</v>
      </c>
      <c r="BJ593">
        <f t="shared" si="506"/>
        <v>0</v>
      </c>
      <c r="BK593">
        <f t="shared" si="518"/>
        <v>0</v>
      </c>
      <c r="BM593">
        <f t="shared" si="519"/>
        <v>-68.828122415034926</v>
      </c>
      <c r="BN593">
        <f t="shared" si="507"/>
        <v>-149.15198379845583</v>
      </c>
      <c r="BQ593" s="66">
        <f t="shared" si="520"/>
        <v>23.014422542526475</v>
      </c>
    </row>
    <row r="594" spans="1:69" ht="13" x14ac:dyDescent="0.3">
      <c r="A594">
        <f t="shared" si="522"/>
        <v>1900000</v>
      </c>
      <c r="B594">
        <f t="shared" si="508"/>
        <v>1900</v>
      </c>
      <c r="C594">
        <f t="shared" si="477"/>
        <v>1.1645998102631987</v>
      </c>
      <c r="D594">
        <f t="shared" si="478"/>
        <v>0.53813889034272933</v>
      </c>
      <c r="F594">
        <f t="shared" si="479"/>
        <v>2.0622301342842796E-5</v>
      </c>
      <c r="G594">
        <f t="shared" si="480"/>
        <v>1.4157787858020594E-3</v>
      </c>
      <c r="H594">
        <f t="shared" si="481"/>
        <v>-3.140176871214198</v>
      </c>
      <c r="J594">
        <f t="shared" si="482"/>
        <v>15</v>
      </c>
      <c r="M594">
        <f t="shared" si="483"/>
        <v>5.7809357914262601E-4</v>
      </c>
      <c r="N594">
        <f t="shared" si="484"/>
        <v>-1.5707963250000001</v>
      </c>
      <c r="O594">
        <f t="shared" si="485"/>
        <v>654.30152202668341</v>
      </c>
      <c r="P594">
        <f t="shared" si="486"/>
        <v>1.5692679788457575</v>
      </c>
      <c r="Q594">
        <f t="shared" si="487"/>
        <v>251.31111750443446</v>
      </c>
      <c r="R594">
        <f t="shared" si="488"/>
        <v>1.5668171847304162</v>
      </c>
      <c r="S594">
        <f t="shared" si="489"/>
        <v>0.85369053075194312</v>
      </c>
      <c r="T594">
        <f t="shared" si="490"/>
        <v>-0.54776512868496385</v>
      </c>
      <c r="U594">
        <f t="shared" si="491"/>
        <v>0.10487454871120656</v>
      </c>
      <c r="V594">
        <f t="shared" si="492"/>
        <v>-1.46572857352508</v>
      </c>
      <c r="X594">
        <f t="shared" si="509"/>
        <v>-50.268731008521158</v>
      </c>
      <c r="Y594">
        <f t="shared" si="493"/>
        <v>-174.76604167983425</v>
      </c>
      <c r="Z594">
        <f t="shared" si="510"/>
        <v>5.2339583201657547</v>
      </c>
      <c r="AC594">
        <v>1</v>
      </c>
      <c r="AD594">
        <f t="shared" si="494"/>
        <v>654.30075785256008</v>
      </c>
      <c r="AE594">
        <f t="shared" si="495"/>
        <v>-0.78110765166843232</v>
      </c>
      <c r="AF594">
        <f t="shared" si="496"/>
        <v>8.237255928300001E-2</v>
      </c>
      <c r="AG594">
        <f t="shared" si="473"/>
        <v>86.098363305709441</v>
      </c>
      <c r="AH594">
        <f t="shared" si="474"/>
        <v>-828.57799937635343</v>
      </c>
      <c r="AJ594">
        <f t="shared" si="497"/>
        <v>21000</v>
      </c>
      <c r="AK594">
        <f t="shared" si="498"/>
        <v>12810.723676317002</v>
      </c>
      <c r="AL594">
        <v>1</v>
      </c>
      <c r="AM594">
        <f t="shared" si="499"/>
        <v>251.30912793077701</v>
      </c>
      <c r="AN594">
        <f t="shared" si="475"/>
        <v>51.307654621799074</v>
      </c>
      <c r="AO594">
        <f t="shared" si="476"/>
        <v>-83.358262860824169</v>
      </c>
      <c r="AQ594">
        <f t="shared" si="500"/>
        <v>6.9252072766476955E-4</v>
      </c>
      <c r="AR594">
        <f t="shared" si="501"/>
        <v>-2.6315787651261244</v>
      </c>
      <c r="AT594">
        <f t="shared" si="470"/>
        <v>-2180.4086435082913</v>
      </c>
      <c r="AU594">
        <f t="shared" si="471"/>
        <v>-227.14843202647441</v>
      </c>
      <c r="AV594">
        <f t="shared" si="511"/>
        <v>-3.0377900903804531</v>
      </c>
      <c r="AW594">
        <f t="shared" si="512"/>
        <v>-125.02316329033683</v>
      </c>
      <c r="AX594">
        <f t="shared" si="513"/>
        <v>-1080.1403931662139</v>
      </c>
      <c r="AY594">
        <f t="shared" si="521"/>
        <v>-1.6860306807584182</v>
      </c>
      <c r="BA594">
        <f t="shared" si="502"/>
        <v>2.0160985810581651</v>
      </c>
      <c r="BB594">
        <f t="shared" si="514"/>
        <v>6.0902352793075192</v>
      </c>
      <c r="BC594">
        <f t="shared" si="515"/>
        <v>-1.3517594096220349</v>
      </c>
      <c r="BD594">
        <f t="shared" si="503"/>
        <v>-257.4501091769381</v>
      </c>
      <c r="BF594">
        <f t="shared" si="504"/>
        <v>-62.777662665563774</v>
      </c>
      <c r="BG594">
        <f t="shared" si="505"/>
        <v>-226.53590378397101</v>
      </c>
      <c r="BH594">
        <f t="shared" si="516"/>
        <v>-46.535903783971008</v>
      </c>
      <c r="BI594">
        <f t="shared" si="517"/>
        <v>-46.535903783971008</v>
      </c>
      <c r="BJ594">
        <f t="shared" si="506"/>
        <v>0</v>
      </c>
      <c r="BK594">
        <f t="shared" si="518"/>
        <v>0</v>
      </c>
      <c r="BM594">
        <f t="shared" si="519"/>
        <v>-68.867897944871302</v>
      </c>
      <c r="BN594">
        <f t="shared" si="507"/>
        <v>-149.08579460703294</v>
      </c>
      <c r="BQ594" s="66">
        <f t="shared" si="520"/>
        <v>22.992196079592656</v>
      </c>
    </row>
    <row r="595" spans="1:69" ht="13" x14ac:dyDescent="0.3">
      <c r="A595">
        <f t="shared" si="522"/>
        <v>1905000</v>
      </c>
      <c r="B595">
        <f t="shared" si="508"/>
        <v>1905</v>
      </c>
      <c r="C595">
        <f t="shared" si="477"/>
        <v>1.1654056848574639</v>
      </c>
      <c r="D595">
        <f t="shared" si="478"/>
        <v>0.53929624410087851</v>
      </c>
      <c r="F595">
        <f t="shared" si="479"/>
        <v>2.0514187727517566E-5</v>
      </c>
      <c r="G595">
        <f t="shared" si="480"/>
        <v>1.4120626818955602E-3</v>
      </c>
      <c r="H595">
        <f t="shared" si="481"/>
        <v>-3.1401805873181048</v>
      </c>
      <c r="J595">
        <f t="shared" si="482"/>
        <v>15</v>
      </c>
      <c r="M595">
        <f t="shared" si="483"/>
        <v>5.7657627316062441E-4</v>
      </c>
      <c r="N595">
        <f t="shared" si="484"/>
        <v>-1.5707963250000001</v>
      </c>
      <c r="O595">
        <f t="shared" si="485"/>
        <v>656.0233641205914</v>
      </c>
      <c r="P595">
        <f t="shared" si="486"/>
        <v>1.5692719902514756</v>
      </c>
      <c r="Q595">
        <f t="shared" si="487"/>
        <v>251.97245209284168</v>
      </c>
      <c r="R595">
        <f t="shared" si="488"/>
        <v>1.5668276285630334</v>
      </c>
      <c r="S595">
        <f t="shared" si="489"/>
        <v>0.85308108880007594</v>
      </c>
      <c r="T595">
        <f t="shared" si="490"/>
        <v>-0.54893425557660025</v>
      </c>
      <c r="U595">
        <f t="shared" si="491"/>
        <v>0.10460230315829866</v>
      </c>
      <c r="V595">
        <f t="shared" si="492"/>
        <v>-1.4660023247640639</v>
      </c>
      <c r="X595">
        <f t="shared" si="509"/>
        <v>-50.3143317126219</v>
      </c>
      <c r="Y595">
        <f t="shared" si="493"/>
        <v>-174.7817857142646</v>
      </c>
      <c r="Z595">
        <f t="shared" si="510"/>
        <v>5.2182142857353995</v>
      </c>
      <c r="AC595">
        <v>1</v>
      </c>
      <c r="AD595">
        <f t="shared" si="494"/>
        <v>656.02260195217207</v>
      </c>
      <c r="AE595">
        <f t="shared" si="495"/>
        <v>-0.78522415390471811</v>
      </c>
      <c r="AF595">
        <f t="shared" si="496"/>
        <v>8.2589329175850004E-2</v>
      </c>
      <c r="AG595">
        <f t="shared" si="473"/>
        <v>85.651935210326826</v>
      </c>
      <c r="AH595">
        <f t="shared" si="474"/>
        <v>-826.4502089670608</v>
      </c>
      <c r="AJ595">
        <f t="shared" si="497"/>
        <v>21000</v>
      </c>
      <c r="AK595">
        <f t="shared" si="498"/>
        <v>12844.43610704415</v>
      </c>
      <c r="AL595">
        <v>1</v>
      </c>
      <c r="AM595">
        <f t="shared" si="499"/>
        <v>251.97046774112115</v>
      </c>
      <c r="AN595">
        <f t="shared" si="475"/>
        <v>51.305915747223978</v>
      </c>
      <c r="AO595">
        <f t="shared" si="476"/>
        <v>-83.139481670430627</v>
      </c>
      <c r="AQ595">
        <f t="shared" si="500"/>
        <v>6.8889021921244556E-4</v>
      </c>
      <c r="AR595">
        <f t="shared" si="501"/>
        <v>-2.6246717351994175</v>
      </c>
      <c r="AT595">
        <f t="shared" si="470"/>
        <v>-2169.1014992450737</v>
      </c>
      <c r="AU595">
        <f t="shared" si="471"/>
        <v>-225.37754687730009</v>
      </c>
      <c r="AV595">
        <f t="shared" si="511"/>
        <v>-3.0380605209168072</v>
      </c>
      <c r="AW595">
        <f t="shared" si="512"/>
        <v>-124.09811320404772</v>
      </c>
      <c r="AX595">
        <f t="shared" si="513"/>
        <v>-1077.3233797155031</v>
      </c>
      <c r="AY595">
        <f t="shared" si="521"/>
        <v>-1.6854819991662069</v>
      </c>
      <c r="BA595">
        <f t="shared" si="502"/>
        <v>2.0109587487417575</v>
      </c>
      <c r="BB595">
        <f t="shared" si="514"/>
        <v>6.068063238115105</v>
      </c>
      <c r="BC595">
        <f t="shared" si="515"/>
        <v>-1.3525785217506003</v>
      </c>
      <c r="BD595">
        <f t="shared" si="503"/>
        <v>-257.49704084490651</v>
      </c>
      <c r="BF595">
        <f t="shared" si="504"/>
        <v>-62.839482426282089</v>
      </c>
      <c r="BG595">
        <f t="shared" si="505"/>
        <v>-226.51673688318846</v>
      </c>
      <c r="BH595">
        <f t="shared" si="516"/>
        <v>-46.516736883188457</v>
      </c>
      <c r="BI595">
        <f t="shared" si="517"/>
        <v>-46.516736883188457</v>
      </c>
      <c r="BJ595">
        <f t="shared" si="506"/>
        <v>0</v>
      </c>
      <c r="BK595">
        <f t="shared" si="518"/>
        <v>0</v>
      </c>
      <c r="BM595">
        <f t="shared" si="519"/>
        <v>-68.90754566439719</v>
      </c>
      <c r="BN595">
        <f t="shared" si="507"/>
        <v>-149.01969603828198</v>
      </c>
      <c r="BQ595" s="66">
        <f t="shared" si="520"/>
        <v>22.97002403840024</v>
      </c>
    </row>
    <row r="596" spans="1:69" ht="13" x14ac:dyDescent="0.3">
      <c r="A596">
        <f t="shared" si="522"/>
        <v>1910000</v>
      </c>
      <c r="B596">
        <f t="shared" si="508"/>
        <v>1910</v>
      </c>
      <c r="C596">
        <f t="shared" si="477"/>
        <v>1.1662131183164164</v>
      </c>
      <c r="D596">
        <f t="shared" si="478"/>
        <v>0.54045199680606315</v>
      </c>
      <c r="F596">
        <f t="shared" si="479"/>
        <v>2.040692208236444E-5</v>
      </c>
      <c r="G596">
        <f t="shared" si="480"/>
        <v>1.4083660351967406E-3</v>
      </c>
      <c r="H596">
        <f t="shared" si="481"/>
        <v>-3.1401842839648033</v>
      </c>
      <c r="J596">
        <f t="shared" si="482"/>
        <v>15</v>
      </c>
      <c r="M596">
        <f t="shared" si="483"/>
        <v>5.7506691118899974E-4</v>
      </c>
      <c r="N596">
        <f t="shared" si="484"/>
        <v>-1.5707963250000001</v>
      </c>
      <c r="O596">
        <f t="shared" si="485"/>
        <v>657.7452062250004</v>
      </c>
      <c r="P596">
        <f t="shared" si="486"/>
        <v>1.5692759806551178</v>
      </c>
      <c r="Q596">
        <f t="shared" si="487"/>
        <v>252.63378670858856</v>
      </c>
      <c r="R596">
        <f t="shared" si="488"/>
        <v>1.5668380177167576</v>
      </c>
      <c r="S596">
        <f t="shared" si="489"/>
        <v>0.85247135366408588</v>
      </c>
      <c r="T596">
        <f t="shared" si="490"/>
        <v>-0.55010171280772635</v>
      </c>
      <c r="U596">
        <f t="shared" si="491"/>
        <v>0.10433145964108834</v>
      </c>
      <c r="V596">
        <f t="shared" si="492"/>
        <v>-1.4662746583920894</v>
      </c>
      <c r="X596">
        <f t="shared" si="509"/>
        <v>-50.359814646564367</v>
      </c>
      <c r="Y596">
        <f t="shared" si="493"/>
        <v>-174.79744781603131</v>
      </c>
      <c r="Z596">
        <f t="shared" si="510"/>
        <v>5.2025521839686917</v>
      </c>
      <c r="AC596">
        <v>1</v>
      </c>
      <c r="AD596">
        <f t="shared" si="494"/>
        <v>657.74444605178405</v>
      </c>
      <c r="AE596">
        <f t="shared" si="495"/>
        <v>-0.78935147480653955</v>
      </c>
      <c r="AF596">
        <f t="shared" si="496"/>
        <v>8.2806099068699998E-2</v>
      </c>
      <c r="AG596">
        <f t="shared" si="473"/>
        <v>85.208957619883407</v>
      </c>
      <c r="AH596">
        <f t="shared" si="474"/>
        <v>-824.33319685004358</v>
      </c>
      <c r="AJ596">
        <f t="shared" si="497"/>
        <v>21000</v>
      </c>
      <c r="AK596">
        <f t="shared" si="498"/>
        <v>12878.148537771302</v>
      </c>
      <c r="AL596">
        <v>1</v>
      </c>
      <c r="AM596">
        <f t="shared" si="499"/>
        <v>252.6318075514653</v>
      </c>
      <c r="AN596">
        <f t="shared" si="475"/>
        <v>51.304190510564382</v>
      </c>
      <c r="AO596">
        <f t="shared" si="476"/>
        <v>-82.921845877312336</v>
      </c>
      <c r="AQ596">
        <f t="shared" si="500"/>
        <v>6.8528818526848322E-4</v>
      </c>
      <c r="AR596">
        <f t="shared" si="501"/>
        <v>-2.6178008677256059</v>
      </c>
      <c r="AT596">
        <f t="shared" si="470"/>
        <v>-2157.8817653171309</v>
      </c>
      <c r="AU596">
        <f t="shared" si="471"/>
        <v>-223.62498899585111</v>
      </c>
      <c r="AV596">
        <f t="shared" si="511"/>
        <v>-3.0383295512280322</v>
      </c>
      <c r="AW596">
        <f t="shared" si="512"/>
        <v>-123.18034294218735</v>
      </c>
      <c r="AX596">
        <f t="shared" si="513"/>
        <v>-1074.5209768094846</v>
      </c>
      <c r="AY596">
        <f t="shared" si="521"/>
        <v>-1.6849355193310092</v>
      </c>
      <c r="BA596">
        <f t="shared" si="502"/>
        <v>2.0058445282070956</v>
      </c>
      <c r="BB596">
        <f t="shared" si="514"/>
        <v>6.0459453617396264</v>
      </c>
      <c r="BC596">
        <f t="shared" si="515"/>
        <v>-1.353394031897023</v>
      </c>
      <c r="BD596">
        <f t="shared" si="503"/>
        <v>-257.5437661345</v>
      </c>
      <c r="BF596">
        <f t="shared" si="504"/>
        <v>-62.901120885173974</v>
      </c>
      <c r="BG596">
        <f t="shared" si="505"/>
        <v>-226.49745422279278</v>
      </c>
      <c r="BH596">
        <f t="shared" si="516"/>
        <v>-46.497454222792783</v>
      </c>
      <c r="BI596">
        <f t="shared" si="517"/>
        <v>-46.497454222792783</v>
      </c>
      <c r="BJ596">
        <f t="shared" si="506"/>
        <v>0</v>
      </c>
      <c r="BK596">
        <f t="shared" si="518"/>
        <v>0</v>
      </c>
      <c r="BM596">
        <f t="shared" si="519"/>
        <v>-68.947066246913607</v>
      </c>
      <c r="BN596">
        <f t="shared" si="507"/>
        <v>-148.95368808829281</v>
      </c>
      <c r="BQ596" s="66">
        <f t="shared" si="520"/>
        <v>22.947906162024765</v>
      </c>
    </row>
    <row r="597" spans="1:69" ht="13" x14ac:dyDescent="0.3">
      <c r="A597">
        <f t="shared" si="522"/>
        <v>1915000</v>
      </c>
      <c r="B597">
        <f t="shared" si="508"/>
        <v>1915</v>
      </c>
      <c r="C597">
        <f t="shared" si="477"/>
        <v>1.1670221074044373</v>
      </c>
      <c r="D597">
        <f t="shared" si="478"/>
        <v>0.5416061486970476</v>
      </c>
      <c r="F597">
        <f t="shared" si="479"/>
        <v>2.0300495562581492E-5</v>
      </c>
      <c r="G597">
        <f t="shared" si="480"/>
        <v>1.404688693287142E-3</v>
      </c>
      <c r="H597">
        <f t="shared" si="481"/>
        <v>-3.140187961306713</v>
      </c>
      <c r="J597">
        <f t="shared" si="482"/>
        <v>15</v>
      </c>
      <c r="M597">
        <f t="shared" si="483"/>
        <v>5.7356543100312767E-4</v>
      </c>
      <c r="N597">
        <f t="shared" si="484"/>
        <v>-1.5707963250000001</v>
      </c>
      <c r="O597">
        <f t="shared" si="485"/>
        <v>659.46704833982812</v>
      </c>
      <c r="P597">
        <f t="shared" si="486"/>
        <v>1.5692799502211914</v>
      </c>
      <c r="Q597">
        <f t="shared" si="487"/>
        <v>253.29512135146095</v>
      </c>
      <c r="R597">
        <f t="shared" si="488"/>
        <v>1.5668483526198742</v>
      </c>
      <c r="S597">
        <f t="shared" si="489"/>
        <v>0.85186133095308103</v>
      </c>
      <c r="T597">
        <f t="shared" si="490"/>
        <v>-0.55126750077694653</v>
      </c>
      <c r="U597">
        <f t="shared" si="491"/>
        <v>0.10406200741701842</v>
      </c>
      <c r="V597">
        <f t="shared" si="492"/>
        <v>-1.466545585352206</v>
      </c>
      <c r="X597">
        <f t="shared" si="509"/>
        <v>-50.405180414050143</v>
      </c>
      <c r="Y597">
        <f t="shared" si="493"/>
        <v>-174.81302859605151</v>
      </c>
      <c r="Z597">
        <f t="shared" si="510"/>
        <v>5.1869714039484904</v>
      </c>
      <c r="AC597">
        <v>1</v>
      </c>
      <c r="AD597">
        <f t="shared" si="494"/>
        <v>659.46629015139604</v>
      </c>
      <c r="AE597">
        <f t="shared" si="495"/>
        <v>-0.79348961437389653</v>
      </c>
      <c r="AF597">
        <f t="shared" si="496"/>
        <v>8.3022868961550006E-2</v>
      </c>
      <c r="AG597">
        <f t="shared" si="473"/>
        <v>84.769395197079646</v>
      </c>
      <c r="AH597">
        <f t="shared" si="474"/>
        <v>-822.22688229737969</v>
      </c>
      <c r="AJ597">
        <f t="shared" si="497"/>
        <v>21000</v>
      </c>
      <c r="AK597">
        <f t="shared" si="498"/>
        <v>12911.860968498451</v>
      </c>
      <c r="AL597">
        <v>1</v>
      </c>
      <c r="AM597">
        <f t="shared" si="499"/>
        <v>253.29314736180945</v>
      </c>
      <c r="AN597">
        <f t="shared" si="475"/>
        <v>51.302478769577526</v>
      </c>
      <c r="AO597">
        <f t="shared" si="476"/>
        <v>-82.705346510250607</v>
      </c>
      <c r="AQ597">
        <f t="shared" si="500"/>
        <v>6.8171432883758643E-4</v>
      </c>
      <c r="AR597">
        <f t="shared" si="501"/>
        <v>-2.610965879447956</v>
      </c>
      <c r="AT597">
        <f t="shared" si="470"/>
        <v>-2146.7485463319763</v>
      </c>
      <c r="AU597">
        <f t="shared" si="471"/>
        <v>-221.89052232823198</v>
      </c>
      <c r="AV597">
        <f t="shared" si="511"/>
        <v>-3.0385971921209967</v>
      </c>
      <c r="AW597">
        <f t="shared" si="512"/>
        <v>-122.26977626000493</v>
      </c>
      <c r="AX597">
        <f t="shared" si="513"/>
        <v>-1071.7330714099387</v>
      </c>
      <c r="AY597">
        <f t="shared" si="521"/>
        <v>-1.6843912242449097</v>
      </c>
      <c r="BA597">
        <f t="shared" si="502"/>
        <v>2.0007557318290528</v>
      </c>
      <c r="BB597">
        <f t="shared" si="514"/>
        <v>6.0238813949701839</v>
      </c>
      <c r="BC597">
        <f t="shared" si="515"/>
        <v>-1.3542059678760869</v>
      </c>
      <c r="BD597">
        <f t="shared" si="503"/>
        <v>-257.59028663938835</v>
      </c>
      <c r="BF597">
        <f t="shared" si="504"/>
        <v>-62.96257896570863</v>
      </c>
      <c r="BG597">
        <f t="shared" si="505"/>
        <v>-226.47805739150661</v>
      </c>
      <c r="BH597">
        <f t="shared" si="516"/>
        <v>-46.47805739150661</v>
      </c>
      <c r="BI597">
        <f t="shared" si="517"/>
        <v>-46.47805739150661</v>
      </c>
      <c r="BJ597">
        <f t="shared" si="506"/>
        <v>0</v>
      </c>
      <c r="BK597">
        <f t="shared" si="518"/>
        <v>0</v>
      </c>
      <c r="BM597">
        <f t="shared" si="519"/>
        <v>-68.986460360678805</v>
      </c>
      <c r="BN597">
        <f t="shared" si="507"/>
        <v>-148.88777075211826</v>
      </c>
      <c r="BQ597" s="66">
        <f t="shared" si="520"/>
        <v>22.925842195255321</v>
      </c>
    </row>
    <row r="598" spans="1:69" ht="13" x14ac:dyDescent="0.3">
      <c r="A598">
        <f t="shared" si="522"/>
        <v>1920000</v>
      </c>
      <c r="B598">
        <f t="shared" si="508"/>
        <v>1920</v>
      </c>
      <c r="C598">
        <f t="shared" si="477"/>
        <v>1.1678326488886488</v>
      </c>
      <c r="D598">
        <f t="shared" si="478"/>
        <v>0.54275870002899429</v>
      </c>
      <c r="F598">
        <f t="shared" si="479"/>
        <v>2.019489943838783E-5</v>
      </c>
      <c r="G598">
        <f t="shared" si="480"/>
        <v>1.4010305053361537E-3</v>
      </c>
      <c r="H598">
        <f t="shared" si="481"/>
        <v>-3.1401916194946642</v>
      </c>
      <c r="J598">
        <f t="shared" si="482"/>
        <v>15</v>
      </c>
      <c r="M598">
        <f t="shared" si="483"/>
        <v>5.72071771026557E-4</v>
      </c>
      <c r="N598">
        <f t="shared" si="484"/>
        <v>-1.5707963250000001</v>
      </c>
      <c r="O598">
        <f t="shared" si="485"/>
        <v>661.18889046499339</v>
      </c>
      <c r="P598">
        <f t="shared" si="486"/>
        <v>1.5692838991124889</v>
      </c>
      <c r="Q598">
        <f t="shared" si="487"/>
        <v>253.95645602124696</v>
      </c>
      <c r="R598">
        <f t="shared" si="488"/>
        <v>1.5668586336962071</v>
      </c>
      <c r="S598">
        <f t="shared" si="489"/>
        <v>0.85125102625298454</v>
      </c>
      <c r="T598">
        <f t="shared" si="490"/>
        <v>-0.55243161989987477</v>
      </c>
      <c r="U598">
        <f t="shared" si="491"/>
        <v>0.10379393585237819</v>
      </c>
      <c r="V598">
        <f t="shared" si="492"/>
        <v>-1.4668151164755339</v>
      </c>
      <c r="X598">
        <f t="shared" si="509"/>
        <v>-50.450429614155688</v>
      </c>
      <c r="Y598">
        <f t="shared" si="493"/>
        <v>-174.82852865912733</v>
      </c>
      <c r="Z598">
        <f t="shared" si="510"/>
        <v>5.1714713408726709</v>
      </c>
      <c r="AC598">
        <v>1</v>
      </c>
      <c r="AD598">
        <f t="shared" si="494"/>
        <v>661.18813425100802</v>
      </c>
      <c r="AE598">
        <f t="shared" si="495"/>
        <v>-0.79763857260678916</v>
      </c>
      <c r="AF598">
        <f t="shared" si="496"/>
        <v>8.32396388544E-2</v>
      </c>
      <c r="AG598">
        <f t="shared" si="473"/>
        <v>84.333213054152608</v>
      </c>
      <c r="AH598">
        <f t="shared" si="474"/>
        <v>-820.13118537515084</v>
      </c>
      <c r="AJ598">
        <f t="shared" si="497"/>
        <v>21000</v>
      </c>
      <c r="AK598">
        <f t="shared" si="498"/>
        <v>12945.573399225599</v>
      </c>
      <c r="AL598">
        <v>1</v>
      </c>
      <c r="AM598">
        <f t="shared" si="499"/>
        <v>253.95448717215362</v>
      </c>
      <c r="AN598">
        <f t="shared" si="475"/>
        <v>51.300780383870332</v>
      </c>
      <c r="AO598">
        <f t="shared" si="476"/>
        <v>-82.48997469146974</v>
      </c>
      <c r="AQ598">
        <f t="shared" si="500"/>
        <v>6.7816835678654263E-4</v>
      </c>
      <c r="AR598">
        <f t="shared" si="501"/>
        <v>-2.6041664900603236</v>
      </c>
      <c r="AT598">
        <f t="shared" ref="AT598:AT626" si="523">-AR598*AH598+AG598*AQ598</f>
        <v>-2135.7009582908995</v>
      </c>
      <c r="AU598">
        <f t="shared" ref="AU598:AU626" si="524">AQ598*AH598+AG598*AR598</f>
        <v>-220.17391445307732</v>
      </c>
      <c r="AV598">
        <f t="shared" si="511"/>
        <v>-3.0388634542920583</v>
      </c>
      <c r="AW598">
        <f t="shared" si="512"/>
        <v>-121.36633790904129</v>
      </c>
      <c r="AX598">
        <f t="shared" si="513"/>
        <v>-1068.9595516384152</v>
      </c>
      <c r="AY598">
        <f t="shared" si="521"/>
        <v>-1.6838490970741995</v>
      </c>
      <c r="BA598">
        <f t="shared" si="502"/>
        <v>1.9956921737714988</v>
      </c>
      <c r="BB598">
        <f t="shared" si="514"/>
        <v>6.0018710842954848</v>
      </c>
      <c r="BC598">
        <f t="shared" si="515"/>
        <v>-1.3550143572178588</v>
      </c>
      <c r="BD598">
        <f t="shared" si="503"/>
        <v>-257.63660393692817</v>
      </c>
      <c r="BF598">
        <f t="shared" si="504"/>
        <v>-63.023857584664036</v>
      </c>
      <c r="BG598">
        <f t="shared" si="505"/>
        <v>-226.45854796070876</v>
      </c>
      <c r="BH598">
        <f t="shared" si="516"/>
        <v>-46.458547960708756</v>
      </c>
      <c r="BI598">
        <f t="shared" si="517"/>
        <v>-46.458547960708756</v>
      </c>
      <c r="BJ598">
        <f t="shared" si="506"/>
        <v>0</v>
      </c>
      <c r="BK598">
        <f t="shared" si="518"/>
        <v>0</v>
      </c>
      <c r="BM598">
        <f t="shared" si="519"/>
        <v>-69.02572866895953</v>
      </c>
      <c r="BN598">
        <f t="shared" si="507"/>
        <v>-148.82194402378059</v>
      </c>
      <c r="BQ598" s="66">
        <f t="shared" si="520"/>
        <v>22.903831884580622</v>
      </c>
    </row>
    <row r="599" spans="1:69" ht="13" x14ac:dyDescent="0.3">
      <c r="A599">
        <f t="shared" ref="A599:A614" si="525">A598+5000</f>
        <v>1925000</v>
      </c>
      <c r="B599">
        <f t="shared" si="508"/>
        <v>1925</v>
      </c>
      <c r="C599">
        <f t="shared" si="477"/>
        <v>1.1686447395389463</v>
      </c>
      <c r="D599">
        <f t="shared" si="478"/>
        <v>0.54390965107336775</v>
      </c>
      <c r="F599">
        <f t="shared" si="479"/>
        <v>2.0090125093233294E-5</v>
      </c>
      <c r="G599">
        <f t="shared" si="480"/>
        <v>1.3973913220803917E-3</v>
      </c>
      <c r="H599">
        <f t="shared" si="481"/>
        <v>-3.1401952586779198</v>
      </c>
      <c r="J599">
        <f t="shared" si="482"/>
        <v>15</v>
      </c>
      <c r="M599">
        <f t="shared" si="483"/>
        <v>5.7058587032259196E-4</v>
      </c>
      <c r="N599">
        <f t="shared" si="484"/>
        <v>-1.5707963250000001</v>
      </c>
      <c r="O599">
        <f t="shared" si="485"/>
        <v>662.91073260041537</v>
      </c>
      <c r="P599">
        <f t="shared" si="486"/>
        <v>1.5692878274901123</v>
      </c>
      <c r="Q599">
        <f t="shared" si="487"/>
        <v>254.61779071773685</v>
      </c>
      <c r="R599">
        <f t="shared" si="488"/>
        <v>1.5668688613651773</v>
      </c>
      <c r="S599">
        <f t="shared" si="489"/>
        <v>0.85064044512651671</v>
      </c>
      <c r="T599">
        <f t="shared" si="490"/>
        <v>-0.55359407060902899</v>
      </c>
      <c r="U599">
        <f t="shared" si="491"/>
        <v>0.10352723442093634</v>
      </c>
      <c r="V599">
        <f t="shared" si="492"/>
        <v>-1.4670832624826853</v>
      </c>
      <c r="X599">
        <f t="shared" si="509"/>
        <v>-50.495562841379396</v>
      </c>
      <c r="Y599">
        <f t="shared" si="493"/>
        <v>-174.84394860402281</v>
      </c>
      <c r="Z599">
        <f t="shared" si="510"/>
        <v>5.1560513959771868</v>
      </c>
      <c r="AC599">
        <v>1</v>
      </c>
      <c r="AD599">
        <f t="shared" si="494"/>
        <v>662.90997835062012</v>
      </c>
      <c r="AE599">
        <f t="shared" si="495"/>
        <v>-0.80179834950521733</v>
      </c>
      <c r="AF599">
        <f t="shared" si="496"/>
        <v>8.3456408747249994E-2</v>
      </c>
      <c r="AG599">
        <f t="shared" si="473"/>
        <v>83.900376746056949</v>
      </c>
      <c r="AH599">
        <f t="shared" si="474"/>
        <v>-818.04602693383936</v>
      </c>
      <c r="AJ599">
        <f t="shared" si="497"/>
        <v>21000</v>
      </c>
      <c r="AK599">
        <f t="shared" si="498"/>
        <v>12979.285829952752</v>
      </c>
      <c r="AL599">
        <v>1</v>
      </c>
      <c r="AM599">
        <f t="shared" si="499"/>
        <v>254.61582698249777</v>
      </c>
      <c r="AN599">
        <f t="shared" si="475"/>
        <v>51.299095214870619</v>
      </c>
      <c r="AO599">
        <f t="shared" si="476"/>
        <v>-82.275721635423466</v>
      </c>
      <c r="AQ599">
        <f t="shared" si="500"/>
        <v>6.7464997978411336E-4</v>
      </c>
      <c r="AR599">
        <f t="shared" si="501"/>
        <v>-2.5974024221688365</v>
      </c>
      <c r="AT599">
        <f t="shared" si="523"/>
        <v>-2124.738128416072</v>
      </c>
      <c r="AU599">
        <f t="shared" si="524"/>
        <v>-218.47493651661964</v>
      </c>
      <c r="AV599">
        <f t="shared" si="511"/>
        <v>-3.0391283483284672</v>
      </c>
      <c r="AW599">
        <f t="shared" si="512"/>
        <v>-120.46995362153611</v>
      </c>
      <c r="AX599">
        <f t="shared" si="513"/>
        <v>-1066.2003067614364</v>
      </c>
      <c r="AY599">
        <f t="shared" si="521"/>
        <v>-1.6833091211571625</v>
      </c>
      <c r="BA599">
        <f t="shared" si="502"/>
        <v>1.9906536699665778</v>
      </c>
      <c r="BB599">
        <f t="shared" si="514"/>
        <v>5.9799141778899774</v>
      </c>
      <c r="BC599">
        <f t="shared" si="515"/>
        <v>-1.3558192271713048</v>
      </c>
      <c r="BD599">
        <f t="shared" si="503"/>
        <v>-257.68271958837022</v>
      </c>
      <c r="BF599">
        <f t="shared" si="504"/>
        <v>-63.084957652191527</v>
      </c>
      <c r="BG599">
        <f t="shared" si="505"/>
        <v>-226.4389274846483</v>
      </c>
      <c r="BH599">
        <f t="shared" si="516"/>
        <v>-46.438927484648303</v>
      </c>
      <c r="BI599">
        <f t="shared" si="517"/>
        <v>-46.438927484648303</v>
      </c>
      <c r="BJ599">
        <f t="shared" si="506"/>
        <v>0</v>
      </c>
      <c r="BK599">
        <f t="shared" si="518"/>
        <v>0</v>
      </c>
      <c r="BM599">
        <f t="shared" si="519"/>
        <v>-69.064871830081515</v>
      </c>
      <c r="BN599">
        <f t="shared" si="507"/>
        <v>-148.75620789627814</v>
      </c>
      <c r="BQ599" s="66">
        <f t="shared" si="520"/>
        <v>22.881874978175112</v>
      </c>
    </row>
    <row r="600" spans="1:69" ht="13" x14ac:dyDescent="0.3">
      <c r="A600">
        <f t="shared" si="525"/>
        <v>1930000</v>
      </c>
      <c r="B600">
        <f t="shared" si="508"/>
        <v>1930</v>
      </c>
      <c r="C600">
        <f t="shared" si="477"/>
        <v>1.1694583761280322</v>
      </c>
      <c r="D600">
        <f t="shared" si="478"/>
        <v>0.54505900211783809</v>
      </c>
      <c r="F600">
        <f t="shared" si="479"/>
        <v>1.9986164022040583E-5</v>
      </c>
      <c r="G600">
        <f t="shared" si="480"/>
        <v>1.3937709958033936E-3</v>
      </c>
      <c r="H600">
        <f t="shared" si="481"/>
        <v>-3.1401988790041968</v>
      </c>
      <c r="J600">
        <f t="shared" si="482"/>
        <v>15</v>
      </c>
      <c r="M600">
        <f t="shared" si="483"/>
        <v>5.6910766858600493E-4</v>
      </c>
      <c r="N600">
        <f t="shared" si="484"/>
        <v>-1.5707963250000001</v>
      </c>
      <c r="O600">
        <f t="shared" si="485"/>
        <v>664.6325747460146</v>
      </c>
      <c r="P600">
        <f t="shared" si="486"/>
        <v>1.5692917355134937</v>
      </c>
      <c r="Q600">
        <f t="shared" si="487"/>
        <v>255.27912544072311</v>
      </c>
      <c r="R600">
        <f t="shared" si="488"/>
        <v>1.5668790360418594</v>
      </c>
      <c r="S600">
        <f t="shared" si="489"/>
        <v>0.85002959311317883</v>
      </c>
      <c r="T600">
        <f t="shared" si="490"/>
        <v>-0.55475485335372376</v>
      </c>
      <c r="U600">
        <f t="shared" si="491"/>
        <v>0.1032618927025943</v>
      </c>
      <c r="V600">
        <f t="shared" si="492"/>
        <v>-1.4673500339851659</v>
      </c>
      <c r="X600">
        <f t="shared" si="509"/>
        <v>-50.540580685687814</v>
      </c>
      <c r="Y600">
        <f t="shared" si="493"/>
        <v>-174.8592890235407</v>
      </c>
      <c r="Z600">
        <f t="shared" si="510"/>
        <v>5.1407109764593031</v>
      </c>
      <c r="AC600">
        <v>1</v>
      </c>
      <c r="AD600">
        <f t="shared" si="494"/>
        <v>664.63182245023211</v>
      </c>
      <c r="AE600">
        <f t="shared" si="495"/>
        <v>-0.80596894506918104</v>
      </c>
      <c r="AF600">
        <f t="shared" si="496"/>
        <v>8.3673178640100002E-2</v>
      </c>
      <c r="AG600">
        <f t="shared" si="473"/>
        <v>83.470852263765451</v>
      </c>
      <c r="AH600">
        <f t="shared" si="474"/>
        <v>-815.97132859886415</v>
      </c>
      <c r="AJ600">
        <f t="shared" si="497"/>
        <v>21000</v>
      </c>
      <c r="AK600">
        <f t="shared" si="498"/>
        <v>13012.998260679902</v>
      </c>
      <c r="AL600">
        <v>1</v>
      </c>
      <c r="AM600">
        <f t="shared" si="499"/>
        <v>255.27716679284191</v>
      </c>
      <c r="AN600">
        <f t="shared" si="475"/>
        <v>51.297423125798709</v>
      </c>
      <c r="AO600">
        <f t="shared" si="476"/>
        <v>-82.062578647600418</v>
      </c>
      <c r="AQ600">
        <f t="shared" si="500"/>
        <v>6.7115891224201244E-4</v>
      </c>
      <c r="AR600">
        <f t="shared" si="501"/>
        <v>-2.5906734012541679</v>
      </c>
      <c r="AT600">
        <f t="shared" si="523"/>
        <v>-2113.8591949806923</v>
      </c>
      <c r="AU600">
        <f t="shared" si="524"/>
        <v>-216.79336316907649</v>
      </c>
      <c r="AV600">
        <f t="shared" si="511"/>
        <v>-3.0393918847097483</v>
      </c>
      <c r="AW600">
        <f t="shared" si="512"/>
        <v>-119.58055009512046</v>
      </c>
      <c r="AX600">
        <f t="shared" si="513"/>
        <v>-1063.4552271759283</v>
      </c>
      <c r="AY600">
        <f t="shared" si="521"/>
        <v>-1.6827712800018932</v>
      </c>
      <c r="BA600">
        <f t="shared" si="502"/>
        <v>1.9856400380942616</v>
      </c>
      <c r="BB600">
        <f t="shared" si="514"/>
        <v>5.9580104256000936</v>
      </c>
      <c r="BC600">
        <f t="shared" si="515"/>
        <v>-1.3566206047078551</v>
      </c>
      <c r="BD600">
        <f t="shared" si="503"/>
        <v>-257.72863513906361</v>
      </c>
      <c r="BF600">
        <f t="shared" si="504"/>
        <v>-63.145880071879354</v>
      </c>
      <c r="BG600">
        <f t="shared" si="505"/>
        <v>-226.41919750065571</v>
      </c>
      <c r="BH600">
        <f t="shared" si="516"/>
        <v>-46.419197500655713</v>
      </c>
      <c r="BI600">
        <f t="shared" si="517"/>
        <v>-46.419197500655713</v>
      </c>
      <c r="BJ600">
        <f t="shared" si="506"/>
        <v>0</v>
      </c>
      <c r="BK600">
        <f t="shared" si="518"/>
        <v>0</v>
      </c>
      <c r="BM600">
        <f t="shared" si="519"/>
        <v>-69.103890497479441</v>
      </c>
      <c r="BN600">
        <f t="shared" si="507"/>
        <v>-148.69056236159216</v>
      </c>
      <c r="BQ600" s="66">
        <f t="shared" si="520"/>
        <v>22.859971225885229</v>
      </c>
    </row>
    <row r="601" spans="1:69" ht="13" x14ac:dyDescent="0.3">
      <c r="A601">
        <f t="shared" si="525"/>
        <v>1935000</v>
      </c>
      <c r="B601">
        <f t="shared" si="508"/>
        <v>1935</v>
      </c>
      <c r="C601">
        <f t="shared" si="477"/>
        <v>1.1702735554314494</v>
      </c>
      <c r="D601">
        <f t="shared" si="478"/>
        <v>0.54620675346618497</v>
      </c>
      <c r="F601">
        <f t="shared" si="479"/>
        <v>1.9883007829479191E-5</v>
      </c>
      <c r="G601">
        <f t="shared" si="480"/>
        <v>1.3901693803156328E-3</v>
      </c>
      <c r="H601">
        <f t="shared" si="481"/>
        <v>-3.1402024806196844</v>
      </c>
      <c r="J601">
        <f t="shared" si="482"/>
        <v>15</v>
      </c>
      <c r="M601">
        <f t="shared" si="483"/>
        <v>5.676371061348783E-4</v>
      </c>
      <c r="N601">
        <f t="shared" si="484"/>
        <v>-1.5707963250000001</v>
      </c>
      <c r="O601">
        <f t="shared" si="485"/>
        <v>666.35441690171217</v>
      </c>
      <c r="P601">
        <f t="shared" si="486"/>
        <v>1.5692956233404174</v>
      </c>
      <c r="Q601">
        <f t="shared" si="487"/>
        <v>255.94046019000029</v>
      </c>
      <c r="R601">
        <f t="shared" si="488"/>
        <v>1.5668891581370377</v>
      </c>
      <c r="S601">
        <f t="shared" si="489"/>
        <v>0.84941847572923679</v>
      </c>
      <c r="T601">
        <f t="shared" si="490"/>
        <v>-0.55591396859996522</v>
      </c>
      <c r="U601">
        <f t="shared" si="491"/>
        <v>0.10299790038205973</v>
      </c>
      <c r="V601">
        <f t="shared" si="492"/>
        <v>-1.4676154414867535</v>
      </c>
      <c r="X601">
        <f t="shared" si="509"/>
        <v>-50.585483732561521</v>
      </c>
      <c r="Y601">
        <f t="shared" si="493"/>
        <v>-174.87455050459752</v>
      </c>
      <c r="Z601">
        <f t="shared" si="510"/>
        <v>5.1254494954024779</v>
      </c>
      <c r="AC601">
        <v>1</v>
      </c>
      <c r="AD601">
        <f t="shared" si="494"/>
        <v>666.35366654984409</v>
      </c>
      <c r="AE601">
        <f t="shared" si="495"/>
        <v>-0.8101503592986804</v>
      </c>
      <c r="AF601">
        <f t="shared" si="496"/>
        <v>8.3889948532949996E-2</v>
      </c>
      <c r="AG601">
        <f t="shared" si="473"/>
        <v>83.044606027687422</v>
      </c>
      <c r="AH601">
        <f t="shared" si="474"/>
        <v>-813.90701276125003</v>
      </c>
      <c r="AJ601">
        <f t="shared" si="497"/>
        <v>21000</v>
      </c>
      <c r="AK601">
        <f t="shared" si="498"/>
        <v>13046.71069140705</v>
      </c>
      <c r="AL601">
        <v>1</v>
      </c>
      <c r="AM601">
        <f t="shared" si="499"/>
        <v>255.93850660318603</v>
      </c>
      <c r="AN601">
        <f t="shared" si="475"/>
        <v>51.295763981639837</v>
      </c>
      <c r="AO601">
        <f t="shared" si="476"/>
        <v>-81.850537123348133</v>
      </c>
      <c r="AQ601">
        <f t="shared" si="500"/>
        <v>6.6769487225695084E-4</v>
      </c>
      <c r="AR601">
        <f t="shared" si="501"/>
        <v>-2.5839791556343998</v>
      </c>
      <c r="AT601">
        <f t="shared" si="523"/>
        <v>-2103.0633071421184</v>
      </c>
      <c r="AU601">
        <f t="shared" si="524"/>
        <v>-215.12897250232979</v>
      </c>
      <c r="AV601">
        <f t="shared" si="511"/>
        <v>-3.0396540738090638</v>
      </c>
      <c r="AW601">
        <f t="shared" si="512"/>
        <v>-118.69805497778727</v>
      </c>
      <c r="AX601">
        <f t="shared" si="513"/>
        <v>-1060.7242043948697</v>
      </c>
      <c r="AY601">
        <f t="shared" si="521"/>
        <v>-1.6822355572841519</v>
      </c>
      <c r="BA601">
        <f t="shared" si="502"/>
        <v>1.9806510975621869</v>
      </c>
      <c r="BB601">
        <f t="shared" si="514"/>
        <v>5.9361595789306554</v>
      </c>
      <c r="BC601">
        <f t="shared" si="515"/>
        <v>-1.357418516524912</v>
      </c>
      <c r="BD601">
        <f t="shared" si="503"/>
        <v>-257.77435211865679</v>
      </c>
      <c r="BF601">
        <f t="shared" si="504"/>
        <v>-63.206625740815497</v>
      </c>
      <c r="BG601">
        <f t="shared" si="505"/>
        <v>-226.39935952935016</v>
      </c>
      <c r="BH601">
        <f t="shared" si="516"/>
        <v>-46.399359529350164</v>
      </c>
      <c r="BI601">
        <f t="shared" si="517"/>
        <v>-46.399359529350164</v>
      </c>
      <c r="BJ601">
        <f t="shared" si="506"/>
        <v>0</v>
      </c>
      <c r="BK601">
        <f t="shared" si="518"/>
        <v>0</v>
      </c>
      <c r="BM601">
        <f t="shared" si="519"/>
        <v>-69.142785319746153</v>
      </c>
      <c r="BN601">
        <f t="shared" si="507"/>
        <v>-148.6250074106934</v>
      </c>
      <c r="BQ601" s="66">
        <f t="shared" si="520"/>
        <v>22.838120379215795</v>
      </c>
    </row>
    <row r="602" spans="1:69" ht="13" x14ac:dyDescent="0.3">
      <c r="A602">
        <f t="shared" si="525"/>
        <v>1940000</v>
      </c>
      <c r="B602">
        <f t="shared" si="508"/>
        <v>1940</v>
      </c>
      <c r="C602">
        <f t="shared" si="477"/>
        <v>1.1710902742276132</v>
      </c>
      <c r="D602">
        <f t="shared" si="478"/>
        <v>0.54735290543820192</v>
      </c>
      <c r="F602">
        <f t="shared" si="479"/>
        <v>1.9780648228270368E-5</v>
      </c>
      <c r="G602">
        <f t="shared" si="480"/>
        <v>1.3865863309348362E-3</v>
      </c>
      <c r="H602">
        <f t="shared" si="481"/>
        <v>-3.1402060636690652</v>
      </c>
      <c r="J602">
        <f t="shared" si="482"/>
        <v>15</v>
      </c>
      <c r="M602">
        <f t="shared" si="483"/>
        <v>5.6617412390257192E-4</v>
      </c>
      <c r="N602">
        <f t="shared" si="484"/>
        <v>-1.5707963250000001</v>
      </c>
      <c r="O602">
        <f t="shared" si="485"/>
        <v>668.07625906742976</v>
      </c>
      <c r="P602">
        <f t="shared" si="486"/>
        <v>1.569299491127041</v>
      </c>
      <c r="Q602">
        <f t="shared" si="487"/>
        <v>256.60179496536517</v>
      </c>
      <c r="R602">
        <f t="shared" si="488"/>
        <v>1.5668992280572622</v>
      </c>
      <c r="S602">
        <f t="shared" si="489"/>
        <v>0.84880709846770863</v>
      </c>
      <c r="T602">
        <f t="shared" si="490"/>
        <v>-0.55707141683034422</v>
      </c>
      <c r="U602">
        <f t="shared" si="491"/>
        <v>0.10273524724753968</v>
      </c>
      <c r="V602">
        <f t="shared" si="492"/>
        <v>-1.4678794953848573</v>
      </c>
      <c r="X602">
        <f t="shared" si="509"/>
        <v>-50.630272563040286</v>
      </c>
      <c r="Y602">
        <f t="shared" si="493"/>
        <v>-174.88973362829745</v>
      </c>
      <c r="Z602">
        <f t="shared" si="510"/>
        <v>5.1102663717025507</v>
      </c>
      <c r="AC602">
        <v>1</v>
      </c>
      <c r="AD602">
        <f t="shared" si="494"/>
        <v>668.07551064945608</v>
      </c>
      <c r="AE602">
        <f t="shared" si="495"/>
        <v>-0.81434259219371519</v>
      </c>
      <c r="AF602">
        <f t="shared" si="496"/>
        <v>8.4106718425800003E-2</v>
      </c>
      <c r="AG602">
        <f t="shared" si="473"/>
        <v>82.621604881202217</v>
      </c>
      <c r="AH602">
        <f t="shared" si="474"/>
        <v>-811.85300256842868</v>
      </c>
      <c r="AJ602">
        <f t="shared" si="497"/>
        <v>21000</v>
      </c>
      <c r="AK602">
        <f t="shared" si="498"/>
        <v>13080.4231221342</v>
      </c>
      <c r="AL602">
        <v>1</v>
      </c>
      <c r="AM602">
        <f t="shared" si="499"/>
        <v>256.5998464135302</v>
      </c>
      <c r="AN602">
        <f t="shared" si="475"/>
        <v>51.294117649116778</v>
      </c>
      <c r="AO602">
        <f t="shared" si="476"/>
        <v>-81.639588546715046</v>
      </c>
      <c r="AQ602">
        <f t="shared" si="500"/>
        <v>6.6425758155372642E-4</v>
      </c>
      <c r="AR602">
        <f t="shared" si="501"/>
        <v>-2.5773194164284585</v>
      </c>
      <c r="AT602">
        <f t="shared" si="523"/>
        <v>-2092.3496247779117</v>
      </c>
      <c r="AU602">
        <f t="shared" si="524"/>
        <v>-213.48154598886603</v>
      </c>
      <c r="AV602">
        <f t="shared" si="511"/>
        <v>-3.039914925894553</v>
      </c>
      <c r="AW602">
        <f t="shared" si="512"/>
        <v>-117.82239685313354</v>
      </c>
      <c r="AX602">
        <f t="shared" si="513"/>
        <v>-1058.0071310331614</v>
      </c>
      <c r="AY602">
        <f t="shared" si="521"/>
        <v>-1.6817019368452464</v>
      </c>
      <c r="BA602">
        <f t="shared" si="502"/>
        <v>1.9756866694857547</v>
      </c>
      <c r="BB602">
        <f t="shared" si="514"/>
        <v>5.9143613910313784</v>
      </c>
      <c r="BC602">
        <f t="shared" si="515"/>
        <v>-1.3582129890493067</v>
      </c>
      <c r="BD602">
        <f t="shared" si="503"/>
        <v>-257.81987204129575</v>
      </c>
      <c r="BF602">
        <f t="shared" si="504"/>
        <v>-63.267195549649884</v>
      </c>
      <c r="BG602">
        <f t="shared" si="505"/>
        <v>-226.37941507484447</v>
      </c>
      <c r="BH602">
        <f t="shared" si="516"/>
        <v>-46.379415074844474</v>
      </c>
      <c r="BI602">
        <f t="shared" si="517"/>
        <v>-46.379415074844474</v>
      </c>
      <c r="BJ602">
        <f t="shared" si="506"/>
        <v>0</v>
      </c>
      <c r="BK602">
        <f t="shared" si="518"/>
        <v>0</v>
      </c>
      <c r="BM602">
        <f t="shared" si="519"/>
        <v>-69.181556940681261</v>
      </c>
      <c r="BN602">
        <f t="shared" si="507"/>
        <v>-148.55954303354872</v>
      </c>
      <c r="BQ602" s="66">
        <f t="shared" si="520"/>
        <v>22.816322191316516</v>
      </c>
    </row>
    <row r="603" spans="1:69" ht="13" x14ac:dyDescent="0.3">
      <c r="A603">
        <f t="shared" si="525"/>
        <v>1945000</v>
      </c>
      <c r="B603">
        <f t="shared" si="508"/>
        <v>1945</v>
      </c>
      <c r="C603">
        <f t="shared" si="477"/>
        <v>1.1719085292978444</v>
      </c>
      <c r="D603">
        <f t="shared" si="478"/>
        <v>0.54849745836959996</v>
      </c>
      <c r="F603">
        <f t="shared" si="479"/>
        <v>1.9679077037522611E-5</v>
      </c>
      <c r="G603">
        <f t="shared" si="480"/>
        <v>1.3830217044666102E-3</v>
      </c>
      <c r="H603">
        <f t="shared" si="481"/>
        <v>-3.1402096282955334</v>
      </c>
      <c r="J603">
        <f t="shared" si="482"/>
        <v>15</v>
      </c>
      <c r="M603">
        <f t="shared" si="483"/>
        <v>5.6471866342981463E-4</v>
      </c>
      <c r="N603">
        <f t="shared" si="484"/>
        <v>-1.5707963250000001</v>
      </c>
      <c r="O603">
        <f t="shared" si="485"/>
        <v>669.79810124309017</v>
      </c>
      <c r="P603">
        <f t="shared" si="486"/>
        <v>1.569303339027917</v>
      </c>
      <c r="Q603">
        <f t="shared" si="487"/>
        <v>257.26312976661654</v>
      </c>
      <c r="R603">
        <f t="shared" si="488"/>
        <v>1.5669092462049021</v>
      </c>
      <c r="S603">
        <f t="shared" si="489"/>
        <v>0.84819546679834967</v>
      </c>
      <c r="T603">
        <f t="shared" si="490"/>
        <v>-0.55822719854393099</v>
      </c>
      <c r="U603">
        <f t="shared" si="491"/>
        <v>0.10247392318945314</v>
      </c>
      <c r="V603">
        <f t="shared" si="492"/>
        <v>-1.4681422059718559</v>
      </c>
      <c r="X603">
        <f t="shared" si="509"/>
        <v>-50.674947753767711</v>
      </c>
      <c r="Y603">
        <f t="shared" si="493"/>
        <v>-174.9048389700053</v>
      </c>
      <c r="Z603">
        <f t="shared" si="510"/>
        <v>5.0951610299946992</v>
      </c>
      <c r="AC603">
        <v>1</v>
      </c>
      <c r="AD603">
        <f t="shared" si="494"/>
        <v>669.79735474906806</v>
      </c>
      <c r="AE603">
        <f t="shared" si="495"/>
        <v>-0.81854564375428562</v>
      </c>
      <c r="AF603">
        <f t="shared" si="496"/>
        <v>8.4323488318650011E-2</v>
      </c>
      <c r="AG603">
        <f t="shared" si="473"/>
        <v>82.201816084305264</v>
      </c>
      <c r="AH603">
        <f t="shared" si="474"/>
        <v>-809.80922191517175</v>
      </c>
      <c r="AJ603">
        <f t="shared" si="497"/>
        <v>21000</v>
      </c>
      <c r="AK603">
        <f t="shared" si="498"/>
        <v>13114.135552861351</v>
      </c>
      <c r="AL603">
        <v>1</v>
      </c>
      <c r="AM603">
        <f t="shared" si="499"/>
        <v>257.26118622387435</v>
      </c>
      <c r="AN603">
        <f t="shared" si="475"/>
        <v>51.292483996663179</v>
      </c>
      <c r="AO603">
        <f t="shared" si="476"/>
        <v>-81.429724489310672</v>
      </c>
      <c r="AQ603">
        <f t="shared" si="500"/>
        <v>6.6084676542933459E-4</v>
      </c>
      <c r="AR603">
        <f t="shared" si="501"/>
        <v>-2.5706939175201118</v>
      </c>
      <c r="AT603">
        <f t="shared" si="523"/>
        <v>-2081.7173183247546</v>
      </c>
      <c r="AU603">
        <f t="shared" si="524"/>
        <v>-211.85086842194792</v>
      </c>
      <c r="AV603">
        <f t="shared" si="511"/>
        <v>-3.0401744511306545</v>
      </c>
      <c r="AW603">
        <f t="shared" si="512"/>
        <v>-116.9535052258707</v>
      </c>
      <c r="AX603">
        <f t="shared" si="513"/>
        <v>-1055.3039007937075</v>
      </c>
      <c r="AY603">
        <f t="shared" si="521"/>
        <v>-1.681170402689951</v>
      </c>
      <c r="BA603">
        <f t="shared" si="502"/>
        <v>1.9707465766684928</v>
      </c>
      <c r="BB603">
        <f t="shared" si="514"/>
        <v>5.8926156166834689</v>
      </c>
      <c r="BC603">
        <f t="shared" si="515"/>
        <v>-1.3590040484407035</v>
      </c>
      <c r="BD603">
        <f t="shared" si="503"/>
        <v>-257.86519640581878</v>
      </c>
      <c r="BF603">
        <f t="shared" si="504"/>
        <v>-63.327590382655679</v>
      </c>
      <c r="BG603">
        <f t="shared" si="505"/>
        <v>-226.35936562494649</v>
      </c>
      <c r="BH603">
        <f t="shared" si="516"/>
        <v>-46.359365624946491</v>
      </c>
      <c r="BI603">
        <f t="shared" si="517"/>
        <v>-46.359365624946491</v>
      </c>
      <c r="BJ603">
        <f t="shared" si="506"/>
        <v>0</v>
      </c>
      <c r="BK603">
        <f t="shared" si="518"/>
        <v>0</v>
      </c>
      <c r="BM603">
        <f t="shared" si="519"/>
        <v>-69.220205999339143</v>
      </c>
      <c r="BN603">
        <f t="shared" si="507"/>
        <v>-148.49416921912777</v>
      </c>
      <c r="BQ603" s="66">
        <f t="shared" si="520"/>
        <v>22.794576416968603</v>
      </c>
    </row>
    <row r="604" spans="1:69" ht="13" x14ac:dyDescent="0.3">
      <c r="A604">
        <f t="shared" si="525"/>
        <v>1950000</v>
      </c>
      <c r="B604">
        <f t="shared" si="508"/>
        <v>1950</v>
      </c>
      <c r="C604">
        <f t="shared" si="477"/>
        <v>1.1727283174264005</v>
      </c>
      <c r="D604">
        <f t="shared" si="478"/>
        <v>0.54964041261191199</v>
      </c>
      <c r="F604">
        <f t="shared" si="479"/>
        <v>1.9578286181096949E-5</v>
      </c>
      <c r="G604">
        <f t="shared" si="480"/>
        <v>1.3794753591853627E-3</v>
      </c>
      <c r="H604">
        <f t="shared" si="481"/>
        <v>-3.1402131746408148</v>
      </c>
      <c r="J604">
        <f t="shared" si="482"/>
        <v>15</v>
      </c>
      <c r="M604">
        <f t="shared" si="483"/>
        <v>5.6327066685691761E-4</v>
      </c>
      <c r="N604">
        <f t="shared" si="484"/>
        <v>-1.5707963250000001</v>
      </c>
      <c r="O604">
        <f t="shared" si="485"/>
        <v>671.51994342861713</v>
      </c>
      <c r="P604">
        <f t="shared" si="486"/>
        <v>1.5693071671960115</v>
      </c>
      <c r="Q604">
        <f t="shared" si="487"/>
        <v>257.92446459355529</v>
      </c>
      <c r="R604">
        <f t="shared" si="488"/>
        <v>1.5669192129782004</v>
      </c>
      <c r="S604">
        <f t="shared" si="489"/>
        <v>0.84758358616764184</v>
      </c>
      <c r="T604">
        <f t="shared" si="490"/>
        <v>-0.55938131425616855</v>
      </c>
      <c r="U604">
        <f t="shared" si="491"/>
        <v>0.1022139181991626</v>
      </c>
      <c r="V604">
        <f t="shared" si="492"/>
        <v>-1.4684035834364146</v>
      </c>
      <c r="X604">
        <f t="shared" si="509"/>
        <v>-50.719509877035314</v>
      </c>
      <c r="Y604">
        <f t="shared" si="493"/>
        <v>-174.91986709941827</v>
      </c>
      <c r="Z604">
        <f t="shared" si="510"/>
        <v>5.0801329005817308</v>
      </c>
      <c r="AC604">
        <v>1</v>
      </c>
      <c r="AD604">
        <f t="shared" si="494"/>
        <v>671.51919884868005</v>
      </c>
      <c r="AE604">
        <f t="shared" si="495"/>
        <v>-0.82275951398039171</v>
      </c>
      <c r="AF604">
        <f t="shared" si="496"/>
        <v>8.4540258211500005E-2</v>
      </c>
      <c r="AG604">
        <f t="shared" si="473"/>
        <v>81.785207307365354</v>
      </c>
      <c r="AH604">
        <f t="shared" si="474"/>
        <v>-807.77559543465031</v>
      </c>
      <c r="AJ604">
        <f t="shared" si="497"/>
        <v>21000</v>
      </c>
      <c r="AK604">
        <f t="shared" si="498"/>
        <v>13147.847983588501</v>
      </c>
      <c r="AL604">
        <v>1</v>
      </c>
      <c r="AM604">
        <f t="shared" si="499"/>
        <v>257.92252603421849</v>
      </c>
      <c r="AN604">
        <f t="shared" si="475"/>
        <v>51.290862894397172</v>
      </c>
      <c r="AO604">
        <f t="shared" si="476"/>
        <v>-81.220936609182971</v>
      </c>
      <c r="AQ604">
        <f t="shared" si="500"/>
        <v>6.5746215269808328E-4</v>
      </c>
      <c r="AR604">
        <f t="shared" si="501"/>
        <v>-2.5641023955225251</v>
      </c>
      <c r="AT604">
        <f t="shared" si="523"/>
        <v>-2071.1655686201657</v>
      </c>
      <c r="AU604">
        <f t="shared" si="524"/>
        <v>-210.23672785699327</v>
      </c>
      <c r="AV604">
        <f t="shared" si="511"/>
        <v>-3.0404326595794053</v>
      </c>
      <c r="AW604">
        <f t="shared" si="512"/>
        <v>-116.09131050759495</v>
      </c>
      <c r="AX604">
        <f t="shared" si="513"/>
        <v>-1052.6144084537077</v>
      </c>
      <c r="AY604">
        <f t="shared" si="521"/>
        <v>-1.680640938984453</v>
      </c>
      <c r="BA604">
        <f t="shared" si="502"/>
        <v>1.9658306435826871</v>
      </c>
      <c r="BB604">
        <f t="shared" si="514"/>
        <v>5.870922012286373</v>
      </c>
      <c r="BC604">
        <f t="shared" si="515"/>
        <v>-1.3597917205949523</v>
      </c>
      <c r="BD604">
        <f t="shared" si="503"/>
        <v>-257.91032669594875</v>
      </c>
      <c r="BF604">
        <f t="shared" si="504"/>
        <v>-63.38781111778998</v>
      </c>
      <c r="BG604">
        <f t="shared" si="505"/>
        <v>-226.33921265135817</v>
      </c>
      <c r="BH604">
        <f t="shared" si="516"/>
        <v>-46.339212651358167</v>
      </c>
      <c r="BI604">
        <f t="shared" si="517"/>
        <v>-46.339212651358167</v>
      </c>
      <c r="BJ604">
        <f t="shared" si="506"/>
        <v>0</v>
      </c>
      <c r="BK604">
        <f t="shared" si="518"/>
        <v>0</v>
      </c>
      <c r="BM604">
        <f t="shared" si="519"/>
        <v>-69.258733130076351</v>
      </c>
      <c r="BN604">
        <f t="shared" si="507"/>
        <v>-148.42888595540944</v>
      </c>
      <c r="BQ604" s="66">
        <f t="shared" si="520"/>
        <v>22.77288281257151</v>
      </c>
    </row>
    <row r="605" spans="1:69" ht="13" x14ac:dyDescent="0.3">
      <c r="A605">
        <f t="shared" si="525"/>
        <v>1955000</v>
      </c>
      <c r="B605">
        <f t="shared" si="508"/>
        <v>1955</v>
      </c>
      <c r="C605">
        <f t="shared" si="477"/>
        <v>1.1735496354005079</v>
      </c>
      <c r="D605">
        <f t="shared" si="478"/>
        <v>0.55078176853239713</v>
      </c>
      <c r="F605">
        <f t="shared" si="479"/>
        <v>1.947826768600149E-5</v>
      </c>
      <c r="G605">
        <f t="shared" si="480"/>
        <v>1.3759471548155182E-3</v>
      </c>
      <c r="H605">
        <f t="shared" si="481"/>
        <v>-3.1402167028451848</v>
      </c>
      <c r="J605">
        <f t="shared" si="482"/>
        <v>15</v>
      </c>
      <c r="M605">
        <f t="shared" si="483"/>
        <v>5.6183007691610709E-4</v>
      </c>
      <c r="N605">
        <f t="shared" si="484"/>
        <v>-1.5707963250000001</v>
      </c>
      <c r="O605">
        <f t="shared" si="485"/>
        <v>673.24178562393467</v>
      </c>
      <c r="P605">
        <f t="shared" si="486"/>
        <v>1.569310975782727</v>
      </c>
      <c r="Q605">
        <f t="shared" si="487"/>
        <v>258.58579944598426</v>
      </c>
      <c r="R605">
        <f t="shared" si="488"/>
        <v>1.5669291287713254</v>
      </c>
      <c r="S605">
        <f t="shared" si="489"/>
        <v>0.84697146199878215</v>
      </c>
      <c r="T605">
        <f t="shared" si="490"/>
        <v>-0.56053376449876846</v>
      </c>
      <c r="U605">
        <f t="shared" si="491"/>
        <v>0.10195522236772449</v>
      </c>
      <c r="V605">
        <f t="shared" si="492"/>
        <v>-1.4686636378647855</v>
      </c>
      <c r="X605">
        <f t="shared" si="509"/>
        <v>-50.763959500826132</v>
      </c>
      <c r="Y605">
        <f t="shared" si="493"/>
        <v>-174.9348185806368</v>
      </c>
      <c r="Z605">
        <f t="shared" si="510"/>
        <v>5.0651814193631992</v>
      </c>
      <c r="AC605">
        <v>1</v>
      </c>
      <c r="AD605">
        <f t="shared" si="494"/>
        <v>673.24104294829203</v>
      </c>
      <c r="AE605">
        <f t="shared" si="495"/>
        <v>-0.82698420287203334</v>
      </c>
      <c r="AF605">
        <f t="shared" si="496"/>
        <v>8.4757028104349999E-2</v>
      </c>
      <c r="AG605">
        <f t="shared" si="473"/>
        <v>81.371746624990024</v>
      </c>
      <c r="AH605">
        <f t="shared" si="474"/>
        <v>-805.75204848962164</v>
      </c>
      <c r="AJ605">
        <f t="shared" si="497"/>
        <v>21000</v>
      </c>
      <c r="AK605">
        <f t="shared" si="498"/>
        <v>13181.560414315651</v>
      </c>
      <c r="AL605">
        <v>1</v>
      </c>
      <c r="AM605">
        <f t="shared" si="499"/>
        <v>258.58386584456264</v>
      </c>
      <c r="AN605">
        <f t="shared" si="475"/>
        <v>51.289254214095592</v>
      </c>
      <c r="AO605">
        <f t="shared" si="476"/>
        <v>-81.013216649713129</v>
      </c>
      <c r="AQ605">
        <f t="shared" si="500"/>
        <v>6.5410347563768707E-4</v>
      </c>
      <c r="AR605">
        <f t="shared" si="501"/>
        <v>-2.5575445897433564</v>
      </c>
      <c r="AT605">
        <f t="shared" si="523"/>
        <v>-2060.693566746972</v>
      </c>
      <c r="AU605">
        <f t="shared" si="524"/>
        <v>-208.63891555412968</v>
      </c>
      <c r="AV605">
        <f t="shared" si="511"/>
        <v>-3.0406895612017246</v>
      </c>
      <c r="AW605">
        <f t="shared" si="512"/>
        <v>-115.23574400281416</v>
      </c>
      <c r="AX605">
        <f t="shared" si="513"/>
        <v>-1049.9385498511556</v>
      </c>
      <c r="AY605">
        <f t="shared" si="521"/>
        <v>-1.6801135300543306</v>
      </c>
      <c r="BA605">
        <f t="shared" si="502"/>
        <v>1.9609386963502657</v>
      </c>
      <c r="BB605">
        <f t="shared" si="514"/>
        <v>5.8492803358446324</v>
      </c>
      <c r="BC605">
        <f t="shared" si="515"/>
        <v>-1.360576031147394</v>
      </c>
      <c r="BD605">
        <f t="shared" si="503"/>
        <v>-257.95526438048262</v>
      </c>
      <c r="BF605">
        <f t="shared" si="504"/>
        <v>-63.447858626753693</v>
      </c>
      <c r="BG605">
        <f t="shared" si="505"/>
        <v>-226.31895760987112</v>
      </c>
      <c r="BH605">
        <f t="shared" si="516"/>
        <v>-46.31895760987112</v>
      </c>
      <c r="BI605">
        <f t="shared" si="517"/>
        <v>-46.31895760987112</v>
      </c>
      <c r="BJ605">
        <f t="shared" si="506"/>
        <v>0</v>
      </c>
      <c r="BK605">
        <f t="shared" si="518"/>
        <v>0</v>
      </c>
      <c r="BM605">
        <f t="shared" si="519"/>
        <v>-69.297138962598325</v>
      </c>
      <c r="BN605">
        <f t="shared" si="507"/>
        <v>-148.36369322938853</v>
      </c>
      <c r="BQ605" s="66">
        <f t="shared" si="520"/>
        <v>22.751241136129767</v>
      </c>
    </row>
    <row r="606" spans="1:69" ht="13" x14ac:dyDescent="0.3">
      <c r="A606">
        <f t="shared" si="525"/>
        <v>1960000</v>
      </c>
      <c r="B606">
        <f t="shared" si="508"/>
        <v>1960</v>
      </c>
      <c r="C606">
        <f t="shared" si="477"/>
        <v>1.1743724800103938</v>
      </c>
      <c r="D606">
        <f t="shared" si="478"/>
        <v>0.55192152651394499</v>
      </c>
      <c r="F606">
        <f t="shared" si="479"/>
        <v>1.9379013680814574E-5</v>
      </c>
      <c r="G606">
        <f t="shared" si="480"/>
        <v>1.3724369525130217E-3</v>
      </c>
      <c r="H606">
        <f t="shared" si="481"/>
        <v>-3.140220213047487</v>
      </c>
      <c r="J606">
        <f t="shared" si="482"/>
        <v>15</v>
      </c>
      <c r="M606">
        <f t="shared" si="483"/>
        <v>5.6039683692397414E-4</v>
      </c>
      <c r="N606">
        <f t="shared" si="484"/>
        <v>-1.5707963250000001</v>
      </c>
      <c r="O606">
        <f t="shared" si="485"/>
        <v>674.96362782896801</v>
      </c>
      <c r="P606">
        <f t="shared" si="486"/>
        <v>1.5693147649379204</v>
      </c>
      <c r="Q606">
        <f t="shared" si="487"/>
        <v>259.24713432370845</v>
      </c>
      <c r="R606">
        <f t="shared" si="488"/>
        <v>1.5669389939744238</v>
      </c>
      <c r="S606">
        <f t="shared" si="489"/>
        <v>0.84635909969167455</v>
      </c>
      <c r="T606">
        <f t="shared" si="490"/>
        <v>-0.56168454981960392</v>
      </c>
      <c r="U606">
        <f t="shared" si="491"/>
        <v>0.10169782588465792</v>
      </c>
      <c r="V606">
        <f t="shared" si="492"/>
        <v>-1.4689223792420845</v>
      </c>
      <c r="X606">
        <f t="shared" si="509"/>
        <v>-50.808297188857587</v>
      </c>
      <c r="Y606">
        <f t="shared" si="493"/>
        <v>-174.94969397223392</v>
      </c>
      <c r="Z606">
        <f t="shared" si="510"/>
        <v>5.0503060277660836</v>
      </c>
      <c r="AC606">
        <v>1</v>
      </c>
      <c r="AD606">
        <f t="shared" si="494"/>
        <v>674.96288704790402</v>
      </c>
      <c r="AE606">
        <f t="shared" si="495"/>
        <v>-0.8312197104292105</v>
      </c>
      <c r="AF606">
        <f t="shared" si="496"/>
        <v>8.4973797997200007E-2</v>
      </c>
      <c r="AG606">
        <f t="shared" si="473"/>
        <v>80.961402509997285</v>
      </c>
      <c r="AH606">
        <f t="shared" si="474"/>
        <v>-803.73850716373954</v>
      </c>
      <c r="AJ606">
        <f t="shared" si="497"/>
        <v>21000</v>
      </c>
      <c r="AK606">
        <f t="shared" si="498"/>
        <v>13215.2728450428</v>
      </c>
      <c r="AL606">
        <v>1</v>
      </c>
      <c r="AM606">
        <f t="shared" si="499"/>
        <v>259.24520565490678</v>
      </c>
      <c r="AN606">
        <f t="shared" si="475"/>
        <v>51.287657829168687</v>
      </c>
      <c r="AO606">
        <f t="shared" si="476"/>
        <v>-80.806556438527252</v>
      </c>
      <c r="AQ606">
        <f t="shared" si="500"/>
        <v>6.5077046993632407E-4</v>
      </c>
      <c r="AR606">
        <f t="shared" si="501"/>
        <v>-2.5510202421503902</v>
      </c>
      <c r="AT606">
        <f t="shared" si="523"/>
        <v>-2050.3005138804779</v>
      </c>
      <c r="AU606">
        <f t="shared" si="524"/>
        <v>-207.05722592190136</v>
      </c>
      <c r="AV606">
        <f t="shared" si="511"/>
        <v>-3.0409451658586746</v>
      </c>
      <c r="AW606">
        <f t="shared" si="512"/>
        <v>-114.38673789522558</v>
      </c>
      <c r="AX606">
        <f t="shared" si="513"/>
        <v>-1047.2762218715382</v>
      </c>
      <c r="AY606">
        <f t="shared" si="521"/>
        <v>-1.6795881603825638</v>
      </c>
      <c r="BA606">
        <f t="shared" si="502"/>
        <v>1.9560705627239421</v>
      </c>
      <c r="BB606">
        <f t="shared" si="514"/>
        <v>5.8276903469548635</v>
      </c>
      <c r="BC606">
        <f t="shared" si="515"/>
        <v>-1.3613570054761108</v>
      </c>
      <c r="BD606">
        <f t="shared" si="503"/>
        <v>-258.00001091347724</v>
      </c>
      <c r="BF606">
        <f t="shared" si="504"/>
        <v>-63.507733775050745</v>
      </c>
      <c r="BG606">
        <f t="shared" si="505"/>
        <v>-226.29860194055951</v>
      </c>
      <c r="BH606">
        <f t="shared" si="516"/>
        <v>-46.298601940559507</v>
      </c>
      <c r="BI606">
        <f t="shared" si="517"/>
        <v>-46.298601940559507</v>
      </c>
      <c r="BJ606">
        <f t="shared" si="506"/>
        <v>0</v>
      </c>
      <c r="BK606">
        <f t="shared" si="518"/>
        <v>0</v>
      </c>
      <c r="BM606">
        <f t="shared" si="519"/>
        <v>-69.335424122005605</v>
      </c>
      <c r="BN606">
        <f t="shared" si="507"/>
        <v>-148.29859102708224</v>
      </c>
      <c r="BQ606" s="66">
        <f t="shared" si="520"/>
        <v>22.729651147239998</v>
      </c>
    </row>
    <row r="607" spans="1:69" ht="13" x14ac:dyDescent="0.3">
      <c r="A607">
        <f t="shared" si="525"/>
        <v>1965000</v>
      </c>
      <c r="B607">
        <f t="shared" si="508"/>
        <v>1965</v>
      </c>
      <c r="C607">
        <f t="shared" si="477"/>
        <v>1.1751968480493173</v>
      </c>
      <c r="D607">
        <f t="shared" si="478"/>
        <v>0.55305968695498031</v>
      </c>
      <c r="F607">
        <f t="shared" si="479"/>
        <v>1.9280516394136008E-5</v>
      </c>
      <c r="G607">
        <f t="shared" si="480"/>
        <v>1.3689446148471218E-3</v>
      </c>
      <c r="H607">
        <f t="shared" si="481"/>
        <v>-3.1402237053851532</v>
      </c>
      <c r="J607">
        <f t="shared" si="482"/>
        <v>15</v>
      </c>
      <c r="M607">
        <f t="shared" si="483"/>
        <v>5.5897089077404036E-4</v>
      </c>
      <c r="N607">
        <f t="shared" si="484"/>
        <v>-1.5707963250000001</v>
      </c>
      <c r="O607">
        <f t="shared" si="485"/>
        <v>676.68547004364291</v>
      </c>
      <c r="P607">
        <f t="shared" si="486"/>
        <v>1.5693185348099234</v>
      </c>
      <c r="Q607">
        <f t="shared" si="487"/>
        <v>259.90846922653481</v>
      </c>
      <c r="R607">
        <f t="shared" si="488"/>
        <v>1.5669488089736712</v>
      </c>
      <c r="S607">
        <f t="shared" si="489"/>
        <v>0.84574650462292</v>
      </c>
      <c r="T607">
        <f t="shared" si="490"/>
        <v>-0.56283367078260571</v>
      </c>
      <c r="U607">
        <f t="shared" si="491"/>
        <v>0.10144171903673146</v>
      </c>
      <c r="V607">
        <f t="shared" si="492"/>
        <v>-1.4691798174535529</v>
      </c>
      <c r="X607">
        <f t="shared" si="509"/>
        <v>-50.852523500624052</v>
      </c>
      <c r="Y607">
        <f t="shared" si="493"/>
        <v>-174.96449382732439</v>
      </c>
      <c r="Z607">
        <f t="shared" si="510"/>
        <v>5.0355061726756105</v>
      </c>
      <c r="AC607">
        <v>1</v>
      </c>
      <c r="AD607">
        <f t="shared" si="494"/>
        <v>676.68473114751612</v>
      </c>
      <c r="AE607">
        <f t="shared" si="495"/>
        <v>-0.83546603665192332</v>
      </c>
      <c r="AF607">
        <f t="shared" si="496"/>
        <v>8.5190567890050001E-2</v>
      </c>
      <c r="AG607">
        <f t="shared" si="473"/>
        <v>80.554143827491544</v>
      </c>
      <c r="AH607">
        <f t="shared" si="474"/>
        <v>-801.73489825298623</v>
      </c>
      <c r="AJ607">
        <f t="shared" si="497"/>
        <v>21000</v>
      </c>
      <c r="AK607">
        <f t="shared" si="498"/>
        <v>13248.985275769952</v>
      </c>
      <c r="AL607">
        <v>1</v>
      </c>
      <c r="AM607">
        <f t="shared" si="499"/>
        <v>259.90654546525099</v>
      </c>
      <c r="AN607">
        <f t="shared" si="475"/>
        <v>51.286073614635143</v>
      </c>
      <c r="AO607">
        <f t="shared" si="476"/>
        <v>-80.600947886424692</v>
      </c>
      <c r="AQ607">
        <f t="shared" si="500"/>
        <v>6.4746287464063381E-4</v>
      </c>
      <c r="AR607">
        <f t="shared" si="501"/>
        <v>-2.5445290973376911</v>
      </c>
      <c r="AT607">
        <f t="shared" si="523"/>
        <v>-2039.9856211382698</v>
      </c>
      <c r="AU607">
        <f t="shared" si="524"/>
        <v>-205.49145646210019</v>
      </c>
      <c r="AV607">
        <f t="shared" si="511"/>
        <v>-3.0411994833127056</v>
      </c>
      <c r="AW607">
        <f t="shared" si="512"/>
        <v>-113.54422523423911</v>
      </c>
      <c r="AX607">
        <f t="shared" si="513"/>
        <v>-1044.6273224347367</v>
      </c>
      <c r="AY607">
        <f t="shared" si="521"/>
        <v>-1.6790648146075695</v>
      </c>
      <c r="BA607">
        <f t="shared" si="502"/>
        <v>1.9512260720685992</v>
      </c>
      <c r="BB607">
        <f t="shared" si="514"/>
        <v>5.8061518067928199</v>
      </c>
      <c r="BC607">
        <f t="shared" si="515"/>
        <v>-1.3621346687051361</v>
      </c>
      <c r="BD607">
        <f t="shared" si="503"/>
        <v>-258.04456773443383</v>
      </c>
      <c r="BF607">
        <f t="shared" si="504"/>
        <v>-63.567437422046602</v>
      </c>
      <c r="BG607">
        <f t="shared" si="505"/>
        <v>-226.27814706797062</v>
      </c>
      <c r="BH607">
        <f t="shared" si="516"/>
        <v>-46.278147067970622</v>
      </c>
      <c r="BI607">
        <f t="shared" si="517"/>
        <v>-46.278147067970622</v>
      </c>
      <c r="BJ607">
        <f t="shared" si="506"/>
        <v>0</v>
      </c>
      <c r="BK607">
        <f t="shared" si="518"/>
        <v>0</v>
      </c>
      <c r="BM607">
        <f t="shared" si="519"/>
        <v>-69.373589228839421</v>
      </c>
      <c r="BN607">
        <f t="shared" si="507"/>
        <v>-148.2335793335368</v>
      </c>
      <c r="BQ607" s="66">
        <f t="shared" si="520"/>
        <v>22.708112607077954</v>
      </c>
    </row>
    <row r="608" spans="1:69" ht="13" x14ac:dyDescent="0.3">
      <c r="A608">
        <f t="shared" si="525"/>
        <v>1970000</v>
      </c>
      <c r="B608">
        <f t="shared" si="508"/>
        <v>1970</v>
      </c>
      <c r="C608">
        <f t="shared" si="477"/>
        <v>1.1760227363136</v>
      </c>
      <c r="D608">
        <f t="shared" si="478"/>
        <v>0.55419625026936725</v>
      </c>
      <c r="F608">
        <f t="shared" si="479"/>
        <v>1.9182768153065739E-5</v>
      </c>
      <c r="G608">
        <f t="shared" si="480"/>
        <v>1.365470005782435E-3</v>
      </c>
      <c r="H608">
        <f t="shared" si="481"/>
        <v>-3.1402271799942176</v>
      </c>
      <c r="J608">
        <f t="shared" si="482"/>
        <v>15</v>
      </c>
      <c r="M608">
        <f t="shared" si="483"/>
        <v>5.5755218292943625E-4</v>
      </c>
      <c r="N608">
        <f t="shared" si="484"/>
        <v>-1.5707963250000001</v>
      </c>
      <c r="O608">
        <f t="shared" si="485"/>
        <v>678.40731226788614</v>
      </c>
      <c r="P608">
        <f t="shared" si="486"/>
        <v>1.5693222855455622</v>
      </c>
      <c r="Q608">
        <f t="shared" si="487"/>
        <v>260.56980415427211</v>
      </c>
      <c r="R608">
        <f t="shared" si="488"/>
        <v>1.5669585741513232</v>
      </c>
      <c r="S608">
        <f t="shared" si="489"/>
        <v>0.84513368214581019</v>
      </c>
      <c r="T608">
        <f t="shared" si="490"/>
        <v>-0.56398112796765643</v>
      </c>
      <c r="U608">
        <f t="shared" si="491"/>
        <v>0.10118689220676784</v>
      </c>
      <c r="V608">
        <f t="shared" si="492"/>
        <v>-1.4694359622857973</v>
      </c>
      <c r="X608">
        <f t="shared" si="509"/>
        <v>-50.896638991438785</v>
      </c>
      <c r="Y608">
        <f t="shared" si="493"/>
        <v>-174.97921869363151</v>
      </c>
      <c r="Z608">
        <f t="shared" si="510"/>
        <v>5.020781306368491</v>
      </c>
      <c r="AC608">
        <v>1</v>
      </c>
      <c r="AD608">
        <f t="shared" si="494"/>
        <v>678.4065752471281</v>
      </c>
      <c r="AE608">
        <f t="shared" si="495"/>
        <v>-0.83972318154017156</v>
      </c>
      <c r="AF608">
        <f t="shared" si="496"/>
        <v>8.5407337782899995E-2</v>
      </c>
      <c r="AG608">
        <f t="shared" si="473"/>
        <v>80.149939829041969</v>
      </c>
      <c r="AH608">
        <f t="shared" si="474"/>
        <v>-799.74114925722483</v>
      </c>
      <c r="AJ608">
        <f t="shared" si="497"/>
        <v>21000</v>
      </c>
      <c r="AK608">
        <f t="shared" si="498"/>
        <v>13282.697706497102</v>
      </c>
      <c r="AL608">
        <v>1</v>
      </c>
      <c r="AM608">
        <f t="shared" si="499"/>
        <v>260.56788527559513</v>
      </c>
      <c r="AN608">
        <f t="shared" si="475"/>
        <v>51.284501447097618</v>
      </c>
      <c r="AO608">
        <f t="shared" si="476"/>
        <v>-80.396382986322536</v>
      </c>
      <c r="AQ608">
        <f t="shared" si="500"/>
        <v>6.4418043210463858E-4</v>
      </c>
      <c r="AR608">
        <f t="shared" si="501"/>
        <v>-2.5380709024922763</v>
      </c>
      <c r="AT608">
        <f t="shared" si="523"/>
        <v>-2029.7481094326226</v>
      </c>
      <c r="AU608">
        <f t="shared" si="524"/>
        <v>-203.94140771569857</v>
      </c>
      <c r="AV608">
        <f t="shared" si="511"/>
        <v>-3.0414525232288794</v>
      </c>
      <c r="AW608">
        <f t="shared" si="512"/>
        <v>-112.70813992174047</v>
      </c>
      <c r="AX608">
        <f t="shared" si="513"/>
        <v>-1041.9917504821219</v>
      </c>
      <c r="AY608">
        <f t="shared" si="521"/>
        <v>-1.6785434775212718</v>
      </c>
      <c r="BA608">
        <f t="shared" si="502"/>
        <v>1.9464050553429275</v>
      </c>
      <c r="BB608">
        <f t="shared" si="514"/>
        <v>5.7846644781006002</v>
      </c>
      <c r="BC608">
        <f t="shared" si="515"/>
        <v>-1.3629090457076076</v>
      </c>
      <c r="BD608">
        <f t="shared" si="503"/>
        <v>-258.08893626847816</v>
      </c>
      <c r="BF608">
        <f t="shared" si="504"/>
        <v>-63.626970421026073</v>
      </c>
      <c r="BG608">
        <f t="shared" si="505"/>
        <v>-226.25759440131182</v>
      </c>
      <c r="BH608">
        <f t="shared" si="516"/>
        <v>-46.25759440131182</v>
      </c>
      <c r="BI608">
        <f t="shared" si="517"/>
        <v>-46.25759440131182</v>
      </c>
      <c r="BJ608">
        <f t="shared" si="506"/>
        <v>0</v>
      </c>
      <c r="BK608">
        <f t="shared" si="518"/>
        <v>0</v>
      </c>
      <c r="BM608">
        <f t="shared" si="519"/>
        <v>-69.411634899126668</v>
      </c>
      <c r="BN608">
        <f t="shared" si="507"/>
        <v>-148.16865813283371</v>
      </c>
      <c r="BQ608" s="66">
        <f t="shared" si="520"/>
        <v>22.686625278385737</v>
      </c>
    </row>
    <row r="609" spans="1:69" ht="13" x14ac:dyDescent="0.3">
      <c r="A609">
        <f t="shared" si="525"/>
        <v>1975000</v>
      </c>
      <c r="B609">
        <f t="shared" si="508"/>
        <v>1975</v>
      </c>
      <c r="C609">
        <f t="shared" si="477"/>
        <v>1.1768501416026567</v>
      </c>
      <c r="D609">
        <f t="shared" si="478"/>
        <v>0.55533121688631448</v>
      </c>
      <c r="F609">
        <f t="shared" si="479"/>
        <v>1.9085761381709529E-5</v>
      </c>
      <c r="G609">
        <f t="shared" si="480"/>
        <v>1.3620129906612806E-3</v>
      </c>
      <c r="H609">
        <f t="shared" si="481"/>
        <v>-3.1402306370093389</v>
      </c>
      <c r="J609">
        <f t="shared" si="482"/>
        <v>15</v>
      </c>
      <c r="M609">
        <f t="shared" si="483"/>
        <v>5.5614065841569078E-4</v>
      </c>
      <c r="N609">
        <f t="shared" si="484"/>
        <v>-1.5707963250000001</v>
      </c>
      <c r="O609">
        <f t="shared" si="485"/>
        <v>680.12915450162484</v>
      </c>
      <c r="P609">
        <f t="shared" si="486"/>
        <v>1.5693260172901753</v>
      </c>
      <c r="Q609">
        <f t="shared" si="487"/>
        <v>261.23113910673118</v>
      </c>
      <c r="R609">
        <f t="shared" si="488"/>
        <v>1.5669682898857642</v>
      </c>
      <c r="S609">
        <f t="shared" si="489"/>
        <v>0.84452063759032081</v>
      </c>
      <c r="T609">
        <f t="shared" si="490"/>
        <v>-0.56512692197048542</v>
      </c>
      <c r="U609">
        <f t="shared" si="491"/>
        <v>0.10093333587246608</v>
      </c>
      <c r="V609">
        <f t="shared" si="492"/>
        <v>-1.4696908234280139</v>
      </c>
      <c r="X609">
        <f t="shared" si="509"/>
        <v>-50.940644212475299</v>
      </c>
      <c r="Y609">
        <f t="shared" si="493"/>
        <v>-174.99386911355455</v>
      </c>
      <c r="Z609">
        <f t="shared" si="510"/>
        <v>5.0061308864454475</v>
      </c>
      <c r="AC609">
        <v>1</v>
      </c>
      <c r="AD609">
        <f t="shared" si="494"/>
        <v>680.12841934674009</v>
      </c>
      <c r="AE609">
        <f t="shared" si="495"/>
        <v>-0.84399114509395556</v>
      </c>
      <c r="AF609">
        <f t="shared" si="496"/>
        <v>8.5624107675750002E-2</v>
      </c>
      <c r="AG609">
        <f t="shared" si="473"/>
        <v>79.748760146960734</v>
      </c>
      <c r="AH609">
        <f t="shared" si="474"/>
        <v>-797.75718837187026</v>
      </c>
      <c r="AJ609">
        <f t="shared" si="497"/>
        <v>21000</v>
      </c>
      <c r="AK609">
        <f t="shared" si="498"/>
        <v>13316.410137224251</v>
      </c>
      <c r="AL609">
        <v>1</v>
      </c>
      <c r="AM609">
        <f t="shared" si="499"/>
        <v>261.22922508593928</v>
      </c>
      <c r="AN609">
        <f t="shared" si="475"/>
        <v>51.282941204718767</v>
      </c>
      <c r="AO609">
        <f t="shared" si="476"/>
        <v>-80.192853812216327</v>
      </c>
      <c r="AQ609">
        <f t="shared" si="500"/>
        <v>6.4092288793956816E-4</v>
      </c>
      <c r="AR609">
        <f t="shared" si="501"/>
        <v>-2.5316454073612942</v>
      </c>
      <c r="AT609">
        <f t="shared" si="523"/>
        <v>-2019.5872093254411</v>
      </c>
      <c r="AU609">
        <f t="shared" si="524"/>
        <v>-202.4068832098564</v>
      </c>
      <c r="AV609">
        <f t="shared" si="511"/>
        <v>-3.0417042951760784</v>
      </c>
      <c r="AW609">
        <f t="shared" si="512"/>
        <v>-111.87841669909086</v>
      </c>
      <c r="AX609">
        <f t="shared" si="513"/>
        <v>-1039.369405963841</v>
      </c>
      <c r="AY609">
        <f t="shared" si="521"/>
        <v>-1.6780241340671957</v>
      </c>
      <c r="BA609">
        <f t="shared" si="502"/>
        <v>1.9416073450813069</v>
      </c>
      <c r="BB609">
        <f t="shared" si="514"/>
        <v>5.7632281251739714</v>
      </c>
      <c r="BC609">
        <f t="shared" si="515"/>
        <v>-1.3636801611088827</v>
      </c>
      <c r="BD609">
        <f t="shared" si="503"/>
        <v>-258.13311792653923</v>
      </c>
      <c r="BF609">
        <f t="shared" si="504"/>
        <v>-63.686333619250448</v>
      </c>
      <c r="BG609">
        <f t="shared" si="505"/>
        <v>-226.23694533463566</v>
      </c>
      <c r="BH609">
        <f t="shared" si="516"/>
        <v>-46.236945334635664</v>
      </c>
      <c r="BI609">
        <f t="shared" si="517"/>
        <v>-46.236945334635664</v>
      </c>
      <c r="BJ609">
        <f t="shared" si="506"/>
        <v>0</v>
      </c>
      <c r="BK609">
        <f t="shared" si="518"/>
        <v>0</v>
      </c>
      <c r="BM609">
        <f t="shared" si="519"/>
        <v>-69.449561744424415</v>
      </c>
      <c r="BN609">
        <f t="shared" si="507"/>
        <v>-148.10382740809646</v>
      </c>
      <c r="BQ609" s="66">
        <f t="shared" si="520"/>
        <v>22.665188925459109</v>
      </c>
    </row>
    <row r="610" spans="1:69" ht="13" x14ac:dyDescent="0.3">
      <c r="A610">
        <f t="shared" si="525"/>
        <v>1980000</v>
      </c>
      <c r="B610">
        <f t="shared" si="508"/>
        <v>1980</v>
      </c>
      <c r="C610">
        <f t="shared" si="477"/>
        <v>1.1776790607190262</v>
      </c>
      <c r="D610">
        <f t="shared" si="478"/>
        <v>0.5564645872502797</v>
      </c>
      <c r="F610">
        <f t="shared" si="479"/>
        <v>1.8989488599710916E-5</v>
      </c>
      <c r="G610">
        <f t="shared" si="480"/>
        <v>1.3585734361862827E-3</v>
      </c>
      <c r="H610">
        <f t="shared" si="481"/>
        <v>-3.1402340765638139</v>
      </c>
      <c r="J610">
        <f t="shared" si="482"/>
        <v>15</v>
      </c>
      <c r="M610">
        <f t="shared" si="483"/>
        <v>5.5473626281363111E-4</v>
      </c>
      <c r="N610">
        <f t="shared" si="484"/>
        <v>-1.5707963250000001</v>
      </c>
      <c r="O610">
        <f t="shared" si="485"/>
        <v>681.85099674478715</v>
      </c>
      <c r="P610">
        <f t="shared" si="486"/>
        <v>1.5693297301876343</v>
      </c>
      <c r="Q610">
        <f t="shared" si="487"/>
        <v>261.89247408372472</v>
      </c>
      <c r="R610">
        <f t="shared" si="488"/>
        <v>1.5669779565515565</v>
      </c>
      <c r="S610">
        <f t="shared" si="489"/>
        <v>0.84390737626310786</v>
      </c>
      <c r="T610">
        <f t="shared" si="490"/>
        <v>-0.56627105340256467</v>
      </c>
      <c r="U610">
        <f t="shared" si="491"/>
        <v>0.1006810406052408</v>
      </c>
      <c r="V610">
        <f t="shared" si="492"/>
        <v>-1.4699444104731918</v>
      </c>
      <c r="X610">
        <f t="shared" si="509"/>
        <v>-50.984539710808335</v>
      </c>
      <c r="Y610">
        <f t="shared" si="493"/>
        <v>-175.00844562423393</v>
      </c>
      <c r="Z610">
        <f t="shared" si="510"/>
        <v>4.9915543757660714</v>
      </c>
      <c r="AC610">
        <v>1</v>
      </c>
      <c r="AD610">
        <f t="shared" si="494"/>
        <v>681.85026344635207</v>
      </c>
      <c r="AE610">
        <f t="shared" si="495"/>
        <v>-0.848269927313275</v>
      </c>
      <c r="AF610">
        <f t="shared" si="496"/>
        <v>8.5840877568599996E-2</v>
      </c>
      <c r="AG610">
        <f t="shared" si="473"/>
        <v>79.35057478867968</v>
      </c>
      <c r="AH610">
        <f t="shared" si="474"/>
        <v>-795.7829444796763</v>
      </c>
      <c r="AJ610">
        <f t="shared" si="497"/>
        <v>21000</v>
      </c>
      <c r="AK610">
        <f t="shared" si="498"/>
        <v>13350.122567951399</v>
      </c>
      <c r="AL610">
        <v>1</v>
      </c>
      <c r="AM610">
        <f t="shared" si="499"/>
        <v>261.89056489628337</v>
      </c>
      <c r="AN610">
        <f t="shared" si="475"/>
        <v>51.281392767197588</v>
      </c>
      <c r="AO610">
        <f t="shared" si="476"/>
        <v>-79.990352518156328</v>
      </c>
      <c r="AQ610">
        <f t="shared" si="500"/>
        <v>6.3768999096457048E-4</v>
      </c>
      <c r="AR610">
        <f t="shared" si="501"/>
        <v>-2.5252523642196993</v>
      </c>
      <c r="AT610">
        <f t="shared" si="523"/>
        <v>-2009.5021608856962</v>
      </c>
      <c r="AU610">
        <f t="shared" si="524"/>
        <v>-200.88768940598044</v>
      </c>
      <c r="AV610">
        <f t="shared" si="511"/>
        <v>-3.0419548086281929</v>
      </c>
      <c r="AW610">
        <f t="shared" si="512"/>
        <v>-111.05499113435687</v>
      </c>
      <c r="AX610">
        <f t="shared" si="513"/>
        <v>-1036.7601898262947</v>
      </c>
      <c r="AY610">
        <f t="shared" si="521"/>
        <v>-1.677506769338593</v>
      </c>
      <c r="BA610">
        <f t="shared" si="502"/>
        <v>1.9368327753759247</v>
      </c>
      <c r="BB610">
        <f t="shared" si="514"/>
        <v>5.7418425138497931</v>
      </c>
      <c r="BC610">
        <f t="shared" si="515"/>
        <v>-1.3644480392895999</v>
      </c>
      <c r="BD610">
        <f t="shared" si="503"/>
        <v>-258.17711410552477</v>
      </c>
      <c r="BF610">
        <f t="shared" si="504"/>
        <v>-63.745527858013908</v>
      </c>
      <c r="BG610">
        <f t="shared" si="505"/>
        <v>-226.21620124702167</v>
      </c>
      <c r="BH610">
        <f t="shared" si="516"/>
        <v>-46.216201247021672</v>
      </c>
      <c r="BI610">
        <f t="shared" si="517"/>
        <v>-46.216201247021672</v>
      </c>
      <c r="BJ610">
        <f t="shared" si="506"/>
        <v>0</v>
      </c>
      <c r="BK610">
        <f t="shared" si="518"/>
        <v>0</v>
      </c>
      <c r="BM610">
        <f t="shared" si="519"/>
        <v>-69.487370371863705</v>
      </c>
      <c r="BN610">
        <f t="shared" si="507"/>
        <v>-148.03908714149691</v>
      </c>
      <c r="BQ610" s="66">
        <f t="shared" si="520"/>
        <v>22.643803314134932</v>
      </c>
    </row>
    <row r="611" spans="1:69" ht="13" x14ac:dyDescent="0.3">
      <c r="A611">
        <f t="shared" si="525"/>
        <v>1985000</v>
      </c>
      <c r="B611">
        <f t="shared" si="508"/>
        <v>1985</v>
      </c>
      <c r="C611">
        <f t="shared" si="477"/>
        <v>1.1785094904684019</v>
      </c>
      <c r="D611">
        <f t="shared" si="478"/>
        <v>0.55759636182087491</v>
      </c>
      <c r="F611">
        <f t="shared" si="479"/>
        <v>1.8893942420809106E-5</v>
      </c>
      <c r="G611">
        <f t="shared" si="480"/>
        <v>1.3551512104032369E-3</v>
      </c>
      <c r="H611">
        <f t="shared" si="481"/>
        <v>-3.1402374987895971</v>
      </c>
      <c r="J611">
        <f t="shared" si="482"/>
        <v>15</v>
      </c>
      <c r="M611">
        <f t="shared" si="483"/>
        <v>5.5333894225238767E-4</v>
      </c>
      <c r="N611">
        <f t="shared" si="484"/>
        <v>-1.5707963250000001</v>
      </c>
      <c r="O611">
        <f t="shared" si="485"/>
        <v>683.5728389973018</v>
      </c>
      <c r="P611">
        <f t="shared" si="486"/>
        <v>1.5693334243803603</v>
      </c>
      <c r="Q611">
        <f t="shared" si="487"/>
        <v>262.55380908506743</v>
      </c>
      <c r="R611">
        <f t="shared" si="488"/>
        <v>1.5669875745194888</v>
      </c>
      <c r="S611">
        <f t="shared" si="489"/>
        <v>0.84329390344750199</v>
      </c>
      <c r="T611">
        <f t="shared" si="490"/>
        <v>-0.56741352289100366</v>
      </c>
      <c r="U611">
        <f t="shared" si="491"/>
        <v>0.10042999706907839</v>
      </c>
      <c r="V611">
        <f t="shared" si="492"/>
        <v>-1.4701967329193004</v>
      </c>
      <c r="X611">
        <f t="shared" si="509"/>
        <v>-51.028326029454256</v>
      </c>
      <c r="Y611">
        <f t="shared" si="493"/>
        <v>-175.02294875761561</v>
      </c>
      <c r="Z611">
        <f t="shared" si="510"/>
        <v>4.9770512423843911</v>
      </c>
      <c r="AC611">
        <v>1</v>
      </c>
      <c r="AD611">
        <f t="shared" si="494"/>
        <v>683.57210754596406</v>
      </c>
      <c r="AE611">
        <f t="shared" si="495"/>
        <v>-0.85255952819812997</v>
      </c>
      <c r="AF611">
        <f t="shared" si="496"/>
        <v>8.6057647461450004E-2</v>
      </c>
      <c r="AG611">
        <f t="shared" si="473"/>
        <v>78.955354131223203</v>
      </c>
      <c r="AH611">
        <f t="shared" si="474"/>
        <v>-793.81834714263618</v>
      </c>
      <c r="AJ611">
        <f t="shared" si="497"/>
        <v>21000</v>
      </c>
      <c r="AK611">
        <f t="shared" si="498"/>
        <v>13383.834998678552</v>
      </c>
      <c r="AL611">
        <v>1</v>
      </c>
      <c r="AM611">
        <f t="shared" si="499"/>
        <v>262.55190470662757</v>
      </c>
      <c r="AN611">
        <f t="shared" si="475"/>
        <v>51.279856015746248</v>
      </c>
      <c r="AO611">
        <f t="shared" si="476"/>
        <v>-79.788871337239414</v>
      </c>
      <c r="AQ611">
        <f t="shared" si="500"/>
        <v>6.344814931582909E-4</v>
      </c>
      <c r="AR611">
        <f t="shared" si="501"/>
        <v>-2.5188915278384147</v>
      </c>
      <c r="AT611">
        <f t="shared" si="523"/>
        <v>-1999.492213549298</v>
      </c>
      <c r="AU611">
        <f t="shared" si="524"/>
        <v>-199.38363564881141</v>
      </c>
      <c r="AV611">
        <f t="shared" si="511"/>
        <v>-3.0422040729652946</v>
      </c>
      <c r="AW611">
        <f t="shared" si="512"/>
        <v>-110.23779960976674</v>
      </c>
      <c r="AX611">
        <f t="shared" si="513"/>
        <v>-1034.164003999799</v>
      </c>
      <c r="AY611">
        <f t="shared" si="521"/>
        <v>-1.676991368576592</v>
      </c>
      <c r="BA611">
        <f t="shared" si="502"/>
        <v>1.9320811818591259</v>
      </c>
      <c r="BB611">
        <f t="shared" si="514"/>
        <v>5.7205074114935357</v>
      </c>
      <c r="BC611">
        <f t="shared" si="515"/>
        <v>-1.3652127043887026</v>
      </c>
      <c r="BD611">
        <f t="shared" si="503"/>
        <v>-258.22092618849439</v>
      </c>
      <c r="BF611">
        <f t="shared" si="504"/>
        <v>-63.804553972699374</v>
      </c>
      <c r="BG611">
        <f t="shared" si="505"/>
        <v>-226.19536350275595</v>
      </c>
      <c r="BH611">
        <f t="shared" si="516"/>
        <v>-46.195363502755953</v>
      </c>
      <c r="BI611">
        <f t="shared" si="517"/>
        <v>-46.195363502755953</v>
      </c>
      <c r="BJ611">
        <f t="shared" si="506"/>
        <v>0</v>
      </c>
      <c r="BK611">
        <f t="shared" si="518"/>
        <v>0</v>
      </c>
      <c r="BM611">
        <f t="shared" si="519"/>
        <v>-69.525061384192924</v>
      </c>
      <c r="BN611">
        <f t="shared" si="507"/>
        <v>-147.97443731426159</v>
      </c>
      <c r="BQ611" s="66">
        <f t="shared" si="520"/>
        <v>22.622468211778674</v>
      </c>
    </row>
    <row r="612" spans="1:69" ht="13" x14ac:dyDescent="0.3">
      <c r="A612">
        <f t="shared" si="525"/>
        <v>1990000</v>
      </c>
      <c r="B612">
        <f t="shared" si="508"/>
        <v>1990</v>
      </c>
      <c r="C612">
        <f t="shared" si="477"/>
        <v>1.1793414276596603</v>
      </c>
      <c r="D612">
        <f t="shared" si="478"/>
        <v>0.55872654107277109</v>
      </c>
      <c r="F612">
        <f t="shared" si="479"/>
        <v>1.8799115551422167E-5</v>
      </c>
      <c r="G612">
        <f t="shared" si="480"/>
        <v>1.3517461826842341E-3</v>
      </c>
      <c r="H612">
        <f t="shared" si="481"/>
        <v>-3.140240903817316</v>
      </c>
      <c r="J612">
        <f t="shared" si="482"/>
        <v>15</v>
      </c>
      <c r="M612">
        <f t="shared" si="483"/>
        <v>5.5194864340250729E-4</v>
      </c>
      <c r="N612">
        <f t="shared" si="484"/>
        <v>-1.5707963250000001</v>
      </c>
      <c r="O612">
        <f t="shared" si="485"/>
        <v>685.2946812590983</v>
      </c>
      <c r="P612">
        <f t="shared" si="486"/>
        <v>1.5693371000093432</v>
      </c>
      <c r="Q612">
        <f t="shared" si="487"/>
        <v>263.21514411057569</v>
      </c>
      <c r="R612">
        <f t="shared" si="488"/>
        <v>1.5669971441566233</v>
      </c>
      <c r="S612">
        <f t="shared" si="489"/>
        <v>0.84268022440350732</v>
      </c>
      <c r="T612">
        <f t="shared" si="490"/>
        <v>-0.56855433107844522</v>
      </c>
      <c r="U612">
        <f t="shared" si="491"/>
        <v>0.10018019601940992</v>
      </c>
      <c r="V612">
        <f t="shared" si="492"/>
        <v>-1.4704478001704595</v>
      </c>
      <c r="X612">
        <f t="shared" si="509"/>
        <v>-51.072003707410943</v>
      </c>
      <c r="Y612">
        <f t="shared" si="493"/>
        <v>-175.0373790405153</v>
      </c>
      <c r="Z612">
        <f t="shared" si="510"/>
        <v>4.9626209594846955</v>
      </c>
      <c r="AC612">
        <v>1</v>
      </c>
      <c r="AD612">
        <f t="shared" si="494"/>
        <v>685.29395164557604</v>
      </c>
      <c r="AE612">
        <f t="shared" si="495"/>
        <v>-0.8568599477485207</v>
      </c>
      <c r="AF612">
        <f t="shared" si="496"/>
        <v>8.6274417354300012E-2</v>
      </c>
      <c r="AG612">
        <f t="shared" si="473"/>
        <v>78.563068915775531</v>
      </c>
      <c r="AH612">
        <f t="shared" si="474"/>
        <v>-791.86332659399682</v>
      </c>
      <c r="AJ612">
        <f t="shared" si="497"/>
        <v>21000</v>
      </c>
      <c r="AK612">
        <f t="shared" si="498"/>
        <v>13417.5474294057</v>
      </c>
      <c r="AL612">
        <v>1</v>
      </c>
      <c r="AM612">
        <f t="shared" si="499"/>
        <v>263.21324451697171</v>
      </c>
      <c r="AN612">
        <f t="shared" si="475"/>
        <v>51.278330833067315</v>
      </c>
      <c r="AO612">
        <f t="shared" si="476"/>
        <v>-79.588402580616261</v>
      </c>
      <c r="AQ612">
        <f t="shared" si="500"/>
        <v>6.3129714961130084E-4</v>
      </c>
      <c r="AR612">
        <f t="shared" si="501"/>
        <v>-2.5125626554529776</v>
      </c>
      <c r="AT612">
        <f t="shared" si="523"/>
        <v>-1989.55662598137</v>
      </c>
      <c r="AU612">
        <f t="shared" si="524"/>
        <v>-197.89453411651678</v>
      </c>
      <c r="AV612">
        <f t="shared" si="511"/>
        <v>-3.0424520974747895</v>
      </c>
      <c r="AW612">
        <f t="shared" si="512"/>
        <v>-109.4267793093891</v>
      </c>
      <c r="AX612">
        <f t="shared" si="513"/>
        <v>-1031.5807513864308</v>
      </c>
      <c r="AY612">
        <f t="shared" si="521"/>
        <v>-1.676477917168379</v>
      </c>
      <c r="BA612">
        <f t="shared" si="502"/>
        <v>1.9273524016860029</v>
      </c>
      <c r="BB612">
        <f t="shared" si="514"/>
        <v>5.6992225869869504</v>
      </c>
      <c r="BC612">
        <f t="shared" si="515"/>
        <v>-1.3659741803064105</v>
      </c>
      <c r="BD612">
        <f t="shared" si="503"/>
        <v>-258.26455554482976</v>
      </c>
      <c r="BF612">
        <f t="shared" si="504"/>
        <v>-63.863412792833635</v>
      </c>
      <c r="BG612">
        <f t="shared" si="505"/>
        <v>-226.17443345150807</v>
      </c>
      <c r="BH612">
        <f t="shared" si="516"/>
        <v>-46.174433451508065</v>
      </c>
      <c r="BI612">
        <f t="shared" si="517"/>
        <v>-46.174433451508065</v>
      </c>
      <c r="BJ612">
        <f t="shared" si="506"/>
        <v>0</v>
      </c>
      <c r="BK612">
        <f t="shared" si="518"/>
        <v>0</v>
      </c>
      <c r="BM612">
        <f t="shared" si="519"/>
        <v>-69.562635379820591</v>
      </c>
      <c r="BN612">
        <f t="shared" si="507"/>
        <v>-147.90987790667833</v>
      </c>
      <c r="BQ612" s="66">
        <f t="shared" si="520"/>
        <v>22.601183387272087</v>
      </c>
    </row>
    <row r="613" spans="1:69" ht="13" x14ac:dyDescent="0.3">
      <c r="A613">
        <f t="shared" si="525"/>
        <v>1995000</v>
      </c>
      <c r="B613">
        <f t="shared" si="508"/>
        <v>1995</v>
      </c>
      <c r="C613">
        <f t="shared" si="477"/>
        <v>1.1801748691048919</v>
      </c>
      <c r="D613">
        <f t="shared" si="478"/>
        <v>0.55985512549560379</v>
      </c>
      <c r="F613">
        <f t="shared" si="479"/>
        <v>1.8705000789255049E-5</v>
      </c>
      <c r="G613">
        <f t="shared" si="480"/>
        <v>1.3483582237110378E-3</v>
      </c>
      <c r="H613">
        <f t="shared" si="481"/>
        <v>-3.1402442917762894</v>
      </c>
      <c r="J613">
        <f t="shared" si="482"/>
        <v>15</v>
      </c>
      <c r="M613">
        <f t="shared" si="483"/>
        <v>5.5056531346916765E-4</v>
      </c>
      <c r="N613">
        <f t="shared" si="484"/>
        <v>-1.5707963250000001</v>
      </c>
      <c r="O613">
        <f t="shared" si="485"/>
        <v>687.01652353010695</v>
      </c>
      <c r="P613">
        <f t="shared" si="486"/>
        <v>1.56934075721416</v>
      </c>
      <c r="Q613">
        <f t="shared" si="487"/>
        <v>263.87647916006784</v>
      </c>
      <c r="R613">
        <f t="shared" si="488"/>
        <v>1.5670066658263426</v>
      </c>
      <c r="S613">
        <f t="shared" si="489"/>
        <v>0.8420663443677987</v>
      </c>
      <c r="T613">
        <f t="shared" si="490"/>
        <v>-0.56969347862296127</v>
      </c>
      <c r="U613">
        <f t="shared" si="491"/>
        <v>9.9931628302000267E-2</v>
      </c>
      <c r="V613">
        <f t="shared" si="492"/>
        <v>-1.4706976215380909</v>
      </c>
      <c r="X613">
        <f t="shared" si="509"/>
        <v>-51.11557327969728</v>
      </c>
      <c r="Y613">
        <f t="shared" si="493"/>
        <v>-175.05173699468077</v>
      </c>
      <c r="Z613">
        <f t="shared" si="510"/>
        <v>4.9482630053192338</v>
      </c>
      <c r="AC613">
        <v>1</v>
      </c>
      <c r="AD613">
        <f t="shared" si="494"/>
        <v>687.01579574518803</v>
      </c>
      <c r="AE613">
        <f t="shared" si="495"/>
        <v>-0.86117118596444686</v>
      </c>
      <c r="AF613">
        <f t="shared" si="496"/>
        <v>8.6491187247150006E-2</v>
      </c>
      <c r="AG613">
        <f t="shared" si="473"/>
        <v>78.173690242340797</v>
      </c>
      <c r="AH613">
        <f t="shared" si="474"/>
        <v>-789.91781373038316</v>
      </c>
      <c r="AJ613">
        <f t="shared" si="497"/>
        <v>21000</v>
      </c>
      <c r="AK613">
        <f t="shared" si="498"/>
        <v>13451.25986013285</v>
      </c>
      <c r="AL613">
        <v>1</v>
      </c>
      <c r="AM613">
        <f t="shared" si="499"/>
        <v>263.87458432731586</v>
      </c>
      <c r="AN613">
        <f t="shared" si="475"/>
        <v>51.276817103331368</v>
      </c>
      <c r="AO613">
        <f t="shared" si="476"/>
        <v>-79.388938636513075</v>
      </c>
      <c r="AQ613">
        <f t="shared" si="500"/>
        <v>6.2813671847936146E-4</v>
      </c>
      <c r="AR613">
        <f t="shared" si="501"/>
        <v>-2.5062655067326518</v>
      </c>
      <c r="AT613">
        <f t="shared" si="523"/>
        <v>-1979.694665940867</v>
      </c>
      <c r="AU613">
        <f t="shared" si="524"/>
        <v>-196.42019977176662</v>
      </c>
      <c r="AV613">
        <f t="shared" si="511"/>
        <v>-3.0426988913525559</v>
      </c>
      <c r="AW613">
        <f t="shared" si="512"/>
        <v>-108.62186820702695</v>
      </c>
      <c r="AX613">
        <f t="shared" si="513"/>
        <v>-1029.0103358480501</v>
      </c>
      <c r="AY613">
        <f t="shared" si="521"/>
        <v>-1.675966400645402</v>
      </c>
      <c r="BA613">
        <f t="shared" si="502"/>
        <v>1.9226462735172103</v>
      </c>
      <c r="BB613">
        <f t="shared" si="514"/>
        <v>5.6779878107158153</v>
      </c>
      <c r="BC613">
        <f t="shared" si="515"/>
        <v>-1.3667324907071539</v>
      </c>
      <c r="BD613">
        <f t="shared" si="503"/>
        <v>-258.30800353040286</v>
      </c>
      <c r="BF613">
        <f t="shared" si="504"/>
        <v>-63.922105142141788</v>
      </c>
      <c r="BG613">
        <f t="shared" si="505"/>
        <v>-226.15341242850533</v>
      </c>
      <c r="BH613">
        <f t="shared" si="516"/>
        <v>-46.153412428505334</v>
      </c>
      <c r="BI613">
        <f t="shared" si="517"/>
        <v>-46.153412428505334</v>
      </c>
      <c r="BJ613">
        <f t="shared" si="506"/>
        <v>0</v>
      </c>
      <c r="BK613">
        <f t="shared" si="518"/>
        <v>0</v>
      </c>
      <c r="BM613">
        <f t="shared" si="519"/>
        <v>-69.600092952857608</v>
      </c>
      <c r="BN613">
        <f t="shared" si="507"/>
        <v>-147.84540889810248</v>
      </c>
      <c r="BQ613" s="66">
        <f t="shared" si="520"/>
        <v>22.579948611000951</v>
      </c>
    </row>
    <row r="614" spans="1:69" ht="13" x14ac:dyDescent="0.3">
      <c r="A614">
        <f t="shared" si="525"/>
        <v>2000000</v>
      </c>
      <c r="B614">
        <f t="shared" si="508"/>
        <v>2000</v>
      </c>
      <c r="C614">
        <f t="shared" si="477"/>
        <v>1.1810098116194299</v>
      </c>
      <c r="D614">
        <f t="shared" si="478"/>
        <v>0.56098211559387845</v>
      </c>
      <c r="F614">
        <f t="shared" si="479"/>
        <v>1.8611591021931931E-5</v>
      </c>
      <c r="G614">
        <f t="shared" si="480"/>
        <v>1.3449872054587129E-3</v>
      </c>
      <c r="H614">
        <f t="shared" si="481"/>
        <v>-3.1402476627945415</v>
      </c>
      <c r="J614">
        <f t="shared" si="482"/>
        <v>15</v>
      </c>
      <c r="M614">
        <f t="shared" si="483"/>
        <v>5.4918890018549476E-4</v>
      </c>
      <c r="N614">
        <f t="shared" si="484"/>
        <v>-1.5707963250000001</v>
      </c>
      <c r="O614">
        <f t="shared" si="485"/>
        <v>688.73836581025853</v>
      </c>
      <c r="P614">
        <f t="shared" si="486"/>
        <v>1.5693443961329911</v>
      </c>
      <c r="Q614">
        <f t="shared" si="487"/>
        <v>264.53781423336409</v>
      </c>
      <c r="R614">
        <f t="shared" si="488"/>
        <v>1.5670161398883951</v>
      </c>
      <c r="S614">
        <f t="shared" si="489"/>
        <v>0.84145226855372179</v>
      </c>
      <c r="T614">
        <f t="shared" si="490"/>
        <v>-0.57083096619794882</v>
      </c>
      <c r="U614">
        <f t="shared" si="491"/>
        <v>9.9684284851853419E-2</v>
      </c>
      <c r="V614">
        <f t="shared" si="492"/>
        <v>-1.4709462062420546</v>
      </c>
      <c r="X614">
        <f t="shared" si="509"/>
        <v>-51.159035277392071</v>
      </c>
      <c r="Y614">
        <f t="shared" si="493"/>
        <v>-175.06602313685394</v>
      </c>
      <c r="Z614">
        <f t="shared" si="510"/>
        <v>4.9339768631460572</v>
      </c>
      <c r="AC614">
        <v>1</v>
      </c>
      <c r="AD614">
        <f t="shared" si="494"/>
        <v>688.73763984480001</v>
      </c>
      <c r="AE614">
        <f t="shared" si="495"/>
        <v>-0.86549324284590867</v>
      </c>
      <c r="AF614">
        <f t="shared" si="496"/>
        <v>8.670795714E-2</v>
      </c>
      <c r="AG614">
        <f t="shared" si="473"/>
        <v>77.787189564493659</v>
      </c>
      <c r="AH614">
        <f t="shared" si="474"/>
        <v>-787.98174010403227</v>
      </c>
      <c r="AJ614">
        <f t="shared" si="497"/>
        <v>21000</v>
      </c>
      <c r="AK614">
        <f t="shared" si="498"/>
        <v>13484.97229086</v>
      </c>
      <c r="AL614">
        <v>1</v>
      </c>
      <c r="AM614">
        <f t="shared" si="499"/>
        <v>264.53592413766</v>
      </c>
      <c r="AN614">
        <f t="shared" si="475"/>
        <v>51.275314712154966</v>
      </c>
      <c r="AO614">
        <f t="shared" si="476"/>
        <v>-79.190471969268273</v>
      </c>
      <c r="AQ614">
        <f t="shared" si="500"/>
        <v>6.2499996093750242E-4</v>
      </c>
      <c r="AR614">
        <f t="shared" si="501"/>
        <v>-2.4999998437500097</v>
      </c>
      <c r="AT614">
        <f t="shared" si="523"/>
        <v>-1969.9056101475021</v>
      </c>
      <c r="AU614">
        <f t="shared" si="524"/>
        <v>-194.96045031377102</v>
      </c>
      <c r="AV614">
        <f t="shared" si="511"/>
        <v>-3.0429444637040648</v>
      </c>
      <c r="AW614">
        <f t="shared" si="512"/>
        <v>-107.82300505432617</v>
      </c>
      <c r="AX614">
        <f t="shared" si="513"/>
        <v>-1026.452662194502</v>
      </c>
      <c r="AY614">
        <f t="shared" si="521"/>
        <v>-1.675456804681603</v>
      </c>
      <c r="BA614">
        <f t="shared" si="502"/>
        <v>1.9179626375020036</v>
      </c>
      <c r="BB614">
        <f t="shared" si="514"/>
        <v>5.6568028545577986</v>
      </c>
      <c r="BC614">
        <f t="shared" si="515"/>
        <v>-1.3674876590224618</v>
      </c>
      <c r="BD614">
        <f t="shared" si="503"/>
        <v>-258.35127148774143</v>
      </c>
      <c r="BF614">
        <f t="shared" si="504"/>
        <v>-63.980631838601184</v>
      </c>
      <c r="BG614">
        <f t="shared" si="505"/>
        <v>-226.13230175470471</v>
      </c>
      <c r="BH614">
        <f t="shared" si="516"/>
        <v>-46.132301754704713</v>
      </c>
      <c r="BI614">
        <f t="shared" si="517"/>
        <v>-46.132301754704713</v>
      </c>
      <c r="BJ614">
        <f t="shared" si="506"/>
        <v>0</v>
      </c>
      <c r="BK614">
        <f t="shared" si="518"/>
        <v>0</v>
      </c>
      <c r="BM614">
        <f t="shared" si="519"/>
        <v>-69.637434693158994</v>
      </c>
      <c r="BN614">
        <f t="shared" si="507"/>
        <v>-147.78103026696326</v>
      </c>
      <c r="BQ614" s="66">
        <f t="shared" si="520"/>
        <v>22.558763654842934</v>
      </c>
    </row>
    <row r="615" spans="1:69" ht="13" x14ac:dyDescent="0.3">
      <c r="A615">
        <f>A614+250000</f>
        <v>2250000</v>
      </c>
      <c r="B615">
        <f t="shared" si="508"/>
        <v>2250</v>
      </c>
      <c r="C615">
        <f t="shared" si="477"/>
        <v>1.2246014542140986</v>
      </c>
      <c r="D615">
        <f t="shared" ref="D615:D626" si="526">ATAN(A615/Fesr)</f>
        <v>0.61531406598189997</v>
      </c>
      <c r="F615">
        <f t="shared" si="479"/>
        <v>1.4705399467915104E-5</v>
      </c>
      <c r="G615">
        <f t="shared" ref="G615:G626" si="527">-ATAN(A615*Fo/(Q*(Fo^2-A615^2)))</f>
        <v>1.1955396219593679E-3</v>
      </c>
      <c r="H615">
        <f t="shared" si="481"/>
        <v>-3.140397110378041</v>
      </c>
      <c r="J615">
        <f t="shared" si="482"/>
        <v>15</v>
      </c>
      <c r="M615">
        <f t="shared" ref="M615:M626" si="528">1/(2*Pi*_Rfb1*(Cc1ea_u+Cc2ea_u)*A615)</f>
        <v>4.8816791127599527E-4</v>
      </c>
      <c r="N615">
        <f t="shared" si="484"/>
        <v>-1.5707963250000001</v>
      </c>
      <c r="O615">
        <f t="shared" ref="O615:O626" si="529">SQRT(1+(A615/Fz1_u)^2)</f>
        <v>774.83049012810125</v>
      </c>
      <c r="P615">
        <f t="shared" si="486"/>
        <v>1.5695057215717529</v>
      </c>
      <c r="Q615">
        <f t="shared" ref="Q615:Q626" si="530">SQRT(1+(A615/Fz2_u)^2)</f>
        <v>297.6045947411975</v>
      </c>
      <c r="R615">
        <f t="shared" si="488"/>
        <v>1.5674361572966335</v>
      </c>
      <c r="S615">
        <f t="shared" ref="S615:S626" si="531">1/SQRT(1+(A615/Fp1_u)^2)</f>
        <v>0.8106072709535781</v>
      </c>
      <c r="T615">
        <f t="shared" si="490"/>
        <v>-0.62560793090676525</v>
      </c>
      <c r="U615">
        <f t="shared" si="491"/>
        <v>8.8700795744586197E-2</v>
      </c>
      <c r="V615">
        <f t="shared" si="492"/>
        <v>-1.4819788034852619</v>
      </c>
      <c r="X615">
        <f t="shared" ref="X615:X626" si="532">20*LOG(C615*J615*O615*Q615*F615*M615*S615*U615)</f>
        <v>-53.205671399437826</v>
      </c>
      <c r="Y615">
        <f t="shared" ref="Y615:Y626" si="533">(180/Pi)*(D615+H615+N615+P615+R615+T615+V615)</f>
        <v>-175.69889606329471</v>
      </c>
      <c r="Z615">
        <f t="shared" si="510"/>
        <v>4.3011039367052888</v>
      </c>
      <c r="AC615">
        <v>1</v>
      </c>
      <c r="AD615">
        <f t="shared" si="494"/>
        <v>774.82984482540007</v>
      </c>
      <c r="AE615">
        <f t="shared" si="495"/>
        <v>-1.0953898854768529</v>
      </c>
      <c r="AF615">
        <f t="shared" si="496"/>
        <v>9.7546451782500002E-2</v>
      </c>
      <c r="AG615">
        <f t="shared" si="473"/>
        <v>61.589931014710352</v>
      </c>
      <c r="AH615">
        <f t="shared" si="474"/>
        <v>-701.87060861411646</v>
      </c>
      <c r="AJ615">
        <f t="shared" si="497"/>
        <v>21000</v>
      </c>
      <c r="AK615">
        <f t="shared" si="498"/>
        <v>15170.593827217501</v>
      </c>
      <c r="AL615">
        <v>1</v>
      </c>
      <c r="AM615">
        <f t="shared" si="499"/>
        <v>297.6029146548675</v>
      </c>
      <c r="AN615">
        <f t="shared" si="475"/>
        <v>51.212487574735519</v>
      </c>
      <c r="AO615">
        <f t="shared" si="476"/>
        <v>-70.39174174997494</v>
      </c>
      <c r="AQ615">
        <f t="shared" si="500"/>
        <v>4.9382713610730193E-4</v>
      </c>
      <c r="AR615">
        <f t="shared" si="501"/>
        <v>-2.2222221124828585</v>
      </c>
      <c r="AT615">
        <f t="shared" si="523"/>
        <v>-1559.6819717848455</v>
      </c>
      <c r="AU615">
        <f t="shared" si="524"/>
        <v>-137.21310935975296</v>
      </c>
      <c r="AV615">
        <f t="shared" si="511"/>
        <v>-3.0538435132847379</v>
      </c>
      <c r="AW615">
        <f t="shared" si="512"/>
        <v>-74.432857045221255</v>
      </c>
      <c r="AX615">
        <f t="shared" si="513"/>
        <v>-912.95594226756225</v>
      </c>
      <c r="AY615">
        <f t="shared" si="521"/>
        <v>-1.6521459169532038</v>
      </c>
      <c r="BA615">
        <f t="shared" si="502"/>
        <v>1.7093137335870023</v>
      </c>
      <c r="BB615">
        <f t="shared" si="514"/>
        <v>4.6564356401455331</v>
      </c>
      <c r="BC615">
        <f t="shared" si="515"/>
        <v>-1.4016975963315341</v>
      </c>
      <c r="BD615">
        <f t="shared" si="503"/>
        <v>-260.31135651519816</v>
      </c>
      <c r="BF615">
        <f t="shared" si="504"/>
        <v>-66.712307232505864</v>
      </c>
      <c r="BG615">
        <f t="shared" si="505"/>
        <v>-224.98795804445922</v>
      </c>
      <c r="BH615">
        <f t="shared" si="516"/>
        <v>-44.987958044459219</v>
      </c>
      <c r="BI615">
        <f t="shared" si="517"/>
        <v>-44.987958044459219</v>
      </c>
      <c r="BJ615">
        <f t="shared" si="506"/>
        <v>0</v>
      </c>
      <c r="BK615">
        <f t="shared" si="518"/>
        <v>0</v>
      </c>
      <c r="BM615">
        <f t="shared" si="519"/>
        <v>-71.36874287265141</v>
      </c>
      <c r="BN615">
        <f t="shared" si="507"/>
        <v>-144.67660152926106</v>
      </c>
      <c r="BQ615" s="66">
        <f t="shared" si="520"/>
        <v>21.55839644043067</v>
      </c>
    </row>
    <row r="616" spans="1:69" ht="13" x14ac:dyDescent="0.3">
      <c r="A616">
        <f t="shared" ref="A616:A626" si="534">A615+250000</f>
        <v>2500000</v>
      </c>
      <c r="B616">
        <f t="shared" si="508"/>
        <v>2500</v>
      </c>
      <c r="C616">
        <f t="shared" si="477"/>
        <v>1.2715542747591928</v>
      </c>
      <c r="D616">
        <f t="shared" si="526"/>
        <v>0.66577374947329426</v>
      </c>
      <c r="F616">
        <f t="shared" si="479"/>
        <v>1.1911341606270564E-5</v>
      </c>
      <c r="G616">
        <f t="shared" si="527"/>
        <v>1.0759827237832333E-3</v>
      </c>
      <c r="H616">
        <f t="shared" si="481"/>
        <v>-3.1405166672762168</v>
      </c>
      <c r="J616">
        <f t="shared" si="482"/>
        <v>15</v>
      </c>
      <c r="M616">
        <f t="shared" si="528"/>
        <v>4.3935112014839578E-4</v>
      </c>
      <c r="N616">
        <f t="shared" si="484"/>
        <v>-1.5707963250000001</v>
      </c>
      <c r="O616">
        <f t="shared" si="529"/>
        <v>860.92263057847697</v>
      </c>
      <c r="P616">
        <f t="shared" si="486"/>
        <v>1.5696347819715337</v>
      </c>
      <c r="Q616">
        <f t="shared" si="530"/>
        <v>330.67141725058292</v>
      </c>
      <c r="R616">
        <f t="shared" si="488"/>
        <v>1.5677721720839506</v>
      </c>
      <c r="S616">
        <f t="shared" si="531"/>
        <v>0.77984943233006054</v>
      </c>
      <c r="T616">
        <f t="shared" si="490"/>
        <v>-0.67637108167403948</v>
      </c>
      <c r="U616">
        <f t="shared" si="491"/>
        <v>7.9890452139094098E-2</v>
      </c>
      <c r="V616">
        <f t="shared" si="492"/>
        <v>-1.4908206463825289</v>
      </c>
      <c r="X616">
        <f t="shared" si="532"/>
        <v>-55.038700010664826</v>
      </c>
      <c r="Y616">
        <f t="shared" si="533"/>
        <v>-176.20308699943038</v>
      </c>
      <c r="Z616">
        <f t="shared" si="510"/>
        <v>3.7969130005696172</v>
      </c>
      <c r="AC616">
        <v>1</v>
      </c>
      <c r="AD616">
        <f t="shared" si="494"/>
        <v>860.92204980600013</v>
      </c>
      <c r="AE616">
        <f t="shared" si="495"/>
        <v>-1.3523331919467321</v>
      </c>
      <c r="AF616">
        <f t="shared" si="496"/>
        <v>0.10838494642499999</v>
      </c>
      <c r="AG616">
        <f t="shared" ref="AG616:AG626" si="535">AC616*AE616/(AE616^2+AF616^2)+AD616*AF616/(AE616^2+AF616^2)</f>
        <v>49.962532508288938</v>
      </c>
      <c r="AH616">
        <f t="shared" ref="AH616:AH626" si="536">AD616*AE616/(AE616^2+AF616^2)-AC616*AF616/(AE616^2+AF616^2)</f>
        <v>-632.61544454536318</v>
      </c>
      <c r="AJ616">
        <f t="shared" si="497"/>
        <v>21000</v>
      </c>
      <c r="AK616">
        <f t="shared" si="498"/>
        <v>16856.215363575</v>
      </c>
      <c r="AL616">
        <v>1</v>
      </c>
      <c r="AM616">
        <f t="shared" si="499"/>
        <v>330.669905172075</v>
      </c>
      <c r="AN616">
        <f t="shared" ref="AN616:AN626" si="537">AJ616*AL616/(AL616^2+AM616^2)+AK616*AM616/(AL616^2+AM616^2)</f>
        <v>51.167547461724986</v>
      </c>
      <c r="AO616">
        <f t="shared" ref="AO616:AO626" si="538">AK616*AL616/(AL616^2+AM616^2)-AJ616*AM616/(AL616^2+AM616^2)</f>
        <v>-63.35270348124623</v>
      </c>
      <c r="AQ616">
        <f t="shared" si="500"/>
        <v>3.9999998400000063E-4</v>
      </c>
      <c r="AR616">
        <f t="shared" si="501"/>
        <v>-1.9999999200000032</v>
      </c>
      <c r="AT616">
        <f t="shared" si="523"/>
        <v>-1265.2108534692888</v>
      </c>
      <c r="AU616">
        <f t="shared" si="524"/>
        <v>-100.17810718727173</v>
      </c>
      <c r="AV616">
        <f t="shared" si="511"/>
        <v>-3.062578518003455</v>
      </c>
      <c r="AW616">
        <f t="shared" si="512"/>
        <v>-50.569147187771982</v>
      </c>
      <c r="AX616">
        <f t="shared" si="513"/>
        <v>-822.01834146434453</v>
      </c>
      <c r="AY616">
        <f t="shared" si="521"/>
        <v>-1.6322371683968502</v>
      </c>
      <c r="BA616">
        <f t="shared" si="502"/>
        <v>1.5410554749090868</v>
      </c>
      <c r="BB616">
        <f t="shared" si="514"/>
        <v>3.7563654546182934</v>
      </c>
      <c r="BC616">
        <f t="shared" si="515"/>
        <v>-1.4303413496066049</v>
      </c>
      <c r="BD616">
        <f t="shared" si="503"/>
        <v>-261.95252268914902</v>
      </c>
      <c r="BF616">
        <f t="shared" si="504"/>
        <v>-69.115897719665909</v>
      </c>
      <c r="BG616">
        <f t="shared" si="505"/>
        <v>-223.74484742116863</v>
      </c>
      <c r="BH616">
        <f t="shared" si="516"/>
        <v>-43.744847421168629</v>
      </c>
      <c r="BI616">
        <f t="shared" si="517"/>
        <v>-43.744847421168629</v>
      </c>
      <c r="BJ616">
        <f t="shared" si="506"/>
        <v>0</v>
      </c>
      <c r="BK616">
        <f t="shared" si="518"/>
        <v>0</v>
      </c>
      <c r="BM616">
        <f t="shared" si="519"/>
        <v>-72.8722631742842</v>
      </c>
      <c r="BN616">
        <f t="shared" si="507"/>
        <v>-141.79232473201961</v>
      </c>
      <c r="BQ616" s="66">
        <f t="shared" si="520"/>
        <v>20.658326254903429</v>
      </c>
    </row>
    <row r="617" spans="1:69" ht="13" x14ac:dyDescent="0.3">
      <c r="A617">
        <f t="shared" si="534"/>
        <v>2750000</v>
      </c>
      <c r="B617">
        <f t="shared" si="508"/>
        <v>2750</v>
      </c>
      <c r="C617">
        <f t="shared" si="477"/>
        <v>1.3215100571416911</v>
      </c>
      <c r="D617">
        <f t="shared" si="526"/>
        <v>0.712530331746557</v>
      </c>
      <c r="F617">
        <f t="shared" si="479"/>
        <v>9.8440644277371077E-6</v>
      </c>
      <c r="G617">
        <f t="shared" si="527"/>
        <v>9.7816413772717613E-4</v>
      </c>
      <c r="H617">
        <f t="shared" si="481"/>
        <v>-3.1406144858622729</v>
      </c>
      <c r="J617">
        <f t="shared" si="482"/>
        <v>15</v>
      </c>
      <c r="M617">
        <f t="shared" si="528"/>
        <v>3.9941010922581432E-4</v>
      </c>
      <c r="N617">
        <f t="shared" si="484"/>
        <v>-1.5707963250000001</v>
      </c>
      <c r="O617">
        <f t="shared" si="529"/>
        <v>947.01478276161004</v>
      </c>
      <c r="P617">
        <f t="shared" si="486"/>
        <v>1.5697403768730567</v>
      </c>
      <c r="Q617">
        <f t="shared" si="530"/>
        <v>363.73827030665336</v>
      </c>
      <c r="R617">
        <f t="shared" si="488"/>
        <v>1.5680470937849311</v>
      </c>
      <c r="S617">
        <f t="shared" si="531"/>
        <v>0.74961777535064211</v>
      </c>
      <c r="T617">
        <f t="shared" si="490"/>
        <v>-0.72331192799993382</v>
      </c>
      <c r="U617">
        <f t="shared" si="491"/>
        <v>7.2667942195785873E-2</v>
      </c>
      <c r="V617">
        <f t="shared" si="492"/>
        <v>-1.4980642767263714</v>
      </c>
      <c r="X617">
        <f t="shared" si="532"/>
        <v>-56.698325484012464</v>
      </c>
      <c r="Y617">
        <f t="shared" si="533"/>
        <v>-176.61247659626588</v>
      </c>
      <c r="Z617">
        <f t="shared" si="510"/>
        <v>3.3875234037341215</v>
      </c>
      <c r="AC617">
        <v>1</v>
      </c>
      <c r="AD617">
        <f t="shared" si="494"/>
        <v>947.01425478660008</v>
      </c>
      <c r="AE617">
        <f t="shared" si="495"/>
        <v>-1.6363231622555463</v>
      </c>
      <c r="AF617">
        <f t="shared" si="496"/>
        <v>0.11922344106750001</v>
      </c>
      <c r="AG617">
        <f t="shared" si="535"/>
        <v>41.337138489685721</v>
      </c>
      <c r="AH617">
        <f t="shared" si="536"/>
        <v>-575.7334007259193</v>
      </c>
      <c r="AJ617">
        <f t="shared" si="497"/>
        <v>21000</v>
      </c>
      <c r="AK617">
        <f t="shared" si="498"/>
        <v>18541.836899932503</v>
      </c>
      <c r="AL617">
        <v>1</v>
      </c>
      <c r="AM617">
        <f t="shared" si="499"/>
        <v>363.73689568928251</v>
      </c>
      <c r="AN617">
        <f t="shared" si="537"/>
        <v>51.13429673638656</v>
      </c>
      <c r="AO617">
        <f t="shared" si="538"/>
        <v>-57.59345821535495</v>
      </c>
      <c r="AQ617">
        <f t="shared" si="500"/>
        <v>3.3057850146847931E-4</v>
      </c>
      <c r="AR617">
        <f t="shared" si="501"/>
        <v>-1.8181817580766362</v>
      </c>
      <c r="AT617">
        <f t="shared" si="523"/>
        <v>-1046.7743015459955</v>
      </c>
      <c r="AU617">
        <f t="shared" si="524"/>
        <v>-75.348756217891491</v>
      </c>
      <c r="AV617">
        <f t="shared" si="511"/>
        <v>-3.0697347352632933</v>
      </c>
      <c r="AW617">
        <f t="shared" si="512"/>
        <v>-32.923524021198133</v>
      </c>
      <c r="AX617">
        <f t="shared" si="513"/>
        <v>-747.53099117997203</v>
      </c>
      <c r="AY617">
        <f t="shared" si="521"/>
        <v>-1.6148109040300014</v>
      </c>
      <c r="BA617">
        <f t="shared" si="502"/>
        <v>1.4025722992586351</v>
      </c>
      <c r="BB617">
        <f t="shared" si="514"/>
        <v>2.9385051470100532</v>
      </c>
      <c r="BC617">
        <f t="shared" si="515"/>
        <v>-1.4549238312332919</v>
      </c>
      <c r="BD617">
        <f t="shared" si="503"/>
        <v>-263.3609951379255</v>
      </c>
      <c r="BF617">
        <f t="shared" si="504"/>
        <v>-71.254771271211041</v>
      </c>
      <c r="BG617">
        <f t="shared" si="505"/>
        <v>-222.47996963031517</v>
      </c>
      <c r="BH617">
        <f t="shared" si="516"/>
        <v>-42.479969630315168</v>
      </c>
      <c r="BI617">
        <f t="shared" si="517"/>
        <v>-42.479969630315168</v>
      </c>
      <c r="BJ617">
        <f t="shared" si="506"/>
        <v>0</v>
      </c>
      <c r="BK617">
        <f t="shared" si="518"/>
        <v>0</v>
      </c>
      <c r="BM617">
        <f t="shared" si="519"/>
        <v>-74.193276418221089</v>
      </c>
      <c r="BN617">
        <f t="shared" si="507"/>
        <v>-139.11897449238964</v>
      </c>
      <c r="BQ617" s="66">
        <f t="shared" si="520"/>
        <v>19.84046594729519</v>
      </c>
    </row>
    <row r="618" spans="1:69" ht="13" x14ac:dyDescent="0.3">
      <c r="A618">
        <f t="shared" si="534"/>
        <v>3000000</v>
      </c>
      <c r="B618">
        <f t="shared" si="508"/>
        <v>3000</v>
      </c>
      <c r="C618">
        <f t="shared" si="477"/>
        <v>1.374141329728519</v>
      </c>
      <c r="D618">
        <f t="shared" si="526"/>
        <v>0.75579401558897541</v>
      </c>
      <c r="F618">
        <f t="shared" si="479"/>
        <v>8.2717360908605052E-6</v>
      </c>
      <c r="G618">
        <f t="shared" si="527"/>
        <v>8.9664908275494993E-4</v>
      </c>
      <c r="H618">
        <f t="shared" si="481"/>
        <v>-3.1406960009172451</v>
      </c>
      <c r="J618">
        <f t="shared" si="482"/>
        <v>15</v>
      </c>
      <c r="M618">
        <f t="shared" si="528"/>
        <v>3.6612593345699651E-4</v>
      </c>
      <c r="N618">
        <f t="shared" si="484"/>
        <v>-1.5707963250000001</v>
      </c>
      <c r="O618">
        <f t="shared" si="529"/>
        <v>1033.1069437443141</v>
      </c>
      <c r="P618">
        <f t="shared" si="486"/>
        <v>1.569828372642414</v>
      </c>
      <c r="Q618">
        <f t="shared" si="530"/>
        <v>396.80514627279359</v>
      </c>
      <c r="R618">
        <f t="shared" si="488"/>
        <v>1.5682761955216404</v>
      </c>
      <c r="S618">
        <f t="shared" si="531"/>
        <v>0.72023047896992309</v>
      </c>
      <c r="T618">
        <f t="shared" si="490"/>
        <v>-0.76666183594330906</v>
      </c>
      <c r="U618">
        <f t="shared" si="491"/>
        <v>6.6640389657348698E-2</v>
      </c>
      <c r="V618">
        <f t="shared" si="492"/>
        <v>-1.5041065139595444</v>
      </c>
      <c r="X618">
        <f t="shared" si="532"/>
        <v>-58.214371535571026</v>
      </c>
      <c r="Y618">
        <f t="shared" si="533"/>
        <v>-176.95011368583138</v>
      </c>
      <c r="Z618">
        <f t="shared" si="510"/>
        <v>3.0498863141686172</v>
      </c>
      <c r="AC618">
        <v>1</v>
      </c>
      <c r="AD618">
        <f t="shared" si="494"/>
        <v>1033.1064597672</v>
      </c>
      <c r="AE618">
        <f t="shared" si="495"/>
        <v>-1.9473597964032943</v>
      </c>
      <c r="AF618">
        <f t="shared" si="496"/>
        <v>0.13006193570999999</v>
      </c>
      <c r="AG618">
        <f t="shared" si="535"/>
        <v>34.764000006955776</v>
      </c>
      <c r="AH618">
        <f t="shared" si="536"/>
        <v>-528.19462974075645</v>
      </c>
      <c r="AJ618">
        <f t="shared" si="497"/>
        <v>21000</v>
      </c>
      <c r="AK618">
        <f t="shared" si="498"/>
        <v>20227.458436290002</v>
      </c>
      <c r="AL618">
        <v>1</v>
      </c>
      <c r="AM618">
        <f t="shared" si="499"/>
        <v>396.80388620649001</v>
      </c>
      <c r="AN618">
        <f t="shared" si="537"/>
        <v>51.109006762183704</v>
      </c>
      <c r="AO618">
        <f t="shared" si="538"/>
        <v>-52.794067098265188</v>
      </c>
      <c r="AQ618">
        <f t="shared" si="500"/>
        <v>2.7777777006172862E-4</v>
      </c>
      <c r="AR618">
        <f t="shared" si="501"/>
        <v>-1.6666666203703717</v>
      </c>
      <c r="AT618">
        <f t="shared" si="523"/>
        <v>-880.31470178140603</v>
      </c>
      <c r="AU618">
        <f t="shared" si="524"/>
        <v>-58.086719128556531</v>
      </c>
      <c r="AV618">
        <f t="shared" si="511"/>
        <v>-3.0757041282417998</v>
      </c>
      <c r="AW618">
        <f t="shared" si="512"/>
        <v>-19.508765145898174</v>
      </c>
      <c r="AX618">
        <f t="shared" si="513"/>
        <v>-685.40559466282832</v>
      </c>
      <c r="AY618">
        <f t="shared" si="521"/>
        <v>-1.5992517399535755</v>
      </c>
      <c r="BA618">
        <f t="shared" si="502"/>
        <v>1.2866423536901379</v>
      </c>
      <c r="BB618">
        <f t="shared" si="514"/>
        <v>2.1891568680888733</v>
      </c>
      <c r="BC618">
        <f t="shared" si="515"/>
        <v>-1.4764523882882243</v>
      </c>
      <c r="BD618">
        <f t="shared" si="503"/>
        <v>-264.59449059758919</v>
      </c>
      <c r="BF618">
        <f t="shared" si="504"/>
        <v>-73.176456514365469</v>
      </c>
      <c r="BG618">
        <f t="shared" si="505"/>
        <v>-221.23930906540951</v>
      </c>
      <c r="BH618">
        <f t="shared" si="516"/>
        <v>-41.239309065409515</v>
      </c>
      <c r="BI618">
        <f t="shared" si="517"/>
        <v>-41.239309065409515</v>
      </c>
      <c r="BJ618">
        <f t="shared" si="506"/>
        <v>0</v>
      </c>
      <c r="BK618">
        <f t="shared" si="518"/>
        <v>0</v>
      </c>
      <c r="BM618">
        <f t="shared" si="519"/>
        <v>-75.365613382454342</v>
      </c>
      <c r="BN618">
        <f t="shared" si="507"/>
        <v>-136.6448184678203</v>
      </c>
      <c r="BQ618" s="66">
        <f t="shared" si="520"/>
        <v>19.091117668374011</v>
      </c>
    </row>
    <row r="619" spans="1:69" ht="13" x14ac:dyDescent="0.3">
      <c r="A619">
        <f t="shared" si="534"/>
        <v>3250000</v>
      </c>
      <c r="B619">
        <f t="shared" si="508"/>
        <v>3250</v>
      </c>
      <c r="C619">
        <f t="shared" si="477"/>
        <v>1.4291525329658328</v>
      </c>
      <c r="D619">
        <f t="shared" si="526"/>
        <v>0.79579730761930167</v>
      </c>
      <c r="F619">
        <f t="shared" si="479"/>
        <v>7.0480982088609469E-6</v>
      </c>
      <c r="G619">
        <f t="shared" si="527"/>
        <v>8.2767508731841253E-4</v>
      </c>
      <c r="H619">
        <f t="shared" si="481"/>
        <v>-3.1407649749126816</v>
      </c>
      <c r="J619">
        <f t="shared" si="482"/>
        <v>15</v>
      </c>
      <c r="M619">
        <f t="shared" si="528"/>
        <v>3.3796240011415061E-4</v>
      </c>
      <c r="N619">
        <f t="shared" si="484"/>
        <v>-1.5707963250000001</v>
      </c>
      <c r="O619">
        <f t="shared" si="529"/>
        <v>1119.1991114959208</v>
      </c>
      <c r="P619">
        <f t="shared" si="486"/>
        <v>1.569902830612864</v>
      </c>
      <c r="Q619">
        <f t="shared" si="530"/>
        <v>429.8720398620971</v>
      </c>
      <c r="R619">
        <f t="shared" si="488"/>
        <v>1.5684700510449134</v>
      </c>
      <c r="S619">
        <f t="shared" si="531"/>
        <v>0.69190476257374056</v>
      </c>
      <c r="T619">
        <f t="shared" si="490"/>
        <v>-0.80667238137642316</v>
      </c>
      <c r="U619">
        <f t="shared" si="491"/>
        <v>6.1534421493159686E-2</v>
      </c>
      <c r="V619">
        <f t="shared" si="492"/>
        <v>-1.509223005789341</v>
      </c>
      <c r="X619">
        <f t="shared" si="532"/>
        <v>-59.609576560082203</v>
      </c>
      <c r="Y619">
        <f t="shared" si="533"/>
        <v>-177.2322613513391</v>
      </c>
      <c r="Z619">
        <f t="shared" si="510"/>
        <v>2.7677386486608953</v>
      </c>
      <c r="AC619">
        <v>1</v>
      </c>
      <c r="AD619">
        <f t="shared" si="494"/>
        <v>1119.1986647478002</v>
      </c>
      <c r="AE619">
        <f t="shared" si="495"/>
        <v>-2.2854430943899771</v>
      </c>
      <c r="AF619">
        <f t="shared" si="496"/>
        <v>0.14090043035250002</v>
      </c>
      <c r="AG619">
        <f t="shared" si="535"/>
        <v>29.640868846985565</v>
      </c>
      <c r="AH619">
        <f t="shared" si="536"/>
        <v>-487.8801210619755</v>
      </c>
      <c r="AJ619">
        <f t="shared" si="497"/>
        <v>21000</v>
      </c>
      <c r="AK619">
        <f t="shared" si="498"/>
        <v>21913.079972647502</v>
      </c>
      <c r="AL619">
        <v>1</v>
      </c>
      <c r="AM619">
        <f t="shared" si="499"/>
        <v>429.87087672369751</v>
      </c>
      <c r="AN619">
        <f t="shared" si="537"/>
        <v>51.089325173247964</v>
      </c>
      <c r="AO619">
        <f t="shared" si="538"/>
        <v>-48.733030798668899</v>
      </c>
      <c r="AQ619">
        <f t="shared" si="500"/>
        <v>2.3668638493049978E-4</v>
      </c>
      <c r="AR619">
        <f t="shared" si="501"/>
        <v>-1.5384615020482484</v>
      </c>
      <c r="AT619">
        <f t="shared" si="523"/>
        <v>-750.5777682783945</v>
      </c>
      <c r="AU619">
        <f t="shared" si="524"/>
        <v>-45.716810190482157</v>
      </c>
      <c r="AV619">
        <f t="shared" si="511"/>
        <v>-3.0807589826136379</v>
      </c>
      <c r="AW619">
        <f t="shared" si="512"/>
        <v>-9.0726355798532623</v>
      </c>
      <c r="AX619">
        <f t="shared" si="513"/>
        <v>-632.80361660014296</v>
      </c>
      <c r="AY619">
        <f t="shared" si="521"/>
        <v>-1.5851325501906726</v>
      </c>
      <c r="BA619">
        <f t="shared" si="502"/>
        <v>1.1881908771028549</v>
      </c>
      <c r="BB619">
        <f t="shared" si="514"/>
        <v>1.4977242710456609</v>
      </c>
      <c r="BC619">
        <f t="shared" si="515"/>
        <v>-1.4956264324229653</v>
      </c>
      <c r="BD619">
        <f t="shared" si="503"/>
        <v>-265.69308240396276</v>
      </c>
      <c r="BF619">
        <f t="shared" si="504"/>
        <v>-74.917439941563657</v>
      </c>
      <c r="BG619">
        <f t="shared" si="505"/>
        <v>-220.04983298803623</v>
      </c>
      <c r="BH619">
        <f t="shared" si="516"/>
        <v>-40.049832988036229</v>
      </c>
      <c r="BI619">
        <f t="shared" si="517"/>
        <v>-40.049832988036229</v>
      </c>
      <c r="BJ619">
        <f t="shared" si="506"/>
        <v>0</v>
      </c>
      <c r="BK619">
        <f t="shared" si="518"/>
        <v>0</v>
      </c>
      <c r="BM619">
        <f t="shared" si="519"/>
        <v>-76.415164212609326</v>
      </c>
      <c r="BN619">
        <f t="shared" si="507"/>
        <v>-134.35675058407347</v>
      </c>
      <c r="BQ619" s="66">
        <f t="shared" si="520"/>
        <v>18.399685071330797</v>
      </c>
    </row>
    <row r="620" spans="1:69" ht="13" x14ac:dyDescent="0.3">
      <c r="A620">
        <f t="shared" si="534"/>
        <v>3500000</v>
      </c>
      <c r="B620">
        <f t="shared" si="508"/>
        <v>3500</v>
      </c>
      <c r="C620">
        <f t="shared" si="477"/>
        <v>1.4862794274194937</v>
      </c>
      <c r="D620">
        <f t="shared" si="526"/>
        <v>0.83278096350356134</v>
      </c>
      <c r="F620">
        <f t="shared" si="479"/>
        <v>6.0771810541431207E-6</v>
      </c>
      <c r="G620">
        <f t="shared" si="527"/>
        <v>7.6855470948532548E-4</v>
      </c>
      <c r="H620">
        <f t="shared" si="481"/>
        <v>-3.1408240952905149</v>
      </c>
      <c r="J620">
        <f t="shared" si="482"/>
        <v>15</v>
      </c>
      <c r="M620">
        <f t="shared" si="528"/>
        <v>3.1382222867742558E-4</v>
      </c>
      <c r="N620">
        <f t="shared" si="484"/>
        <v>-1.5707963250000001</v>
      </c>
      <c r="O620">
        <f t="shared" si="529"/>
        <v>1205.2912845659523</v>
      </c>
      <c r="P620">
        <f t="shared" si="486"/>
        <v>1.5699666517383091</v>
      </c>
      <c r="Q620">
        <f t="shared" si="530"/>
        <v>462.93894729819164</v>
      </c>
      <c r="R620">
        <f t="shared" si="488"/>
        <v>1.5686362130617175</v>
      </c>
      <c r="S620">
        <f t="shared" si="531"/>
        <v>0.66477711971841036</v>
      </c>
      <c r="T620">
        <f t="shared" si="490"/>
        <v>-0.84360089891518009</v>
      </c>
      <c r="U620">
        <f t="shared" si="491"/>
        <v>5.7154013601327658E-2</v>
      </c>
      <c r="V620">
        <f t="shared" si="492"/>
        <v>-1.5136111509928341</v>
      </c>
      <c r="X620">
        <f t="shared" si="532"/>
        <v>-60.901677272779501</v>
      </c>
      <c r="Y620">
        <f t="shared" si="533"/>
        <v>-177.47073464189867</v>
      </c>
      <c r="Z620">
        <f t="shared" si="510"/>
        <v>2.5292653581013269</v>
      </c>
      <c r="AC620">
        <v>1</v>
      </c>
      <c r="AD620">
        <f t="shared" si="494"/>
        <v>1205.2908697284001</v>
      </c>
      <c r="AE620">
        <f t="shared" si="495"/>
        <v>-2.6505730562155945</v>
      </c>
      <c r="AF620">
        <f t="shared" si="496"/>
        <v>0.151738924995</v>
      </c>
      <c r="AG620">
        <f t="shared" si="535"/>
        <v>25.571025976684741</v>
      </c>
      <c r="AH620">
        <f t="shared" si="536"/>
        <v>-453.26452969042691</v>
      </c>
      <c r="AJ620">
        <f t="shared" si="497"/>
        <v>21000</v>
      </c>
      <c r="AK620">
        <f t="shared" si="498"/>
        <v>23598.701509005001</v>
      </c>
      <c r="AL620">
        <v>1</v>
      </c>
      <c r="AM620">
        <f t="shared" si="499"/>
        <v>462.93786724090501</v>
      </c>
      <c r="AN620">
        <f t="shared" si="537"/>
        <v>51.07370840861126</v>
      </c>
      <c r="AO620">
        <f t="shared" si="538"/>
        <v>-45.252133761375632</v>
      </c>
      <c r="AQ620">
        <f t="shared" si="500"/>
        <v>2.0408162848813003E-4</v>
      </c>
      <c r="AR620">
        <f t="shared" si="501"/>
        <v>-1.4285713994169102</v>
      </c>
      <c r="AT620">
        <f t="shared" si="523"/>
        <v>-647.51552490927747</v>
      </c>
      <c r="AU620">
        <f t="shared" si="524"/>
        <v>-36.622539327393817</v>
      </c>
      <c r="AV620">
        <f t="shared" si="511"/>
        <v>-3.085094295702433</v>
      </c>
      <c r="AW620">
        <f t="shared" si="512"/>
        <v>-0.79419979813930219</v>
      </c>
      <c r="AX620">
        <f t="shared" si="513"/>
        <v>-587.69303361517939</v>
      </c>
      <c r="AY620">
        <f t="shared" si="521"/>
        <v>-1.5721477113940761</v>
      </c>
      <c r="BA620">
        <f t="shared" si="502"/>
        <v>1.1035519013518895</v>
      </c>
      <c r="BB620">
        <f t="shared" si="514"/>
        <v>0.85585526722883931</v>
      </c>
      <c r="BC620">
        <f t="shared" si="515"/>
        <v>-1.5129465843083569</v>
      </c>
      <c r="BD620">
        <f t="shared" si="503"/>
        <v>-266.6854540086552</v>
      </c>
      <c r="BF620">
        <f t="shared" si="504"/>
        <v>-76.50626671736444</v>
      </c>
      <c r="BG620">
        <f t="shared" si="505"/>
        <v>-218.92658454531198</v>
      </c>
      <c r="BH620">
        <f t="shared" si="516"/>
        <v>-38.926584545311982</v>
      </c>
      <c r="BI620">
        <f t="shared" si="517"/>
        <v>-38.926584545311982</v>
      </c>
      <c r="BJ620">
        <f t="shared" si="506"/>
        <v>0</v>
      </c>
      <c r="BK620">
        <f t="shared" si="518"/>
        <v>0</v>
      </c>
      <c r="BM620">
        <f t="shared" si="519"/>
        <v>-77.362121984593273</v>
      </c>
      <c r="BN620">
        <f t="shared" si="507"/>
        <v>-132.24113053665681</v>
      </c>
      <c r="BQ620" s="66">
        <f t="shared" si="520"/>
        <v>17.757816067513975</v>
      </c>
    </row>
    <row r="621" spans="1:69" ht="13" x14ac:dyDescent="0.3">
      <c r="A621">
        <f t="shared" si="534"/>
        <v>3750000</v>
      </c>
      <c r="B621">
        <f t="shared" si="508"/>
        <v>3750</v>
      </c>
      <c r="C621">
        <f t="shared" si="477"/>
        <v>1.5452873893652752</v>
      </c>
      <c r="D621">
        <f t="shared" si="526"/>
        <v>0.8669840133797404</v>
      </c>
      <c r="F621">
        <f t="shared" si="479"/>
        <v>5.2938959580850677E-6</v>
      </c>
      <c r="G621">
        <f t="shared" si="527"/>
        <v>7.1731718013846749E-4</v>
      </c>
      <c r="H621">
        <f t="shared" si="481"/>
        <v>-3.1408753328198618</v>
      </c>
      <c r="J621">
        <f t="shared" si="482"/>
        <v>15</v>
      </c>
      <c r="M621">
        <f t="shared" si="528"/>
        <v>2.9290074676559719E-4</v>
      </c>
      <c r="N621">
        <f t="shared" si="484"/>
        <v>-1.5707963250000001</v>
      </c>
      <c r="O621">
        <f t="shared" si="529"/>
        <v>1291.383461890724</v>
      </c>
      <c r="P621">
        <f t="shared" si="486"/>
        <v>1.5700219633858472</v>
      </c>
      <c r="Q621">
        <f t="shared" si="530"/>
        <v>496.00586581173161</v>
      </c>
      <c r="R621">
        <f t="shared" si="488"/>
        <v>1.5687802202397627</v>
      </c>
      <c r="S621">
        <f t="shared" si="531"/>
        <v>0.63892180711998459</v>
      </c>
      <c r="T621">
        <f t="shared" si="490"/>
        <v>-0.8777004545509387</v>
      </c>
      <c r="U621">
        <f t="shared" si="491"/>
        <v>5.3354979127920685E-2</v>
      </c>
      <c r="V621">
        <f t="shared" si="492"/>
        <v>-1.5174160004344897</v>
      </c>
      <c r="X621">
        <f t="shared" si="532"/>
        <v>-62.104778024571274</v>
      </c>
      <c r="Y621">
        <f t="shared" si="533"/>
        <v>-177.67432224034172</v>
      </c>
      <c r="Z621">
        <f t="shared" si="510"/>
        <v>2.3256777596582765</v>
      </c>
      <c r="AC621">
        <v>1</v>
      </c>
      <c r="AD621">
        <f t="shared" si="494"/>
        <v>1291.3830747090001</v>
      </c>
      <c r="AE621">
        <f t="shared" si="495"/>
        <v>-3.0427496818801467</v>
      </c>
      <c r="AF621">
        <f t="shared" si="496"/>
        <v>0.1625774196375</v>
      </c>
      <c r="AG621">
        <f t="shared" si="535"/>
        <v>22.284587242107712</v>
      </c>
      <c r="AH621">
        <f t="shared" si="536"/>
        <v>-423.22249236807772</v>
      </c>
      <c r="AJ621">
        <f t="shared" si="497"/>
        <v>21000</v>
      </c>
      <c r="AK621">
        <f t="shared" si="498"/>
        <v>25284.3230453625</v>
      </c>
      <c r="AL621">
        <v>1</v>
      </c>
      <c r="AM621">
        <f t="shared" si="499"/>
        <v>496.00485775811256</v>
      </c>
      <c r="AN621">
        <f t="shared" si="537"/>
        <v>51.061109582838206</v>
      </c>
      <c r="AO621">
        <f t="shared" si="538"/>
        <v>-42.23535024456023</v>
      </c>
      <c r="AQ621">
        <f t="shared" si="500"/>
        <v>1.77777774617284E-4</v>
      </c>
      <c r="AR621">
        <f t="shared" si="501"/>
        <v>-1.33333330962963</v>
      </c>
      <c r="AT621">
        <f t="shared" si="523"/>
        <v>-564.29268475450169</v>
      </c>
      <c r="AU621">
        <f t="shared" si="524"/>
        <v>-29.788022014110883</v>
      </c>
      <c r="AV621">
        <f t="shared" si="511"/>
        <v>-3.0888533573058923</v>
      </c>
      <c r="AW621">
        <f t="shared" si="512"/>
        <v>5.8829254001883466</v>
      </c>
      <c r="AX621">
        <f t="shared" si="513"/>
        <v>-548.58110095796428</v>
      </c>
      <c r="AY621">
        <f t="shared" si="521"/>
        <v>-1.5600728441783471</v>
      </c>
      <c r="BA621">
        <f t="shared" si="502"/>
        <v>1.0300133850880242</v>
      </c>
      <c r="BB621">
        <f t="shared" si="514"/>
        <v>0.25685736851311269</v>
      </c>
      <c r="BC621">
        <f t="shared" si="515"/>
        <v>-1.5287805131275451</v>
      </c>
      <c r="BD621">
        <f t="shared" si="503"/>
        <v>-267.5926713041419</v>
      </c>
      <c r="BF621">
        <f t="shared" si="504"/>
        <v>-77.965624205472466</v>
      </c>
      <c r="BG621">
        <f t="shared" si="505"/>
        <v>-217.87704712836651</v>
      </c>
      <c r="BH621">
        <f t="shared" si="516"/>
        <v>-37.877047128366513</v>
      </c>
      <c r="BI621">
        <f t="shared" si="517"/>
        <v>-37.877047128366513</v>
      </c>
      <c r="BJ621">
        <f t="shared" si="506"/>
        <v>0</v>
      </c>
      <c r="BK621">
        <f t="shared" si="518"/>
        <v>0</v>
      </c>
      <c r="BM621">
        <f t="shared" si="519"/>
        <v>-78.22248157398559</v>
      </c>
      <c r="BN621">
        <f t="shared" si="507"/>
        <v>-130.28437582422464</v>
      </c>
      <c r="BQ621" s="66">
        <f t="shared" si="520"/>
        <v>17.158818168798248</v>
      </c>
    </row>
    <row r="622" spans="1:69" ht="13" x14ac:dyDescent="0.3">
      <c r="A622">
        <f t="shared" si="534"/>
        <v>4000000</v>
      </c>
      <c r="B622">
        <f t="shared" si="508"/>
        <v>4000</v>
      </c>
      <c r="C622">
        <f t="shared" si="477"/>
        <v>1.6059690845609214</v>
      </c>
      <c r="D622">
        <f t="shared" si="526"/>
        <v>0.89863709249959889</v>
      </c>
      <c r="F622">
        <f t="shared" si="479"/>
        <v>4.6528353797836972E-6</v>
      </c>
      <c r="G622">
        <f t="shared" si="527"/>
        <v>6.7248443536542947E-4</v>
      </c>
      <c r="H622">
        <f t="shared" si="481"/>
        <v>-3.1409201655646348</v>
      </c>
      <c r="J622">
        <f t="shared" si="482"/>
        <v>15</v>
      </c>
      <c r="M622">
        <f t="shared" si="528"/>
        <v>2.7459445009274738E-4</v>
      </c>
      <c r="N622">
        <f t="shared" si="484"/>
        <v>-1.5707963250000001</v>
      </c>
      <c r="O622">
        <f t="shared" si="529"/>
        <v>1377.4756426724728</v>
      </c>
      <c r="P622">
        <f t="shared" si="486"/>
        <v>1.5700703610813413</v>
      </c>
      <c r="Q622">
        <f t="shared" si="530"/>
        <v>529.07279332570431</v>
      </c>
      <c r="R622">
        <f t="shared" si="488"/>
        <v>1.5689062265893512</v>
      </c>
      <c r="S622">
        <f t="shared" si="531"/>
        <v>0.61436664051294854</v>
      </c>
      <c r="T622">
        <f t="shared" si="490"/>
        <v>-0.90921332735182159</v>
      </c>
      <c r="U622">
        <f t="shared" si="491"/>
        <v>5.0028916762169862E-2</v>
      </c>
      <c r="V622">
        <f t="shared" si="492"/>
        <v>-1.5207465169921017</v>
      </c>
      <c r="X622">
        <f t="shared" si="532"/>
        <v>-63.230280697159657</v>
      </c>
      <c r="Y622">
        <f t="shared" si="533"/>
        <v>-177.84968966389962</v>
      </c>
      <c r="Z622">
        <f t="shared" si="510"/>
        <v>2.1503103361003753</v>
      </c>
      <c r="AC622">
        <v>1</v>
      </c>
      <c r="AD622">
        <f t="shared" si="494"/>
        <v>1377.4752796896</v>
      </c>
      <c r="AE622">
        <f t="shared" si="495"/>
        <v>-3.4619729713836347</v>
      </c>
      <c r="AF622">
        <f t="shared" si="496"/>
        <v>0.17341591428</v>
      </c>
      <c r="AG622">
        <f t="shared" si="535"/>
        <v>19.592817121864396</v>
      </c>
      <c r="AH622">
        <f t="shared" si="536"/>
        <v>-396.90592178306878</v>
      </c>
      <c r="AJ622">
        <f t="shared" si="497"/>
        <v>21000</v>
      </c>
      <c r="AK622">
        <f t="shared" si="498"/>
        <v>26969.944581719999</v>
      </c>
      <c r="AL622">
        <v>1</v>
      </c>
      <c r="AM622">
        <f t="shared" si="499"/>
        <v>529.07184827532001</v>
      </c>
      <c r="AN622">
        <f t="shared" si="537"/>
        <v>51.050798355856273</v>
      </c>
      <c r="AO622">
        <f t="shared" si="538"/>
        <v>-39.595660343550662</v>
      </c>
      <c r="AQ622">
        <f t="shared" si="500"/>
        <v>1.562499975585938E-4</v>
      </c>
      <c r="AR622">
        <f t="shared" si="501"/>
        <v>-1.2499999804687503</v>
      </c>
      <c r="AT622">
        <f t="shared" si="523"/>
        <v>-496.12933309913984</v>
      </c>
      <c r="AU622">
        <f t="shared" si="524"/>
        <v>-24.553037568967888</v>
      </c>
      <c r="AV622">
        <f t="shared" si="511"/>
        <v>-3.0921438095012044</v>
      </c>
      <c r="AW622">
        <f t="shared" si="512"/>
        <v>11.346668767983667</v>
      </c>
      <c r="AX622">
        <f t="shared" si="513"/>
        <v>-514.34670237026808</v>
      </c>
      <c r="AY622">
        <f t="shared" si="521"/>
        <v>-1.5487395534164838</v>
      </c>
      <c r="BA622">
        <f t="shared" si="502"/>
        <v>0.96552711941608338</v>
      </c>
      <c r="BB622">
        <f t="shared" si="514"/>
        <v>-0.30471046778287036</v>
      </c>
      <c r="BC622">
        <f t="shared" si="515"/>
        <v>-1.5434042560847205</v>
      </c>
      <c r="BD622">
        <f t="shared" si="503"/>
        <v>-268.43055005722965</v>
      </c>
      <c r="BF622">
        <f t="shared" si="504"/>
        <v>-79.31378792855989</v>
      </c>
      <c r="BG622">
        <f t="shared" si="505"/>
        <v>-216.90390676428279</v>
      </c>
      <c r="BH622">
        <f t="shared" si="516"/>
        <v>-36.903906764282794</v>
      </c>
      <c r="BI622">
        <f t="shared" si="517"/>
        <v>-36.903906764282794</v>
      </c>
      <c r="BJ622">
        <f t="shared" si="506"/>
        <v>0</v>
      </c>
      <c r="BK622">
        <f t="shared" si="518"/>
        <v>0</v>
      </c>
      <c r="BM622">
        <f t="shared" si="519"/>
        <v>-79.009077460777007</v>
      </c>
      <c r="BN622">
        <f t="shared" si="507"/>
        <v>-128.47335670705317</v>
      </c>
      <c r="BQ622" s="66">
        <f t="shared" si="520"/>
        <v>16.597250332502266</v>
      </c>
    </row>
    <row r="623" spans="1:69" ht="13" x14ac:dyDescent="0.3">
      <c r="A623">
        <f>A622+250000</f>
        <v>4250000</v>
      </c>
      <c r="B623">
        <f t="shared" si="508"/>
        <v>4250</v>
      </c>
      <c r="C623">
        <f t="shared" si="477"/>
        <v>1.6681418677296929</v>
      </c>
      <c r="D623">
        <f t="shared" si="526"/>
        <v>0.92795830658685563</v>
      </c>
      <c r="F623">
        <f t="shared" si="479"/>
        <v>4.1215406555269375E-6</v>
      </c>
      <c r="G623">
        <f t="shared" si="527"/>
        <v>6.3292619900178382E-4</v>
      </c>
      <c r="H623">
        <f t="shared" si="481"/>
        <v>-3.1409597238009983</v>
      </c>
      <c r="J623">
        <f t="shared" si="482"/>
        <v>15</v>
      </c>
      <c r="M623">
        <f t="shared" si="528"/>
        <v>2.5844183538140927E-4</v>
      </c>
      <c r="N623">
        <f t="shared" si="484"/>
        <v>-1.5707963250000001</v>
      </c>
      <c r="O623">
        <f t="shared" si="529"/>
        <v>1463.5678263011444</v>
      </c>
      <c r="P623">
        <f t="shared" si="486"/>
        <v>1.5701130649331385</v>
      </c>
      <c r="Q623">
        <f t="shared" si="530"/>
        <v>562.13972825180338</v>
      </c>
      <c r="R623">
        <f t="shared" si="488"/>
        <v>1.569017408712492</v>
      </c>
      <c r="S623">
        <f t="shared" si="531"/>
        <v>0.59110587599146325</v>
      </c>
      <c r="T623">
        <f t="shared" si="490"/>
        <v>-0.938367129484037</v>
      </c>
      <c r="U623">
        <f t="shared" si="491"/>
        <v>4.7092769282319397E-2</v>
      </c>
      <c r="V623">
        <f t="shared" si="492"/>
        <v>-1.5236861336189245</v>
      </c>
      <c r="X623">
        <f t="shared" si="532"/>
        <v>-64.287534280596574</v>
      </c>
      <c r="Y623">
        <f t="shared" si="533"/>
        <v>-178.0019747948115</v>
      </c>
      <c r="Z623">
        <f t="shared" si="510"/>
        <v>1.9980252051884975</v>
      </c>
      <c r="AC623">
        <v>1</v>
      </c>
      <c r="AD623">
        <f t="shared" si="494"/>
        <v>1463.5674846702</v>
      </c>
      <c r="AE623">
        <f t="shared" si="495"/>
        <v>-3.9082429247260557</v>
      </c>
      <c r="AF623">
        <f t="shared" si="496"/>
        <v>0.1842544089225</v>
      </c>
      <c r="AG623">
        <f t="shared" si="535"/>
        <v>17.360536624853154</v>
      </c>
      <c r="AH623">
        <f t="shared" si="536"/>
        <v>-373.66375565259244</v>
      </c>
      <c r="AJ623">
        <f t="shared" si="497"/>
        <v>21000</v>
      </c>
      <c r="AK623">
        <f t="shared" si="498"/>
        <v>28655.566118077502</v>
      </c>
      <c r="AL623">
        <v>1</v>
      </c>
      <c r="AM623">
        <f t="shared" si="499"/>
        <v>562.13883879252751</v>
      </c>
      <c r="AN623">
        <f t="shared" si="537"/>
        <v>51.042252655526326</v>
      </c>
      <c r="AO623">
        <f t="shared" si="538"/>
        <v>-37.26651905487045</v>
      </c>
      <c r="AQ623">
        <f t="shared" si="500"/>
        <v>1.3840830258258404E-4</v>
      </c>
      <c r="AR623">
        <f t="shared" si="501"/>
        <v>-1.1764705719519644</v>
      </c>
      <c r="AT623">
        <f t="shared" si="523"/>
        <v>-439.60200948791828</v>
      </c>
      <c r="AU623">
        <f t="shared" si="524"/>
        <v>-20.475878618590524</v>
      </c>
      <c r="AV623">
        <f t="shared" si="511"/>
        <v>-3.0950480752172984</v>
      </c>
      <c r="AW623">
        <f t="shared" si="512"/>
        <v>15.874206582453626</v>
      </c>
      <c r="AX623">
        <f t="shared" si="513"/>
        <v>-484.13154527391572</v>
      </c>
      <c r="AY623">
        <f t="shared" si="521"/>
        <v>-1.5380190341202824</v>
      </c>
      <c r="BA623">
        <f t="shared" si="502"/>
        <v>0.90851803012745402</v>
      </c>
      <c r="BB623">
        <f t="shared" si="514"/>
        <v>-0.83332898831516755</v>
      </c>
      <c r="BC623">
        <f t="shared" si="515"/>
        <v>-1.557029041097016</v>
      </c>
      <c r="BD623">
        <f t="shared" si="503"/>
        <v>-269.21119273609929</v>
      </c>
      <c r="BF623">
        <f t="shared" si="504"/>
        <v>-80.565652392119915</v>
      </c>
      <c r="BG623">
        <f t="shared" si="505"/>
        <v>-216.00683414382462</v>
      </c>
      <c r="BH623">
        <f t="shared" si="516"/>
        <v>-36.006834143824619</v>
      </c>
      <c r="BI623">
        <f t="shared" si="517"/>
        <v>-36.006834143824619</v>
      </c>
      <c r="BJ623">
        <f t="shared" si="506"/>
        <v>0</v>
      </c>
      <c r="BK623">
        <f t="shared" si="518"/>
        <v>0</v>
      </c>
      <c r="BM623">
        <f t="shared" si="519"/>
        <v>-79.732323403804742</v>
      </c>
      <c r="BN623">
        <f t="shared" si="507"/>
        <v>-126.79564140772536</v>
      </c>
      <c r="BQ623" s="66">
        <f t="shared" si="520"/>
        <v>16.068631811969968</v>
      </c>
    </row>
    <row r="624" spans="1:69" ht="13" x14ac:dyDescent="0.3">
      <c r="A624">
        <f t="shared" si="534"/>
        <v>4500000</v>
      </c>
      <c r="B624">
        <f t="shared" si="508"/>
        <v>4500</v>
      </c>
      <c r="C624">
        <f t="shared" si="477"/>
        <v>1.7316451387779022</v>
      </c>
      <c r="D624">
        <f t="shared" si="526"/>
        <v>0.95515095603250688</v>
      </c>
      <c r="F624">
        <f t="shared" si="479"/>
        <v>3.6763109263099195E-6</v>
      </c>
      <c r="G624">
        <f t="shared" si="527"/>
        <v>5.9776337247667056E-4</v>
      </c>
      <c r="H624">
        <f t="shared" si="481"/>
        <v>-3.1409948866275235</v>
      </c>
      <c r="J624">
        <f t="shared" si="482"/>
        <v>15</v>
      </c>
      <c r="M624">
        <f t="shared" si="528"/>
        <v>2.4408395563799764E-4</v>
      </c>
      <c r="N624">
        <f t="shared" si="484"/>
        <v>-1.5707963250000001</v>
      </c>
      <c r="O624">
        <f t="shared" si="529"/>
        <v>1549.6600123022515</v>
      </c>
      <c r="P624">
        <f t="shared" si="486"/>
        <v>1.5701510239146106</v>
      </c>
      <c r="Q624">
        <f t="shared" si="530"/>
        <v>595.20666935467852</v>
      </c>
      <c r="R624">
        <f t="shared" si="488"/>
        <v>1.569116237303402</v>
      </c>
      <c r="S624">
        <f t="shared" si="531"/>
        <v>0.56911035805566346</v>
      </c>
      <c r="T624">
        <f t="shared" si="490"/>
        <v>-0.96537282293577409</v>
      </c>
      <c r="U624">
        <f t="shared" si="491"/>
        <v>4.4481832886180489E-2</v>
      </c>
      <c r="V624">
        <f t="shared" si="492"/>
        <v>-1.5262998119585711</v>
      </c>
      <c r="X624">
        <f t="shared" si="532"/>
        <v>-65.284299907376692</v>
      </c>
      <c r="Y624">
        <f t="shared" si="533"/>
        <v>-178.13519307439262</v>
      </c>
      <c r="Z624">
        <f t="shared" si="510"/>
        <v>1.8648069256073825</v>
      </c>
      <c r="AC624">
        <v>1</v>
      </c>
      <c r="AD624">
        <f t="shared" si="494"/>
        <v>1549.6596896508001</v>
      </c>
      <c r="AE624">
        <f t="shared" si="495"/>
        <v>-4.3815595419074116</v>
      </c>
      <c r="AF624">
        <f t="shared" si="496"/>
        <v>0.195092903565</v>
      </c>
      <c r="AG624">
        <f t="shared" si="535"/>
        <v>15.488880677263639</v>
      </c>
      <c r="AH624">
        <f t="shared" si="536"/>
        <v>-352.987995291103</v>
      </c>
      <c r="AJ624">
        <f t="shared" si="497"/>
        <v>21000</v>
      </c>
      <c r="AK624">
        <f t="shared" si="498"/>
        <v>30341.187654435002</v>
      </c>
      <c r="AL624">
        <v>1</v>
      </c>
      <c r="AM624">
        <f t="shared" si="499"/>
        <v>595.20582930973501</v>
      </c>
      <c r="AN624">
        <f t="shared" si="537"/>
        <v>51.035091270157203</v>
      </c>
      <c r="AO624">
        <f t="shared" si="538"/>
        <v>-35.196168916935051</v>
      </c>
      <c r="AQ624">
        <f t="shared" si="500"/>
        <v>1.234567885992989E-4</v>
      </c>
      <c r="AR624">
        <f t="shared" si="501"/>
        <v>-1.1111110973936902</v>
      </c>
      <c r="AT624">
        <f t="shared" si="523"/>
        <v>-392.20696660722882</v>
      </c>
      <c r="AU624">
        <f t="shared" si="524"/>
        <v>-17.25344597102707</v>
      </c>
      <c r="AV624">
        <f t="shared" si="511"/>
        <v>-3.0976303305230997</v>
      </c>
      <c r="AW624">
        <f t="shared" si="512"/>
        <v>19.667852927292728</v>
      </c>
      <c r="AX624">
        <f t="shared" si="513"/>
        <v>-457.26744822586335</v>
      </c>
      <c r="AY624">
        <f t="shared" si="521"/>
        <v>-1.5278111156357637</v>
      </c>
      <c r="BA624">
        <f t="shared" si="502"/>
        <v>0.85775543272213117</v>
      </c>
      <c r="BB624">
        <f t="shared" si="514"/>
        <v>-1.3327304518823802</v>
      </c>
      <c r="BC624">
        <f t="shared" si="515"/>
        <v>-1.569819214887336</v>
      </c>
      <c r="BD624">
        <f t="shared" si="503"/>
        <v>-269.94401571436083</v>
      </c>
      <c r="BF624">
        <f t="shared" si="504"/>
        <v>-81.733482610059838</v>
      </c>
      <c r="BG624">
        <f t="shared" si="505"/>
        <v>-215.18364775484923</v>
      </c>
      <c r="BH624">
        <f t="shared" si="516"/>
        <v>-35.183647754849233</v>
      </c>
      <c r="BI624">
        <f t="shared" si="517"/>
        <v>-35.183647754849233</v>
      </c>
      <c r="BJ624">
        <f t="shared" si="506"/>
        <v>0</v>
      </c>
      <c r="BK624">
        <f t="shared" si="518"/>
        <v>0</v>
      </c>
      <c r="BM624">
        <f t="shared" si="519"/>
        <v>-80.400752158177454</v>
      </c>
      <c r="BN624">
        <f t="shared" si="507"/>
        <v>-125.23963204048842</v>
      </c>
      <c r="BQ624" s="66">
        <f t="shared" si="520"/>
        <v>15.569230348402757</v>
      </c>
    </row>
    <row r="625" spans="1:69" ht="13" x14ac:dyDescent="0.3">
      <c r="A625">
        <f t="shared" si="534"/>
        <v>4750000</v>
      </c>
      <c r="B625">
        <f t="shared" si="508"/>
        <v>4750</v>
      </c>
      <c r="C625">
        <f t="shared" si="477"/>
        <v>1.7963377989417078</v>
      </c>
      <c r="D625">
        <f t="shared" si="526"/>
        <v>0.98040256930538183</v>
      </c>
      <c r="F625">
        <f t="shared" si="479"/>
        <v>3.2995133215645736E-6</v>
      </c>
      <c r="G625">
        <f t="shared" si="527"/>
        <v>5.6630193395846705E-4</v>
      </c>
      <c r="H625">
        <f t="shared" si="481"/>
        <v>-3.1410263480660419</v>
      </c>
      <c r="J625">
        <f t="shared" si="482"/>
        <v>15</v>
      </c>
      <c r="M625">
        <f t="shared" si="528"/>
        <v>2.312374316570504E-4</v>
      </c>
      <c r="N625">
        <f t="shared" si="484"/>
        <v>-1.5707963250000001</v>
      </c>
      <c r="O625">
        <f t="shared" si="529"/>
        <v>1635.7522003011993</v>
      </c>
      <c r="P625">
        <f t="shared" si="486"/>
        <v>1.5701849872154021</v>
      </c>
      <c r="Q625">
        <f t="shared" si="530"/>
        <v>628.27361565905176</v>
      </c>
      <c r="R625">
        <f t="shared" si="488"/>
        <v>1.5692046629126191</v>
      </c>
      <c r="S625">
        <f t="shared" si="531"/>
        <v>0.54833529957263483</v>
      </c>
      <c r="T625">
        <f t="shared" si="490"/>
        <v>-0.99042404386683203</v>
      </c>
      <c r="U625">
        <f t="shared" si="491"/>
        <v>4.2144957422761933E-2</v>
      </c>
      <c r="V625">
        <f t="shared" si="492"/>
        <v>-1.5286388830951956</v>
      </c>
      <c r="X625">
        <f t="shared" si="532"/>
        <v>-66.227090997789091</v>
      </c>
      <c r="Y625">
        <f t="shared" si="533"/>
        <v>-178.25252058284511</v>
      </c>
      <c r="Z625">
        <f t="shared" si="510"/>
        <v>1.7474794171548922</v>
      </c>
      <c r="AC625">
        <v>1</v>
      </c>
      <c r="AD625">
        <f t="shared" si="494"/>
        <v>1635.7518946314003</v>
      </c>
      <c r="AE625">
        <f t="shared" si="495"/>
        <v>-4.8819228229277023</v>
      </c>
      <c r="AF625">
        <f t="shared" si="496"/>
        <v>0.2059313982075</v>
      </c>
      <c r="AG625">
        <f t="shared" si="535"/>
        <v>13.904197390329356</v>
      </c>
      <c r="AH625">
        <f t="shared" si="536"/>
        <v>-334.47652555117799</v>
      </c>
      <c r="AJ625">
        <f t="shared" si="497"/>
        <v>21000</v>
      </c>
      <c r="AK625">
        <f t="shared" si="498"/>
        <v>32026.809190792505</v>
      </c>
      <c r="AL625">
        <v>1</v>
      </c>
      <c r="AM625">
        <f t="shared" si="499"/>
        <v>628.27281982694251</v>
      </c>
      <c r="AN625">
        <f t="shared" si="537"/>
        <v>51.029030586177484</v>
      </c>
      <c r="AO625">
        <f t="shared" si="538"/>
        <v>-33.343748620518404</v>
      </c>
      <c r="AQ625">
        <f t="shared" si="500"/>
        <v>1.1080332287198534E-4</v>
      </c>
      <c r="AR625">
        <f t="shared" si="501"/>
        <v>-1.0526315672838606</v>
      </c>
      <c r="AT625">
        <f t="shared" si="523"/>
        <v>-352.07900867932403</v>
      </c>
      <c r="AU625">
        <f t="shared" si="524"/>
        <v>-14.673058201260302</v>
      </c>
      <c r="AV625">
        <f t="shared" si="511"/>
        <v>-3.0999412863120805</v>
      </c>
      <c r="AW625">
        <f t="shared" si="512"/>
        <v>22.878077477433028</v>
      </c>
      <c r="AX625">
        <f t="shared" si="513"/>
        <v>-433.22649115625302</v>
      </c>
      <c r="AY625">
        <f t="shared" si="521"/>
        <v>-1.5180367509025781</v>
      </c>
      <c r="BA625">
        <f t="shared" si="502"/>
        <v>0.81226403769736388</v>
      </c>
      <c r="BB625">
        <f t="shared" si="514"/>
        <v>-1.8060554872108856</v>
      </c>
      <c r="BC625">
        <f t="shared" si="515"/>
        <v>-1.5819045354095025</v>
      </c>
      <c r="BD625">
        <f t="shared" si="503"/>
        <v>-270.63645357513502</v>
      </c>
      <c r="BF625">
        <f t="shared" si="504"/>
        <v>-82.827472413111423</v>
      </c>
      <c r="BG625">
        <f t="shared" si="505"/>
        <v>-214.43107735518456</v>
      </c>
      <c r="BH625">
        <f t="shared" si="516"/>
        <v>-34.431077355184556</v>
      </c>
      <c r="BI625">
        <f t="shared" si="517"/>
        <v>-34.431077355184556</v>
      </c>
      <c r="BJ625">
        <f t="shared" si="506"/>
        <v>0</v>
      </c>
      <c r="BK625">
        <f t="shared" si="518"/>
        <v>0</v>
      </c>
      <c r="BM625">
        <f t="shared" si="519"/>
        <v>-81.021416925900539</v>
      </c>
      <c r="BN625">
        <f t="shared" si="507"/>
        <v>-123.79462378004953</v>
      </c>
      <c r="BQ625" s="66">
        <f t="shared" si="520"/>
        <v>15.095905313074251</v>
      </c>
    </row>
    <row r="626" spans="1:69" ht="13" x14ac:dyDescent="0.3">
      <c r="A626">
        <f t="shared" si="534"/>
        <v>5000000</v>
      </c>
      <c r="B626">
        <f t="shared" si="508"/>
        <v>5000</v>
      </c>
      <c r="C626">
        <f t="shared" si="477"/>
        <v>1.8620958876044773</v>
      </c>
      <c r="D626">
        <f t="shared" si="526"/>
        <v>1.0038848213362384</v>
      </c>
      <c r="F626">
        <f t="shared" si="479"/>
        <v>2.9778098526760554E-6</v>
      </c>
      <c r="G626">
        <f t="shared" si="527"/>
        <v>5.3798666823839459E-4</v>
      </c>
      <c r="H626">
        <f t="shared" si="481"/>
        <v>-3.141054663331762</v>
      </c>
      <c r="J626">
        <f t="shared" si="482"/>
        <v>15</v>
      </c>
      <c r="M626">
        <f t="shared" si="528"/>
        <v>2.1967556007419789E-4</v>
      </c>
      <c r="N626">
        <f t="shared" si="484"/>
        <v>-1.5707963250000001</v>
      </c>
      <c r="O626">
        <f t="shared" si="529"/>
        <v>1721.844389998312</v>
      </c>
      <c r="P626">
        <f t="shared" si="486"/>
        <v>1.5702155541873226</v>
      </c>
      <c r="Q626">
        <f t="shared" si="530"/>
        <v>661.34056638470054</v>
      </c>
      <c r="R626">
        <f t="shared" si="488"/>
        <v>1.5692842459822354</v>
      </c>
      <c r="S626">
        <f t="shared" si="531"/>
        <v>0.52872611108571665</v>
      </c>
      <c r="T626">
        <f t="shared" si="490"/>
        <v>-1.0136972891278933</v>
      </c>
      <c r="U626">
        <f t="shared" si="491"/>
        <v>4.0041176852235176E-2</v>
      </c>
      <c r="V626">
        <f t="shared" si="492"/>
        <v>-1.5307444425736043</v>
      </c>
      <c r="X626">
        <f t="shared" si="532"/>
        <v>-67.121426805566088</v>
      </c>
      <c r="Y626">
        <f t="shared" si="533"/>
        <v>-178.35649626151988</v>
      </c>
      <c r="Z626">
        <f t="shared" si="510"/>
        <v>1.6435037384801205</v>
      </c>
      <c r="AC626">
        <v>1</v>
      </c>
      <c r="AD626">
        <f t="shared" si="494"/>
        <v>1721.8440996120003</v>
      </c>
      <c r="AE626">
        <f t="shared" si="495"/>
        <v>-5.4093327677869283</v>
      </c>
      <c r="AF626">
        <f t="shared" si="496"/>
        <v>0.21676989284999998</v>
      </c>
      <c r="AG626">
        <f t="shared" si="535"/>
        <v>12.550711667606132</v>
      </c>
      <c r="AH626">
        <f t="shared" si="536"/>
        <v>-317.80693793255978</v>
      </c>
      <c r="AJ626">
        <f t="shared" si="497"/>
        <v>21000</v>
      </c>
      <c r="AK626">
        <f t="shared" si="498"/>
        <v>33712.43072715</v>
      </c>
      <c r="AL626">
        <v>1</v>
      </c>
      <c r="AM626">
        <f t="shared" si="499"/>
        <v>661.33981034415001</v>
      </c>
      <c r="AN626">
        <f t="shared" si="537"/>
        <v>51.023856069701786</v>
      </c>
      <c r="AO626">
        <f t="shared" si="538"/>
        <v>-31.676569013785528</v>
      </c>
      <c r="AQ626">
        <f t="shared" si="500"/>
        <v>9.9999999000000009E-5</v>
      </c>
      <c r="AR626">
        <f t="shared" si="501"/>
        <v>-0.99999999000000006</v>
      </c>
      <c r="AT626">
        <f t="shared" si="523"/>
        <v>-317.80567968333622</v>
      </c>
      <c r="AU626">
        <f t="shared" si="524"/>
        <v>-12.582492235574465</v>
      </c>
      <c r="AV626">
        <f t="shared" si="511"/>
        <v>-3.1020215419764083</v>
      </c>
      <c r="AW626">
        <f t="shared" si="512"/>
        <v>25.618669627990482</v>
      </c>
      <c r="AX626">
        <f t="shared" si="513"/>
        <v>-411.586062791568</v>
      </c>
      <c r="AY626">
        <f t="shared" si="521"/>
        <v>-1.5086327504717794</v>
      </c>
      <c r="BA626">
        <f t="shared" si="502"/>
        <v>0.77126112713472428</v>
      </c>
      <c r="BB626">
        <f t="shared" si="514"/>
        <v>-2.2559711452459834</v>
      </c>
      <c r="BC626">
        <f t="shared" si="515"/>
        <v>-1.593388791504629</v>
      </c>
      <c r="BD626">
        <f t="shared" si="503"/>
        <v>-271.29445298098506</v>
      </c>
      <c r="BF626">
        <f t="shared" si="504"/>
        <v>-83.856165893935525</v>
      </c>
      <c r="BG626">
        <f t="shared" si="505"/>
        <v>-213.74526516988999</v>
      </c>
      <c r="BH626">
        <f t="shared" si="516"/>
        <v>-33.74526516988999</v>
      </c>
      <c r="BI626">
        <f t="shared" si="517"/>
        <v>-33.74526516988999</v>
      </c>
      <c r="BJ626">
        <f t="shared" si="506"/>
        <v>0</v>
      </c>
      <c r="BK626">
        <f t="shared" si="518"/>
        <v>0</v>
      </c>
      <c r="BM626">
        <f t="shared" si="519"/>
        <v>-81.600194748689546</v>
      </c>
      <c r="BN626">
        <f t="shared" si="507"/>
        <v>-122.45081218890496</v>
      </c>
      <c r="BQ626" s="66">
        <f t="shared" si="520"/>
        <v>14.645989655039154</v>
      </c>
    </row>
    <row r="627" spans="1:69" ht="13" x14ac:dyDescent="0.3">
      <c r="A627">
        <f>A626+100000</f>
        <v>5100000</v>
      </c>
      <c r="B627">
        <f t="shared" si="508"/>
        <v>5100</v>
      </c>
      <c r="C627">
        <f t="shared" ref="C627:C676" si="539">SQRT((A627/Fesr)^2+1)</f>
        <v>1.8886725758735154</v>
      </c>
      <c r="D627">
        <f t="shared" ref="D627:D676" si="540">ATAN(A627/Fesr)</f>
        <v>1.0128178130875258</v>
      </c>
      <c r="F627">
        <f t="shared" ref="F627:F676" si="541">(Ro/(Ro+Rdcr))/SQRT((A627/(Q*Fo))^2+(1-(A627^2/Fo^2))^2)</f>
        <v>2.8621775490009424E-6</v>
      </c>
      <c r="G627">
        <f t="shared" ref="G627:G676" si="542">-ATAN(A627*Fo/(Q*(Fo^2-A627^2)))</f>
        <v>5.2743785047596923E-4</v>
      </c>
      <c r="H627">
        <f t="shared" si="481"/>
        <v>-3.1410652121495244</v>
      </c>
      <c r="J627">
        <f t="shared" si="482"/>
        <v>15</v>
      </c>
      <c r="M627">
        <f t="shared" ref="M627:M676" si="543">1/(2*Pi*_Rfb1*(Cc1ea_u+Cc2ea_u)*A627)</f>
        <v>2.1536819615117439E-4</v>
      </c>
      <c r="N627">
        <f t="shared" si="484"/>
        <v>-1.5707963250000001</v>
      </c>
      <c r="O627">
        <f t="shared" ref="O627:O676" si="544">SQRT(1+(A627/Fz1_u)^2)</f>
        <v>1756.281266296704</v>
      </c>
      <c r="P627">
        <f t="shared" si="486"/>
        <v>1.5702269418830244</v>
      </c>
      <c r="Q627">
        <f t="shared" ref="Q627:Q676" si="545">SQRT(1+(A627/Fz2_u)^2)</f>
        <v>674.56734776727546</v>
      </c>
      <c r="R627">
        <f t="shared" si="488"/>
        <v>1.5693138945817491</v>
      </c>
      <c r="S627">
        <f t="shared" ref="S627:S676" si="546">1/SQRT(1+(A627/Fp1_u)^2)</f>
        <v>0.52119552295959271</v>
      </c>
      <c r="T627">
        <f t="shared" si="490"/>
        <v>-1.0225451415346722</v>
      </c>
      <c r="U627">
        <f t="shared" ref="U627:U676" si="547">1/SQRT(1+(A627/Fp2_u)^2)</f>
        <v>3.9257277794965267E-2</v>
      </c>
      <c r="V627">
        <f t="shared" si="492"/>
        <v>-1.531528958547189</v>
      </c>
      <c r="X627">
        <f t="shared" ref="X627:X676" si="548">20*LOG(C627*J627*O627*Q627*F627*M627*S627*U627)</f>
        <v>-67.466673666695584</v>
      </c>
      <c r="Y627">
        <f t="shared" ref="Y627:Y676" si="549">(180/Pi)*(D627+H627+N627+P627+R627+T627+V627)</f>
        <v>-178.39482078691375</v>
      </c>
      <c r="Z627">
        <f t="shared" si="510"/>
        <v>1.6051792130862452</v>
      </c>
      <c r="AC627">
        <v>1</v>
      </c>
      <c r="AD627">
        <f t="shared" ref="AD627:AD676" si="550">Rcea1_u*Cc1ea_u*A627*2*Pi</f>
        <v>1756.2809816042402</v>
      </c>
      <c r="AE627">
        <f t="shared" ref="AE627:AE676" si="551">-Rcea1_u*Cc1ea_u*Cc2ea_u*(A627*2*Pi)^2</f>
        <v>-5.6278698116055192</v>
      </c>
      <c r="AF627">
        <f t="shared" ref="AF627:AF676" si="552">(Cc2ea_u+Cc1ea_u)*A627*2*Pi</f>
        <v>0.221105290707</v>
      </c>
      <c r="AG627">
        <f t="shared" ref="AG627:AG676" si="553">AC627*AE627/(AE627^2+AF627^2)+AD627*AF627/(AE627^2+AF627^2)</f>
        <v>12.064103323342447</v>
      </c>
      <c r="AH627">
        <f t="shared" ref="AH627:AH676" si="554">AD627*AE627/(AE627^2+AF627^2)-AC627*AF627/(AE627^2+AF627^2)</f>
        <v>-311.59454700170869</v>
      </c>
      <c r="AJ627">
        <f t="shared" si="497"/>
        <v>21000</v>
      </c>
      <c r="AK627">
        <f t="shared" ref="AK627:AK676" si="555">_Rfb1*Rcea2_u*Cc3ea_u*A627*2*Pi</f>
        <v>34386.679341693001</v>
      </c>
      <c r="AL627">
        <v>2</v>
      </c>
      <c r="AM627">
        <f t="shared" ref="AM627:AM676" si="556">(_Rfb1+Rcea2_u)*Cc3ea_u*A627*2*Pi</f>
        <v>674.56660655103303</v>
      </c>
      <c r="AN627">
        <f t="shared" ref="AN627:AN676" si="557">AJ627*AL627/(AL627^2+AM627^2)+AK627*AM627/(AL627^2+AM627^2)</f>
        <v>51.067809149199448</v>
      </c>
      <c r="AO627">
        <f t="shared" ref="AO627:AO676" si="558">AK627*AL627/(AL627^2+AM627^2)-AJ627*AM627/(AL627^2+AM627^2)</f>
        <v>-30.979690039134205</v>
      </c>
      <c r="AQ627">
        <f t="shared" ref="AQ627:AQ676" si="559">Eadcg/(1+(Eadcg*A627/GBP)^2)</f>
        <v>9.6116877199953123E-5</v>
      </c>
      <c r="AR627">
        <f t="shared" ref="AR627:AR676" si="560">-(A627*Eadcg*Eadcg/GBP)/(1+(Eadcg*A627/GBP)^2)</f>
        <v>-0.98039214743952185</v>
      </c>
      <c r="AT627">
        <f t="shared" ref="AT627:AT676" si="561">-AR627*AH627+AG627*AQ627</f>
        <v>-305.48368750151252</v>
      </c>
      <c r="AU627">
        <f t="shared" ref="AU627:AU676" si="562">AQ627*AH627+AG627*AR627</f>
        <v>-11.857501658914313</v>
      </c>
      <c r="AV627">
        <f t="shared" si="511"/>
        <v>-3.1027966310385855</v>
      </c>
      <c r="AW627">
        <f t="shared" si="512"/>
        <v>26.739899334455416</v>
      </c>
      <c r="AX627">
        <f t="shared" si="513"/>
        <v>-403.50115581523596</v>
      </c>
      <c r="AY627">
        <f t="shared" si="521"/>
        <v>-1.5046233865767886</v>
      </c>
      <c r="BA627">
        <f t="shared" si="502"/>
        <v>0.75599444912224101</v>
      </c>
      <c r="BB627">
        <f t="shared" si="514"/>
        <v>-2.4296278657544605</v>
      </c>
      <c r="BC627">
        <f t="shared" si="515"/>
        <v>-1.5981732444617969</v>
      </c>
      <c r="BD627">
        <f t="shared" si="503"/>
        <v>-271.56858194302288</v>
      </c>
      <c r="BF627">
        <f t="shared" si="504"/>
        <v>-84.250737783635472</v>
      </c>
      <c r="BG627">
        <f t="shared" si="505"/>
        <v>-213.50817580830636</v>
      </c>
      <c r="BH627">
        <f t="shared" si="516"/>
        <v>-33.508175808306362</v>
      </c>
      <c r="BI627">
        <f t="shared" si="517"/>
        <v>-33.508175808306362</v>
      </c>
      <c r="BJ627">
        <f t="shared" si="506"/>
        <v>0</v>
      </c>
      <c r="BK627">
        <f t="shared" si="518"/>
        <v>0</v>
      </c>
      <c r="BM627">
        <f t="shared" si="519"/>
        <v>-81.821109917881003</v>
      </c>
      <c r="BN627">
        <f t="shared" si="507"/>
        <v>-121.93959386528348</v>
      </c>
      <c r="BQ627" s="66">
        <f t="shared" si="520"/>
        <v>14.472332934530677</v>
      </c>
    </row>
    <row r="628" spans="1:69" ht="13" x14ac:dyDescent="0.3">
      <c r="A628">
        <f t="shared" ref="A628:A676" si="563">A627+100000</f>
        <v>5200000</v>
      </c>
      <c r="B628">
        <f t="shared" si="508"/>
        <v>5200</v>
      </c>
      <c r="C628">
        <f t="shared" si="539"/>
        <v>1.9153957878087755</v>
      </c>
      <c r="D628">
        <f t="shared" si="540"/>
        <v>1.0215022192915006</v>
      </c>
      <c r="F628">
        <f t="shared" si="541"/>
        <v>2.7531520064531261E-6</v>
      </c>
      <c r="G628">
        <f t="shared" si="542"/>
        <v>5.1729475981130476E-4</v>
      </c>
      <c r="H628">
        <f t="shared" si="481"/>
        <v>-3.1410753552401891</v>
      </c>
      <c r="J628">
        <f t="shared" si="482"/>
        <v>15</v>
      </c>
      <c r="M628">
        <f t="shared" si="543"/>
        <v>2.112265000713441E-4</v>
      </c>
      <c r="N628">
        <f t="shared" si="484"/>
        <v>-1.5707963250000001</v>
      </c>
      <c r="O628">
        <f t="shared" si="544"/>
        <v>1790.7181428140896</v>
      </c>
      <c r="P628">
        <f t="shared" si="486"/>
        <v>1.5702378915905693</v>
      </c>
      <c r="Q628">
        <f t="shared" si="545"/>
        <v>687.79412972001512</v>
      </c>
      <c r="R628">
        <f t="shared" si="488"/>
        <v>1.569342402852971</v>
      </c>
      <c r="S628">
        <f t="shared" si="546"/>
        <v>0.51383789205512298</v>
      </c>
      <c r="T628">
        <f t="shared" si="490"/>
        <v>-1.0311438440403413</v>
      </c>
      <c r="U628">
        <f t="shared" si="547"/>
        <v>3.8503460323557608E-2</v>
      </c>
      <c r="V628">
        <f t="shared" si="492"/>
        <v>-1.5322833464499261</v>
      </c>
      <c r="X628">
        <f t="shared" si="548"/>
        <v>-67.805200644520824</v>
      </c>
      <c r="Y628">
        <f t="shared" si="549"/>
        <v>-178.43145395033147</v>
      </c>
      <c r="Z628">
        <f t="shared" si="510"/>
        <v>1.5685460496685266</v>
      </c>
      <c r="AC628">
        <v>1</v>
      </c>
      <c r="AD628">
        <f t="shared" si="550"/>
        <v>1790.7178635964801</v>
      </c>
      <c r="AE628">
        <f t="shared" si="551"/>
        <v>-5.850734321638341</v>
      </c>
      <c r="AF628">
        <f t="shared" si="552"/>
        <v>0.22544068856399999</v>
      </c>
      <c r="AG628">
        <f t="shared" si="553"/>
        <v>11.605242205207206</v>
      </c>
      <c r="AH628">
        <f t="shared" si="554"/>
        <v>-305.62002502654678</v>
      </c>
      <c r="AJ628">
        <f t="shared" si="497"/>
        <v>21000</v>
      </c>
      <c r="AK628">
        <f t="shared" si="555"/>
        <v>35060.927956236003</v>
      </c>
      <c r="AL628">
        <v>3</v>
      </c>
      <c r="AM628">
        <f t="shared" si="556"/>
        <v>687.79340275791594</v>
      </c>
      <c r="AN628">
        <f t="shared" si="557"/>
        <v>51.108161726001974</v>
      </c>
      <c r="AO628">
        <f t="shared" si="558"/>
        <v>-30.309501997592502</v>
      </c>
      <c r="AQ628">
        <f t="shared" si="559"/>
        <v>9.2455620446970963E-5</v>
      </c>
      <c r="AR628">
        <f t="shared" si="560"/>
        <v>-0.96153845264849802</v>
      </c>
      <c r="AT628">
        <f t="shared" si="561"/>
        <v>-293.86433299255253</v>
      </c>
      <c r="AU628">
        <f t="shared" si="562"/>
        <v>-11.187142921640829</v>
      </c>
      <c r="AV628">
        <f t="shared" si="511"/>
        <v>-3.1035419546032923</v>
      </c>
      <c r="AW628">
        <f t="shared" si="512"/>
        <v>27.794332074330985</v>
      </c>
      <c r="AX628">
        <f t="shared" si="513"/>
        <v>-395.72240990338963</v>
      </c>
      <c r="AY628">
        <f t="shared" si="521"/>
        <v>-1.5006745421043985</v>
      </c>
      <c r="BA628">
        <f t="shared" si="502"/>
        <v>0.74131383146297136</v>
      </c>
      <c r="BB628">
        <f t="shared" si="514"/>
        <v>-2.5999579343787067</v>
      </c>
      <c r="BC628">
        <f t="shared" si="515"/>
        <v>-1.6028674124988938</v>
      </c>
      <c r="BD628">
        <f t="shared" si="503"/>
        <v>-271.83753796018107</v>
      </c>
      <c r="BF628">
        <f t="shared" si="504"/>
        <v>-84.636358388276363</v>
      </c>
      <c r="BG628">
        <f t="shared" si="505"/>
        <v>-213.28013315811796</v>
      </c>
      <c r="BH628">
        <f t="shared" si="516"/>
        <v>-33.280133158117962</v>
      </c>
      <c r="BI628">
        <f t="shared" si="517"/>
        <v>-33.280133158117962</v>
      </c>
      <c r="BJ628">
        <f t="shared" si="506"/>
        <v>0</v>
      </c>
      <c r="BK628">
        <f t="shared" si="518"/>
        <v>0</v>
      </c>
      <c r="BM628">
        <f t="shared" si="519"/>
        <v>-82.03640045389767</v>
      </c>
      <c r="BN628">
        <f t="shared" si="507"/>
        <v>-121.44259519793692</v>
      </c>
      <c r="BQ628" s="66">
        <f t="shared" si="520"/>
        <v>14.302002865906429</v>
      </c>
    </row>
    <row r="629" spans="1:69" ht="13" x14ac:dyDescent="0.3">
      <c r="A629">
        <f t="shared" si="563"/>
        <v>5300000</v>
      </c>
      <c r="B629">
        <f t="shared" si="508"/>
        <v>5300</v>
      </c>
      <c r="C629">
        <f t="shared" si="539"/>
        <v>1.9422594754383895</v>
      </c>
      <c r="D629">
        <f t="shared" si="540"/>
        <v>1.0299470171276139</v>
      </c>
      <c r="F629">
        <f t="shared" si="541"/>
        <v>2.6502393341589049E-6</v>
      </c>
      <c r="G629">
        <f t="shared" si="542"/>
        <v>5.0753443031482178E-4</v>
      </c>
      <c r="H629">
        <f t="shared" si="481"/>
        <v>-3.1410851155696853</v>
      </c>
      <c r="J629">
        <f t="shared" si="482"/>
        <v>15</v>
      </c>
      <c r="M629">
        <f t="shared" si="543"/>
        <v>2.0724109440962065E-4</v>
      </c>
      <c r="N629">
        <f t="shared" si="484"/>
        <v>-1.5707963250000001</v>
      </c>
      <c r="O629">
        <f t="shared" si="544"/>
        <v>1825.1550195380735</v>
      </c>
      <c r="P629">
        <f t="shared" si="486"/>
        <v>1.5702484281017295</v>
      </c>
      <c r="Q629">
        <f t="shared" si="545"/>
        <v>701.0209122106462</v>
      </c>
      <c r="R629">
        <f t="shared" si="488"/>
        <v>1.5693698353426047</v>
      </c>
      <c r="S629">
        <f t="shared" si="546"/>
        <v>0.50664919324899871</v>
      </c>
      <c r="T629">
        <f t="shared" si="490"/>
        <v>-1.0395025550051282</v>
      </c>
      <c r="U629">
        <f t="shared" si="547"/>
        <v>3.7778026712760017E-2</v>
      </c>
      <c r="V629">
        <f t="shared" si="492"/>
        <v>-1.5330093083031746</v>
      </c>
      <c r="X629">
        <f t="shared" si="548"/>
        <v>-68.137263280879537</v>
      </c>
      <c r="Y629">
        <f t="shared" si="549"/>
        <v>-178.46649984844063</v>
      </c>
      <c r="Z629">
        <f t="shared" si="510"/>
        <v>1.533500151559366</v>
      </c>
      <c r="AC629">
        <v>1</v>
      </c>
      <c r="AD629">
        <f t="shared" si="550"/>
        <v>1825.1547455887201</v>
      </c>
      <c r="AE629">
        <f t="shared" si="551"/>
        <v>-6.0779262978853925</v>
      </c>
      <c r="AF629">
        <f t="shared" si="552"/>
        <v>0.229776086421</v>
      </c>
      <c r="AG629">
        <f t="shared" si="553"/>
        <v>11.172059100332859</v>
      </c>
      <c r="AH629">
        <f t="shared" si="554"/>
        <v>-299.8699859531842</v>
      </c>
      <c r="AJ629">
        <f t="shared" si="497"/>
        <v>21000</v>
      </c>
      <c r="AK629">
        <f t="shared" si="555"/>
        <v>35735.176570779004</v>
      </c>
      <c r="AL629">
        <v>4</v>
      </c>
      <c r="AM629">
        <f t="shared" si="556"/>
        <v>701.02019896479908</v>
      </c>
      <c r="AN629">
        <f t="shared" si="557"/>
        <v>51.145223282610935</v>
      </c>
      <c r="AO629">
        <f t="shared" si="558"/>
        <v>-29.664507723997513</v>
      </c>
      <c r="AQ629">
        <f t="shared" si="559"/>
        <v>8.8999643209330341E-5</v>
      </c>
      <c r="AR629">
        <f t="shared" si="560"/>
        <v>-0.94339621801890161</v>
      </c>
      <c r="AT629">
        <f t="shared" si="561"/>
        <v>-282.89521633634126</v>
      </c>
      <c r="AU629">
        <f t="shared" si="562"/>
        <v>-10.566366624496691</v>
      </c>
      <c r="AV629">
        <f t="shared" si="511"/>
        <v>-3.1042591941688764</v>
      </c>
      <c r="AW629">
        <f t="shared" si="512"/>
        <v>28.787051188495919</v>
      </c>
      <c r="AX629">
        <f t="shared" si="513"/>
        <v>-388.23289803620179</v>
      </c>
      <c r="AY629">
        <f t="shared" si="521"/>
        <v>-1.4967828492638791</v>
      </c>
      <c r="BA629">
        <f t="shared" si="502"/>
        <v>0.72718578079209928</v>
      </c>
      <c r="BB629">
        <f t="shared" si="514"/>
        <v>-2.7670924357631237</v>
      </c>
      <c r="BC629">
        <f t="shared" si="515"/>
        <v>-1.6074763449049974</v>
      </c>
      <c r="BD629">
        <f t="shared" si="503"/>
        <v>-272.10161033541362</v>
      </c>
      <c r="BF629">
        <f t="shared" si="504"/>
        <v>-85.013420369969722</v>
      </c>
      <c r="BG629">
        <f t="shared" si="505"/>
        <v>-213.06091348363458</v>
      </c>
      <c r="BH629">
        <f t="shared" si="516"/>
        <v>-33.060913483634579</v>
      </c>
      <c r="BI629">
        <f t="shared" si="517"/>
        <v>-33.060913483634579</v>
      </c>
      <c r="BJ629">
        <f t="shared" si="506"/>
        <v>0</v>
      </c>
      <c r="BK629">
        <f t="shared" si="518"/>
        <v>0</v>
      </c>
      <c r="BM629">
        <f t="shared" si="519"/>
        <v>-82.24632793420659</v>
      </c>
      <c r="BN629">
        <f t="shared" si="507"/>
        <v>-120.95930314822095</v>
      </c>
      <c r="BQ629" s="66">
        <f t="shared" si="520"/>
        <v>14.134868364522013</v>
      </c>
    </row>
    <row r="630" spans="1:69" ht="13" x14ac:dyDescent="0.3">
      <c r="A630">
        <f t="shared" si="563"/>
        <v>5400000</v>
      </c>
      <c r="B630">
        <f t="shared" si="508"/>
        <v>5400</v>
      </c>
      <c r="C630">
        <f t="shared" si="539"/>
        <v>1.9692578898611837</v>
      </c>
      <c r="D630">
        <f t="shared" si="540"/>
        <v>1.0381608320444728</v>
      </c>
      <c r="F630">
        <f t="shared" si="541"/>
        <v>2.5529909445656754E-6</v>
      </c>
      <c r="G630">
        <f t="shared" si="542"/>
        <v>4.9813559725894849E-4</v>
      </c>
      <c r="H630">
        <f t="shared" si="481"/>
        <v>-3.1410945144027411</v>
      </c>
      <c r="J630">
        <f t="shared" si="482"/>
        <v>15</v>
      </c>
      <c r="M630">
        <f t="shared" si="543"/>
        <v>2.0340329636499806E-4</v>
      </c>
      <c r="N630">
        <f t="shared" si="484"/>
        <v>-1.5707963250000001</v>
      </c>
      <c r="O630">
        <f t="shared" si="544"/>
        <v>1859.5918964571783</v>
      </c>
      <c r="P630">
        <f t="shared" si="486"/>
        <v>1.5702585743718507</v>
      </c>
      <c r="Q630">
        <f t="shared" si="545"/>
        <v>714.24769520928589</v>
      </c>
      <c r="R630">
        <f t="shared" si="488"/>
        <v>1.5693962518161335</v>
      </c>
      <c r="S630">
        <f t="shared" si="546"/>
        <v>0.49962538708228682</v>
      </c>
      <c r="T630">
        <f t="shared" si="490"/>
        <v>-1.0476300629464284</v>
      </c>
      <c r="U630">
        <f t="shared" si="547"/>
        <v>3.7079404545019685E-2</v>
      </c>
      <c r="V630">
        <f t="shared" si="492"/>
        <v>-1.5337084203529225</v>
      </c>
      <c r="X630">
        <f t="shared" si="548"/>
        <v>-68.46310287962892</v>
      </c>
      <c r="Y630">
        <f t="shared" si="549"/>
        <v>-178.50005461546212</v>
      </c>
      <c r="Z630">
        <f t="shared" si="510"/>
        <v>1.499945384537881</v>
      </c>
      <c r="AC630">
        <v>1</v>
      </c>
      <c r="AD630">
        <f t="shared" si="550"/>
        <v>1859.5916275809602</v>
      </c>
      <c r="AE630">
        <f t="shared" si="551"/>
        <v>-6.3094457403466739</v>
      </c>
      <c r="AF630">
        <f t="shared" si="552"/>
        <v>0.23411148427800002</v>
      </c>
      <c r="AG630">
        <f t="shared" si="553"/>
        <v>10.762674060788857</v>
      </c>
      <c r="AH630">
        <f t="shared" si="554"/>
        <v>-294.33202826461758</v>
      </c>
      <c r="AJ630">
        <f t="shared" si="497"/>
        <v>21000</v>
      </c>
      <c r="AK630">
        <f t="shared" si="555"/>
        <v>36409.425185321998</v>
      </c>
      <c r="AL630">
        <v>5</v>
      </c>
      <c r="AM630">
        <f t="shared" si="556"/>
        <v>714.24699517168199</v>
      </c>
      <c r="AN630">
        <f t="shared" si="557"/>
        <v>51.179272758032518</v>
      </c>
      <c r="AO630">
        <f t="shared" si="558"/>
        <v>-29.043319434929682</v>
      </c>
      <c r="AQ630">
        <f t="shared" si="559"/>
        <v>8.5733881295148485E-5</v>
      </c>
      <c r="AR630">
        <f t="shared" si="560"/>
        <v>-0.9259259179876036</v>
      </c>
      <c r="AT630">
        <f t="shared" si="561"/>
        <v>-272.52873073824895</v>
      </c>
      <c r="AU630">
        <f t="shared" si="562"/>
        <v>-9.9906730869098901</v>
      </c>
      <c r="AV630">
        <f t="shared" si="511"/>
        <v>-3.1049499069785367</v>
      </c>
      <c r="AW630">
        <f t="shared" si="512"/>
        <v>29.722670217017559</v>
      </c>
      <c r="AX630">
        <f t="shared" si="513"/>
        <v>-381.01690809760157</v>
      </c>
      <c r="AY630">
        <f t="shared" si="521"/>
        <v>-1.4929451931573559</v>
      </c>
      <c r="BA630">
        <f t="shared" si="502"/>
        <v>0.71357931872535652</v>
      </c>
      <c r="BB630">
        <f t="shared" si="514"/>
        <v>-2.9311549073250989</v>
      </c>
      <c r="BC630">
        <f t="shared" si="515"/>
        <v>-1.6120047138211808</v>
      </c>
      <c r="BD630">
        <f t="shared" si="503"/>
        <v>-272.36106676268565</v>
      </c>
      <c r="BF630">
        <f t="shared" si="504"/>
        <v>-85.382292355795329</v>
      </c>
      <c r="BG630">
        <f t="shared" si="505"/>
        <v>-212.8502914953983</v>
      </c>
      <c r="BH630">
        <f t="shared" si="516"/>
        <v>-32.850291495398295</v>
      </c>
      <c r="BI630">
        <f t="shared" si="517"/>
        <v>-32.850291495398295</v>
      </c>
      <c r="BJ630">
        <f t="shared" si="506"/>
        <v>0</v>
      </c>
      <c r="BK630">
        <f t="shared" si="518"/>
        <v>0</v>
      </c>
      <c r="BM630">
        <f t="shared" si="519"/>
        <v>-82.451137448470206</v>
      </c>
      <c r="BN630">
        <f t="shared" si="507"/>
        <v>-120.48922473271266</v>
      </c>
      <c r="BQ630" s="66">
        <f t="shared" si="520"/>
        <v>13.970805892960039</v>
      </c>
    </row>
    <row r="631" spans="1:69" ht="13" x14ac:dyDescent="0.3">
      <c r="A631">
        <f t="shared" si="563"/>
        <v>5500000</v>
      </c>
      <c r="B631">
        <f t="shared" si="508"/>
        <v>5500</v>
      </c>
      <c r="C631">
        <f t="shared" si="539"/>
        <v>1.9963855650917091</v>
      </c>
      <c r="D631">
        <f t="shared" si="540"/>
        <v>1.0461519488584037</v>
      </c>
      <c r="F631">
        <f t="shared" si="541"/>
        <v>2.4609986567386144E-6</v>
      </c>
      <c r="G631">
        <f t="shared" si="542"/>
        <v>4.8907854246105394E-4</v>
      </c>
      <c r="H631">
        <f t="shared" si="481"/>
        <v>-3.1411035714575393</v>
      </c>
      <c r="J631">
        <f t="shared" si="482"/>
        <v>15</v>
      </c>
      <c r="M631">
        <f t="shared" si="543"/>
        <v>1.9970505461290716E-4</v>
      </c>
      <c r="N631">
        <f t="shared" si="484"/>
        <v>-1.5707963250000001</v>
      </c>
      <c r="O631">
        <f t="shared" si="544"/>
        <v>1894.0287735607603</v>
      </c>
      <c r="P631">
        <f t="shared" si="486"/>
        <v>1.5702683516867997</v>
      </c>
      <c r="Q631">
        <f t="shared" si="545"/>
        <v>727.47447868822451</v>
      </c>
      <c r="R631">
        <f t="shared" si="488"/>
        <v>1.5694217076924741</v>
      </c>
      <c r="S631">
        <f t="shared" si="546"/>
        <v>0.49276243775838735</v>
      </c>
      <c r="T631">
        <f t="shared" si="490"/>
        <v>-1.055534799192841</v>
      </c>
      <c r="U631">
        <f t="shared" si="547"/>
        <v>3.640613536648462E-2</v>
      </c>
      <c r="V631">
        <f t="shared" si="492"/>
        <v>-1.5343821444721077</v>
      </c>
      <c r="X631">
        <f t="shared" si="548"/>
        <v>-68.782947541653073</v>
      </c>
      <c r="Y631">
        <f t="shared" si="549"/>
        <v>-178.53220713998863</v>
      </c>
      <c r="Z631">
        <f t="shared" si="510"/>
        <v>1.4677928600113717</v>
      </c>
      <c r="AC631">
        <v>1</v>
      </c>
      <c r="AD631">
        <f t="shared" si="550"/>
        <v>1894.0285095732002</v>
      </c>
      <c r="AE631">
        <f t="shared" si="551"/>
        <v>-6.5452926490221852</v>
      </c>
      <c r="AF631">
        <f t="shared" si="552"/>
        <v>0.23844688213500001</v>
      </c>
      <c r="AG631">
        <f t="shared" si="553"/>
        <v>10.37537601241821</v>
      </c>
      <c r="AH631">
        <f t="shared" si="554"/>
        <v>-288.99464622023345</v>
      </c>
      <c r="AJ631">
        <f t="shared" si="497"/>
        <v>21000</v>
      </c>
      <c r="AK631">
        <f t="shared" si="555"/>
        <v>37083.673799865006</v>
      </c>
      <c r="AL631">
        <v>6</v>
      </c>
      <c r="AM631">
        <f t="shared" si="556"/>
        <v>727.47379137856501</v>
      </c>
      <c r="AN631">
        <f t="shared" si="557"/>
        <v>51.210561995733705</v>
      </c>
      <c r="AO631">
        <f t="shared" si="558"/>
        <v>-28.444648966408533</v>
      </c>
      <c r="AQ631">
        <f t="shared" si="559"/>
        <v>8.26446274161601E-5</v>
      </c>
      <c r="AR631">
        <f t="shared" si="560"/>
        <v>-0.90909090157776118</v>
      </c>
      <c r="AT631">
        <f t="shared" si="561"/>
        <v>-262.72154601441332</v>
      </c>
      <c r="AU631">
        <f t="shared" si="562"/>
        <v>-9.4560437881996826</v>
      </c>
      <c r="AV631">
        <f t="shared" si="511"/>
        <v>-3.1056155372844425</v>
      </c>
      <c r="AW631">
        <f t="shared" si="512"/>
        <v>30.605383759770582</v>
      </c>
      <c r="AX631">
        <f t="shared" si="513"/>
        <v>-374.05983674257254</v>
      </c>
      <c r="AY631">
        <f t="shared" si="521"/>
        <v>-1.489158688667273</v>
      </c>
      <c r="BA631">
        <f t="shared" si="502"/>
        <v>0.70046574933358685</v>
      </c>
      <c r="BB631">
        <f t="shared" si="514"/>
        <v>-3.0922619110355702</v>
      </c>
      <c r="BC631">
        <f t="shared" si="515"/>
        <v>-1.6164568486171695</v>
      </c>
      <c r="BD631">
        <f t="shared" si="503"/>
        <v>-272.6161552966106</v>
      </c>
      <c r="BF631">
        <f t="shared" si="504"/>
        <v>-85.743320776194736</v>
      </c>
      <c r="BG631">
        <f t="shared" si="505"/>
        <v>-212.64804169278119</v>
      </c>
      <c r="BH631">
        <f t="shared" si="516"/>
        <v>-32.648041692781192</v>
      </c>
      <c r="BI631">
        <f t="shared" si="517"/>
        <v>-32.648041692781192</v>
      </c>
      <c r="BJ631">
        <f t="shared" si="506"/>
        <v>0</v>
      </c>
      <c r="BK631">
        <f t="shared" si="518"/>
        <v>0</v>
      </c>
      <c r="BM631">
        <f t="shared" si="519"/>
        <v>-82.651058865159172</v>
      </c>
      <c r="BN631">
        <f t="shared" si="507"/>
        <v>-120.03188639617056</v>
      </c>
      <c r="BQ631" s="66">
        <f t="shared" si="520"/>
        <v>13.809698889249567</v>
      </c>
    </row>
    <row r="632" spans="1:69" ht="13" x14ac:dyDescent="0.3">
      <c r="A632">
        <f t="shared" si="563"/>
        <v>5600000</v>
      </c>
      <c r="B632">
        <f t="shared" si="508"/>
        <v>5600</v>
      </c>
      <c r="C632">
        <f t="shared" si="539"/>
        <v>2.023637302756665</v>
      </c>
      <c r="D632">
        <f t="shared" si="540"/>
        <v>1.0539283230795251</v>
      </c>
      <c r="F632">
        <f t="shared" si="541"/>
        <v>2.3738904061972595E-6</v>
      </c>
      <c r="G632">
        <f t="shared" si="542"/>
        <v>4.8034495619706652E-4</v>
      </c>
      <c r="H632">
        <f t="shared" si="481"/>
        <v>-3.1411123050438032</v>
      </c>
      <c r="J632">
        <f t="shared" si="482"/>
        <v>15</v>
      </c>
      <c r="M632">
        <f t="shared" si="543"/>
        <v>1.9613889292339099E-4</v>
      </c>
      <c r="N632">
        <f t="shared" si="484"/>
        <v>-1.5707963250000001</v>
      </c>
      <c r="O632">
        <f t="shared" si="544"/>
        <v>1928.4656508389373</v>
      </c>
      <c r="P632">
        <f t="shared" si="486"/>
        <v>1.5702777798120244</v>
      </c>
      <c r="Q632">
        <f t="shared" si="545"/>
        <v>740.7012626217321</v>
      </c>
      <c r="R632">
        <f t="shared" si="488"/>
        <v>1.5694462544320615</v>
      </c>
      <c r="S632">
        <f t="shared" si="546"/>
        <v>0.48605632854557956</v>
      </c>
      <c r="T632">
        <f t="shared" si="490"/>
        <v>-1.0632248506463651</v>
      </c>
      <c r="U632">
        <f t="shared" si="547"/>
        <v>3.5756864552657044E-2</v>
      </c>
      <c r="V632">
        <f t="shared" si="492"/>
        <v>-1.5350318383451209</v>
      </c>
      <c r="X632">
        <f t="shared" si="548"/>
        <v>-69.09701310759695</v>
      </c>
      <c r="Y632">
        <f t="shared" si="549"/>
        <v>-178.56303970793348</v>
      </c>
      <c r="Z632">
        <f t="shared" si="510"/>
        <v>1.4369602920665159</v>
      </c>
      <c r="AC632">
        <v>1</v>
      </c>
      <c r="AD632">
        <f t="shared" si="550"/>
        <v>1928.4653915654401</v>
      </c>
      <c r="AE632">
        <f t="shared" si="551"/>
        <v>-6.785467023911921</v>
      </c>
      <c r="AF632">
        <f t="shared" si="552"/>
        <v>0.24278227999200003</v>
      </c>
      <c r="AG632">
        <f t="shared" si="553"/>
        <v>10.008604880403329</v>
      </c>
      <c r="AH632">
        <f t="shared" si="554"/>
        <v>-283.84715051531549</v>
      </c>
      <c r="AJ632">
        <f t="shared" si="497"/>
        <v>21000</v>
      </c>
      <c r="AK632">
        <f t="shared" si="555"/>
        <v>37757.922414408</v>
      </c>
      <c r="AL632">
        <v>7</v>
      </c>
      <c r="AM632">
        <f t="shared" si="556"/>
        <v>740.70058758544803</v>
      </c>
      <c r="AN632">
        <f t="shared" si="557"/>
        <v>51.239318752755914</v>
      </c>
      <c r="AO632">
        <f t="shared" si="558"/>
        <v>-27.867299033767139</v>
      </c>
      <c r="AQ632">
        <f t="shared" si="559"/>
        <v>7.9719387119583961E-5</v>
      </c>
      <c r="AR632">
        <f t="shared" si="560"/>
        <v>-0.89285713573934045</v>
      </c>
      <c r="AT632">
        <f t="shared" si="561"/>
        <v>-253.43415591703103</v>
      </c>
      <c r="AU632">
        <f t="shared" si="562"/>
        <v>-8.9588824071384217</v>
      </c>
      <c r="AV632">
        <f t="shared" si="511"/>
        <v>-3.1062574264088414</v>
      </c>
      <c r="AW632">
        <f t="shared" si="512"/>
        <v>31.439012052461862</v>
      </c>
      <c r="AX632">
        <f t="shared" si="513"/>
        <v>-367.34809409685556</v>
      </c>
      <c r="AY632">
        <f t="shared" si="521"/>
        <v>-1.4854206598319204</v>
      </c>
      <c r="BA632">
        <f t="shared" si="502"/>
        <v>0.68781845203067604</v>
      </c>
      <c r="BB632">
        <f t="shared" si="514"/>
        <v>-3.2505235517395032</v>
      </c>
      <c r="BC632">
        <f t="shared" si="515"/>
        <v>-1.620836766576921</v>
      </c>
      <c r="BD632">
        <f t="shared" si="503"/>
        <v>-272.86710611060471</v>
      </c>
      <c r="BF632">
        <f t="shared" si="504"/>
        <v>-86.096831536909079</v>
      </c>
      <c r="BG632">
        <f t="shared" si="505"/>
        <v>-212.45393948111501</v>
      </c>
      <c r="BH632">
        <f t="shared" si="516"/>
        <v>-32.453939481115015</v>
      </c>
      <c r="BI632">
        <f t="shared" si="517"/>
        <v>-32.453939481115015</v>
      </c>
      <c r="BJ632">
        <f t="shared" si="506"/>
        <v>0</v>
      </c>
      <c r="BK632">
        <f t="shared" si="518"/>
        <v>0</v>
      </c>
      <c r="BM632">
        <f t="shared" si="519"/>
        <v>-82.846307985169574</v>
      </c>
      <c r="BN632">
        <f t="shared" si="507"/>
        <v>-119.58683337051036</v>
      </c>
      <c r="BQ632" s="66">
        <f t="shared" si="520"/>
        <v>13.651437248545635</v>
      </c>
    </row>
    <row r="633" spans="1:69" ht="13" x14ac:dyDescent="0.3">
      <c r="A633">
        <f t="shared" si="563"/>
        <v>5700000</v>
      </c>
      <c r="B633">
        <f t="shared" si="508"/>
        <v>5700</v>
      </c>
      <c r="C633">
        <f t="shared" si="539"/>
        <v>2.051008157610716</v>
      </c>
      <c r="D633">
        <f t="shared" si="540"/>
        <v>1.0614975923497934</v>
      </c>
      <c r="F633">
        <f t="shared" si="541"/>
        <v>2.291326476923832E-6</v>
      </c>
      <c r="G633">
        <f t="shared" si="542"/>
        <v>4.7191781365074029E-4</v>
      </c>
      <c r="H633">
        <f t="shared" si="481"/>
        <v>-3.1411207321863497</v>
      </c>
      <c r="J633">
        <f t="shared" si="482"/>
        <v>15</v>
      </c>
      <c r="M633">
        <f t="shared" si="543"/>
        <v>1.9269785971420868E-4</v>
      </c>
      <c r="N633">
        <f t="shared" si="484"/>
        <v>-1.5707963250000001</v>
      </c>
      <c r="O633">
        <f t="shared" si="544"/>
        <v>1962.9025282825201</v>
      </c>
      <c r="P633">
        <f t="shared" si="486"/>
        <v>1.5702868771259253</v>
      </c>
      <c r="Q633">
        <f t="shared" si="545"/>
        <v>753.92804698588373</v>
      </c>
      <c r="R633">
        <f t="shared" si="488"/>
        <v>1.5694699398840832</v>
      </c>
      <c r="S633">
        <f t="shared" si="546"/>
        <v>0.4795030748825812</v>
      </c>
      <c r="T633">
        <f t="shared" si="490"/>
        <v>-1.0707079725440745</v>
      </c>
      <c r="U633">
        <f t="shared" si="547"/>
        <v>3.513033223593208E-2</v>
      </c>
      <c r="V633">
        <f t="shared" si="492"/>
        <v>-1.5356587645835222</v>
      </c>
      <c r="X633">
        <f t="shared" si="548"/>
        <v>-69.405504018037149</v>
      </c>
      <c r="Y633">
        <f t="shared" si="549"/>
        <v>-178.5926285802031</v>
      </c>
      <c r="Z633">
        <f t="shared" si="510"/>
        <v>1.4073714197969025</v>
      </c>
      <c r="AC633">
        <v>1</v>
      </c>
      <c r="AD633">
        <f t="shared" si="550"/>
        <v>1962.90227355768</v>
      </c>
      <c r="AE633">
        <f t="shared" si="551"/>
        <v>-7.029968865015892</v>
      </c>
      <c r="AF633">
        <f t="shared" si="552"/>
        <v>0.24711767784899999</v>
      </c>
      <c r="AG633">
        <f t="shared" si="553"/>
        <v>9.6609358828678076</v>
      </c>
      <c r="AH633">
        <f t="shared" si="554"/>
        <v>-278.8795972159723</v>
      </c>
      <c r="AJ633">
        <f t="shared" si="497"/>
        <v>21000</v>
      </c>
      <c r="AK633">
        <f t="shared" si="555"/>
        <v>38432.171028951001</v>
      </c>
      <c r="AL633">
        <v>8</v>
      </c>
      <c r="AM633">
        <f t="shared" si="556"/>
        <v>753.92738379233106</v>
      </c>
      <c r="AN633">
        <f t="shared" si="557"/>
        <v>51.265749332073632</v>
      </c>
      <c r="AO633">
        <f t="shared" si="558"/>
        <v>-27.310155391589916</v>
      </c>
      <c r="AQ633">
        <f t="shared" si="559"/>
        <v>7.694675225494958E-5</v>
      </c>
      <c r="AR633">
        <f t="shared" si="560"/>
        <v>-0.87719297570642529</v>
      </c>
      <c r="AT633">
        <f t="shared" si="561"/>
        <v>-244.63048036804813</v>
      </c>
      <c r="AU633">
        <f t="shared" si="562"/>
        <v>-8.495963974477732</v>
      </c>
      <c r="AV633">
        <f t="shared" si="511"/>
        <v>-3.1068768217493696</v>
      </c>
      <c r="AW633">
        <f t="shared" si="512"/>
        <v>32.227040127415577</v>
      </c>
      <c r="AX633">
        <f t="shared" si="513"/>
        <v>-360.86901803367329</v>
      </c>
      <c r="AY633">
        <f t="shared" si="521"/>
        <v>-1.4817286214020482</v>
      </c>
      <c r="BA633">
        <f t="shared" si="502"/>
        <v>0.67561269668284107</v>
      </c>
      <c r="BB633">
        <f t="shared" si="514"/>
        <v>-3.4060439479328575</v>
      </c>
      <c r="BC633">
        <f t="shared" si="515"/>
        <v>-1.6251482003473214</v>
      </c>
      <c r="BD633">
        <f t="shared" si="503"/>
        <v>-273.1141330695811</v>
      </c>
      <c r="BF633">
        <f t="shared" si="504"/>
        <v>-86.443131541814111</v>
      </c>
      <c r="BG633">
        <f t="shared" si="505"/>
        <v>-212.26776209611322</v>
      </c>
      <c r="BH633">
        <f t="shared" si="516"/>
        <v>-32.267762096113216</v>
      </c>
      <c r="BI633">
        <f t="shared" si="517"/>
        <v>-32.267762096113216</v>
      </c>
      <c r="BJ633">
        <f t="shared" si="506"/>
        <v>0</v>
      </c>
      <c r="BK633">
        <f t="shared" si="518"/>
        <v>0</v>
      </c>
      <c r="BM633">
        <f t="shared" si="519"/>
        <v>-83.037087593881267</v>
      </c>
      <c r="BN633">
        <f t="shared" si="507"/>
        <v>-119.15362902653217</v>
      </c>
      <c r="BQ633" s="66">
        <f t="shared" si="520"/>
        <v>13.495916852352279</v>
      </c>
    </row>
    <row r="634" spans="1:69" ht="13" x14ac:dyDescent="0.3">
      <c r="A634">
        <f t="shared" si="563"/>
        <v>5800000</v>
      </c>
      <c r="B634">
        <f t="shared" si="508"/>
        <v>5800</v>
      </c>
      <c r="C634">
        <f t="shared" si="539"/>
        <v>2.0784934238382489</v>
      </c>
      <c r="D634">
        <f t="shared" si="540"/>
        <v>1.0688670878966107</v>
      </c>
      <c r="F634">
        <f t="shared" si="541"/>
        <v>2.2129961841515367E-6</v>
      </c>
      <c r="G634">
        <f t="shared" si="542"/>
        <v>4.6378126414423684E-4</v>
      </c>
      <c r="H634">
        <f t="shared" si="481"/>
        <v>-3.1411288687358558</v>
      </c>
      <c r="J634">
        <f t="shared" si="482"/>
        <v>15</v>
      </c>
      <c r="M634">
        <f t="shared" si="543"/>
        <v>1.8937548282258439E-4</v>
      </c>
      <c r="N634">
        <f t="shared" si="484"/>
        <v>-1.5707963250000001</v>
      </c>
      <c r="O634">
        <f t="shared" si="544"/>
        <v>1997.3394058829531</v>
      </c>
      <c r="P634">
        <f t="shared" si="486"/>
        <v>1.5702956607394269</v>
      </c>
      <c r="Q634">
        <f t="shared" si="545"/>
        <v>767.15483175840495</v>
      </c>
      <c r="R634">
        <f t="shared" si="488"/>
        <v>1.5694928085977926</v>
      </c>
      <c r="S634">
        <f t="shared" si="546"/>
        <v>0.47309873545553771</v>
      </c>
      <c r="T634">
        <f t="shared" si="490"/>
        <v>-1.0779916011298103</v>
      </c>
      <c r="U634">
        <f t="shared" si="547"/>
        <v>3.4525365167517995E-2</v>
      </c>
      <c r="V634">
        <f t="shared" si="492"/>
        <v>-1.5362640989015257</v>
      </c>
      <c r="X634">
        <f t="shared" si="548"/>
        <v>-69.708614099624725</v>
      </c>
      <c r="Y634">
        <f t="shared" si="549"/>
        <v>-178.62104451256752</v>
      </c>
      <c r="Z634">
        <f t="shared" si="510"/>
        <v>1.3789554874324779</v>
      </c>
      <c r="AC634">
        <v>1</v>
      </c>
      <c r="AD634">
        <f t="shared" si="550"/>
        <v>1997.33915554992</v>
      </c>
      <c r="AE634">
        <f t="shared" si="551"/>
        <v>-7.2787981723340902</v>
      </c>
      <c r="AF634">
        <f t="shared" si="552"/>
        <v>0.25145307570600001</v>
      </c>
      <c r="AG634">
        <f t="shared" si="553"/>
        <v>9.3310656972239983</v>
      </c>
      <c r="AH634">
        <f t="shared" si="554"/>
        <v>-274.08272398092947</v>
      </c>
      <c r="AJ634">
        <f t="shared" si="497"/>
        <v>21000</v>
      </c>
      <c r="AK634">
        <f t="shared" si="555"/>
        <v>39106.419643494002</v>
      </c>
      <c r="AL634">
        <v>9</v>
      </c>
      <c r="AM634">
        <f t="shared" si="556"/>
        <v>767.15417999921408</v>
      </c>
      <c r="AN634">
        <f t="shared" si="557"/>
        <v>51.290040890640121</v>
      </c>
      <c r="AO634">
        <f t="shared" si="558"/>
        <v>-26.77217978790819</v>
      </c>
      <c r="AQ634">
        <f t="shared" si="559"/>
        <v>7.4316289578505582E-5</v>
      </c>
      <c r="AR634">
        <f t="shared" si="560"/>
        <v>-0.86206895911066472</v>
      </c>
      <c r="AT634">
        <f t="shared" si="561"/>
        <v>-236.27751512227508</v>
      </c>
      <c r="AU634">
        <f t="shared" si="562"/>
        <v>-8.0643909040829538</v>
      </c>
      <c r="AV634">
        <f t="shared" si="511"/>
        <v>-3.1074748848555536</v>
      </c>
      <c r="AW634">
        <f t="shared" si="512"/>
        <v>32.972652295834393</v>
      </c>
      <c r="AX634">
        <f t="shared" si="513"/>
        <v>-354.61079693381356</v>
      </c>
      <c r="AY634">
        <f t="shared" si="521"/>
        <v>-1.4780802623141225</v>
      </c>
      <c r="BA634">
        <f t="shared" si="502"/>
        <v>0.66382547819859328</v>
      </c>
      <c r="BB634">
        <f t="shared" si="514"/>
        <v>-3.5589216601598599</v>
      </c>
      <c r="BC634">
        <f t="shared" si="515"/>
        <v>-1.6293946225414311</v>
      </c>
      <c r="BD634">
        <f t="shared" si="503"/>
        <v>-273.35743513961222</v>
      </c>
      <c r="BF634">
        <f t="shared" si="504"/>
        <v>-86.782510081952452</v>
      </c>
      <c r="BG634">
        <f t="shared" si="505"/>
        <v>-212.08928936363588</v>
      </c>
      <c r="BH634">
        <f t="shared" si="516"/>
        <v>-32.089289363635885</v>
      </c>
      <c r="BI634">
        <f t="shared" si="517"/>
        <v>-32.089289363635885</v>
      </c>
      <c r="BJ634">
        <f t="shared" si="506"/>
        <v>0</v>
      </c>
      <c r="BK634">
        <f t="shared" si="518"/>
        <v>0</v>
      </c>
      <c r="BM634">
        <f t="shared" si="519"/>
        <v>-83.223588421792584</v>
      </c>
      <c r="BN634">
        <f t="shared" si="507"/>
        <v>-118.73185422402362</v>
      </c>
      <c r="BQ634" s="66">
        <f t="shared" si="520"/>
        <v>13.343039140125278</v>
      </c>
    </row>
    <row r="635" spans="1:69" ht="13" x14ac:dyDescent="0.3">
      <c r="A635">
        <f t="shared" si="563"/>
        <v>5900000</v>
      </c>
      <c r="B635">
        <f t="shared" si="508"/>
        <v>5900</v>
      </c>
      <c r="C635">
        <f t="shared" si="539"/>
        <v>2.1060886221067938</v>
      </c>
      <c r="D635">
        <f t="shared" si="540"/>
        <v>1.0760438459221804</v>
      </c>
      <c r="F635">
        <f t="shared" si="541"/>
        <v>2.1386149473371605E-6</v>
      </c>
      <c r="G635">
        <f t="shared" si="542"/>
        <v>4.5592053163356688E-4</v>
      </c>
      <c r="H635">
        <f t="shared" si="481"/>
        <v>-3.1411367294683665</v>
      </c>
      <c r="J635">
        <f t="shared" si="482"/>
        <v>15</v>
      </c>
      <c r="M635">
        <f t="shared" si="543"/>
        <v>1.861657288764389E-4</v>
      </c>
      <c r="N635">
        <f t="shared" si="484"/>
        <v>-1.5707963250000001</v>
      </c>
      <c r="O635">
        <f t="shared" si="544"/>
        <v>2031.7762836322609</v>
      </c>
      <c r="P635">
        <f t="shared" si="486"/>
        <v>1.5703041466033916</v>
      </c>
      <c r="Q635">
        <f t="shared" si="545"/>
        <v>780.38161691853111</v>
      </c>
      <c r="R635">
        <f t="shared" si="488"/>
        <v>1.5695149021021628</v>
      </c>
      <c r="S635">
        <f t="shared" si="546"/>
        <v>0.46683942148726598</v>
      </c>
      <c r="T635">
        <f t="shared" si="490"/>
        <v>-1.085082866162969</v>
      </c>
      <c r="U635">
        <f t="shared" si="547"/>
        <v>3.3940869403425972E-2</v>
      </c>
      <c r="V635">
        <f t="shared" si="492"/>
        <v>-1.5368489374624379</v>
      </c>
      <c r="X635">
        <f t="shared" si="548"/>
        <v>-70.006527284721528</v>
      </c>
      <c r="Y635">
        <f t="shared" si="549"/>
        <v>-178.64835322424341</v>
      </c>
      <c r="Z635">
        <f t="shared" si="510"/>
        <v>1.351646775756592</v>
      </c>
      <c r="AC635">
        <v>1</v>
      </c>
      <c r="AD635">
        <f t="shared" si="550"/>
        <v>2031.7760375421603</v>
      </c>
      <c r="AE635">
        <f t="shared" si="551"/>
        <v>-7.5319549458665183</v>
      </c>
      <c r="AF635">
        <f t="shared" si="552"/>
        <v>0.255788473563</v>
      </c>
      <c r="AG635">
        <f t="shared" si="553"/>
        <v>9.0178002484463082</v>
      </c>
      <c r="AH635">
        <f t="shared" si="554"/>
        <v>-269.44789271415806</v>
      </c>
      <c r="AJ635">
        <f t="shared" si="497"/>
        <v>21000</v>
      </c>
      <c r="AK635">
        <f t="shared" si="555"/>
        <v>39780.668258037003</v>
      </c>
      <c r="AL635">
        <v>10</v>
      </c>
      <c r="AM635">
        <f t="shared" si="556"/>
        <v>780.38097620609699</v>
      </c>
      <c r="AN635">
        <f t="shared" si="557"/>
        <v>51.312363467544685</v>
      </c>
      <c r="AO635">
        <f t="shared" si="558"/>
        <v>-26.252403620759214</v>
      </c>
      <c r="AQ635">
        <f t="shared" si="559"/>
        <v>7.1818442460367399E-5</v>
      </c>
      <c r="AR635">
        <f t="shared" si="560"/>
        <v>-0.84745762103233535</v>
      </c>
      <c r="AT635">
        <f t="shared" si="561"/>
        <v>-228.34502250734806</v>
      </c>
      <c r="AU635">
        <f t="shared" si="562"/>
        <v>-7.6615548734720704</v>
      </c>
      <c r="AV635">
        <f t="shared" si="511"/>
        <v>-3.1080526986863304</v>
      </c>
      <c r="AW635">
        <f t="shared" si="512"/>
        <v>33.678762577672181</v>
      </c>
      <c r="AX635">
        <f t="shared" si="513"/>
        <v>-348.56239997434574</v>
      </c>
      <c r="AY635">
        <f t="shared" si="521"/>
        <v>-1.4744734308517948</v>
      </c>
      <c r="BA635">
        <f t="shared" si="502"/>
        <v>0.65243536823934789</v>
      </c>
      <c r="BB635">
        <f t="shared" si="514"/>
        <v>-3.7092500815487819</v>
      </c>
      <c r="BC635">
        <f t="shared" si="515"/>
        <v>-1.6335792678345356</v>
      </c>
      <c r="BD635">
        <f t="shared" si="503"/>
        <v>-273.59719765394038</v>
      </c>
      <c r="BF635">
        <f t="shared" si="504"/>
        <v>-87.115240104281852</v>
      </c>
      <c r="BG635">
        <f t="shared" si="505"/>
        <v>-211.91830431883963</v>
      </c>
      <c r="BH635">
        <f t="shared" si="516"/>
        <v>-31.918304318839631</v>
      </c>
      <c r="BI635">
        <f t="shared" si="517"/>
        <v>-31.918304318839631</v>
      </c>
      <c r="BJ635">
        <f t="shared" si="506"/>
        <v>0</v>
      </c>
      <c r="BK635">
        <f t="shared" si="518"/>
        <v>0</v>
      </c>
      <c r="BM635">
        <f t="shared" si="519"/>
        <v>-83.405990022733079</v>
      </c>
      <c r="BN635">
        <f t="shared" si="507"/>
        <v>-118.32110666489926</v>
      </c>
      <c r="BQ635" s="66">
        <f t="shared" si="520"/>
        <v>13.192710718736356</v>
      </c>
    </row>
    <row r="636" spans="1:69" ht="13" x14ac:dyDescent="0.3">
      <c r="A636">
        <f t="shared" si="563"/>
        <v>6000000</v>
      </c>
      <c r="B636">
        <f t="shared" si="508"/>
        <v>6000</v>
      </c>
      <c r="C636">
        <f t="shared" si="539"/>
        <v>2.1337894873375509</v>
      </c>
      <c r="D636">
        <f t="shared" si="540"/>
        <v>1.0830346188631241</v>
      </c>
      <c r="F636">
        <f t="shared" si="541"/>
        <v>2.0679217017343458E-6</v>
      </c>
      <c r="G636">
        <f t="shared" si="542"/>
        <v>4.4832182515463663E-4</v>
      </c>
      <c r="H636">
        <f t="shared" si="481"/>
        <v>-3.1411443281748457</v>
      </c>
      <c r="J636">
        <f t="shared" si="482"/>
        <v>15</v>
      </c>
      <c r="M636">
        <f t="shared" si="543"/>
        <v>1.8306296672849825E-4</v>
      </c>
      <c r="N636">
        <f t="shared" si="484"/>
        <v>-1.5707963250000001</v>
      </c>
      <c r="O636">
        <f t="shared" si="544"/>
        <v>2066.2131615229996</v>
      </c>
      <c r="P636">
        <f t="shared" si="486"/>
        <v>1.5703123496052915</v>
      </c>
      <c r="Q636">
        <f t="shared" si="545"/>
        <v>793.60840244688211</v>
      </c>
      <c r="R636">
        <f t="shared" si="488"/>
        <v>1.5695362591575768</v>
      </c>
      <c r="S636">
        <f t="shared" si="546"/>
        <v>0.46072130445431136</v>
      </c>
      <c r="T636">
        <f t="shared" si="490"/>
        <v>-1.0919886032056585</v>
      </c>
      <c r="U636">
        <f t="shared" si="547"/>
        <v>3.3375823718845891E-2</v>
      </c>
      <c r="V636">
        <f t="shared" si="492"/>
        <v>-1.537414303492469</v>
      </c>
      <c r="X636">
        <f t="shared" si="548"/>
        <v>-70.299418271171888</v>
      </c>
      <c r="Y636">
        <f t="shared" si="549"/>
        <v>-178.67461582088191</v>
      </c>
      <c r="Z636">
        <f t="shared" si="510"/>
        <v>1.3253841791180889</v>
      </c>
      <c r="AC636">
        <v>1</v>
      </c>
      <c r="AD636">
        <f t="shared" si="550"/>
        <v>2066.2129195344</v>
      </c>
      <c r="AE636">
        <f t="shared" si="551"/>
        <v>-7.7894391856131771</v>
      </c>
      <c r="AF636">
        <f t="shared" si="552"/>
        <v>0.26012387141999999</v>
      </c>
      <c r="AG636">
        <f t="shared" si="553"/>
        <v>8.7200439056059036</v>
      </c>
      <c r="AH636">
        <f t="shared" si="554"/>
        <v>-264.96703790521343</v>
      </c>
      <c r="AJ636">
        <f t="shared" si="497"/>
        <v>21000</v>
      </c>
      <c r="AK636">
        <f t="shared" si="555"/>
        <v>40454.916872580005</v>
      </c>
      <c r="AL636">
        <v>11</v>
      </c>
      <c r="AM636">
        <f t="shared" si="556"/>
        <v>793.60777241298001</v>
      </c>
      <c r="AN636">
        <f t="shared" si="557"/>
        <v>51.33287177002191</v>
      </c>
      <c r="AO636">
        <f t="shared" si="558"/>
        <v>-25.749922217112001</v>
      </c>
      <c r="AQ636">
        <f t="shared" si="559"/>
        <v>6.9444443962191359E-5</v>
      </c>
      <c r="AR636">
        <f t="shared" si="560"/>
        <v>-0.8333333275462963</v>
      </c>
      <c r="AT636">
        <f t="shared" si="561"/>
        <v>-220.80525782903678</v>
      </c>
      <c r="AU636">
        <f t="shared" si="562"/>
        <v>-7.2851036928240056</v>
      </c>
      <c r="AV636">
        <f t="shared" si="511"/>
        <v>-3.1086112741438301</v>
      </c>
      <c r="AW636">
        <f t="shared" si="512"/>
        <v>34.348041612772356</v>
      </c>
      <c r="AX636">
        <f t="shared" si="513"/>
        <v>-342.71351411088892</v>
      </c>
      <c r="AY636">
        <f t="shared" si="521"/>
        <v>-1.470906121297753</v>
      </c>
      <c r="BA636">
        <f t="shared" si="502"/>
        <v>0.64142238201266055</v>
      </c>
      <c r="BB636">
        <f t="shared" si="514"/>
        <v>-3.8571177944503763</v>
      </c>
      <c r="BC636">
        <f t="shared" si="515"/>
        <v>-1.6377051528460771</v>
      </c>
      <c r="BD636">
        <f t="shared" si="503"/>
        <v>-273.83359345212813</v>
      </c>
      <c r="BF636">
        <f t="shared" si="504"/>
        <v>-87.441579372112841</v>
      </c>
      <c r="BG636">
        <f t="shared" si="505"/>
        <v>-211.75459370533085</v>
      </c>
      <c r="BH636">
        <f t="shared" si="516"/>
        <v>-31.754593705330848</v>
      </c>
      <c r="BI636">
        <f t="shared" si="517"/>
        <v>-31.754593705330848</v>
      </c>
      <c r="BJ636">
        <f t="shared" si="506"/>
        <v>0</v>
      </c>
      <c r="BK636">
        <f t="shared" si="518"/>
        <v>0</v>
      </c>
      <c r="BM636">
        <f t="shared" si="519"/>
        <v>-83.584461577662466</v>
      </c>
      <c r="BN636">
        <f t="shared" si="507"/>
        <v>-117.92100025320272</v>
      </c>
      <c r="BQ636" s="66">
        <f t="shared" si="520"/>
        <v>13.04484300583476</v>
      </c>
    </row>
    <row r="637" spans="1:69" ht="13" x14ac:dyDescent="0.3">
      <c r="A637">
        <f t="shared" si="563"/>
        <v>6100000</v>
      </c>
      <c r="B637">
        <f t="shared" si="508"/>
        <v>6100</v>
      </c>
      <c r="C637">
        <f t="shared" si="539"/>
        <v>2.1615919571585454</v>
      </c>
      <c r="D637">
        <f t="shared" si="540"/>
        <v>1.0898458864672291</v>
      </c>
      <c r="F637">
        <f t="shared" si="541"/>
        <v>2.0006766045310219E-6</v>
      </c>
      <c r="G637">
        <f t="shared" si="542"/>
        <v>4.4097225807800572E-4</v>
      </c>
      <c r="H637">
        <f t="shared" si="481"/>
        <v>-3.1411516777419224</v>
      </c>
      <c r="J637">
        <f t="shared" si="482"/>
        <v>15</v>
      </c>
      <c r="M637">
        <f t="shared" si="543"/>
        <v>1.8006193448704745E-4</v>
      </c>
      <c r="N637">
        <f t="shared" si="484"/>
        <v>-1.5707963250000001</v>
      </c>
      <c r="O637">
        <f t="shared" si="544"/>
        <v>2100.650039548214</v>
      </c>
      <c r="P637">
        <f t="shared" si="486"/>
        <v>1.5703202836563714</v>
      </c>
      <c r="Q637">
        <f t="shared" si="545"/>
        <v>806.83518832534855</v>
      </c>
      <c r="R637">
        <f t="shared" si="488"/>
        <v>1.5695569159827594</v>
      </c>
      <c r="S637">
        <f t="shared" si="546"/>
        <v>0.45474062242436264</v>
      </c>
      <c r="T637">
        <f t="shared" si="490"/>
        <v>-1.0987153656416322</v>
      </c>
      <c r="U637">
        <f t="shared" si="547"/>
        <v>3.282927366770752E-2</v>
      </c>
      <c r="V637">
        <f t="shared" si="492"/>
        <v>-1.5379611532457262</v>
      </c>
      <c r="X637">
        <f t="shared" si="548"/>
        <v>-70.587453128089606</v>
      </c>
      <c r="Y637">
        <f t="shared" si="549"/>
        <v>-178.69988917695159</v>
      </c>
      <c r="Z637">
        <f t="shared" si="510"/>
        <v>1.3001108230484135</v>
      </c>
      <c r="AC637">
        <v>1</v>
      </c>
      <c r="AD637">
        <f t="shared" si="550"/>
        <v>2100.6498015266402</v>
      </c>
      <c r="AE637">
        <f t="shared" si="551"/>
        <v>-8.0512508915740639</v>
      </c>
      <c r="AF637">
        <f t="shared" si="552"/>
        <v>0.26445926927699998</v>
      </c>
      <c r="AG637">
        <f t="shared" si="553"/>
        <v>8.4367899041425343</v>
      </c>
      <c r="AH637">
        <f t="shared" si="554"/>
        <v>-260.63262001059002</v>
      </c>
      <c r="AJ637">
        <f t="shared" si="497"/>
        <v>21000</v>
      </c>
      <c r="AK637">
        <f t="shared" si="555"/>
        <v>41129.165487122998</v>
      </c>
      <c r="AL637">
        <v>12</v>
      </c>
      <c r="AM637">
        <f t="shared" si="556"/>
        <v>806.83456861986303</v>
      </c>
      <c r="AN637">
        <f t="shared" si="557"/>
        <v>51.35170674946135</v>
      </c>
      <c r="AO637">
        <f t="shared" si="558"/>
        <v>-25.263889664363404</v>
      </c>
      <c r="AQ637">
        <f t="shared" si="559"/>
        <v>6.7186239806596079E-5</v>
      </c>
      <c r="AR637">
        <f t="shared" si="560"/>
        <v>-0.81967212564047209</v>
      </c>
      <c r="AT637">
        <f t="shared" si="561"/>
        <v>-213.63272681913605</v>
      </c>
      <c r="AU637">
        <f t="shared" si="562"/>
        <v>-6.932912440020039</v>
      </c>
      <c r="AV637">
        <f t="shared" si="511"/>
        <v>-3.1091515559662168</v>
      </c>
      <c r="AW637">
        <f t="shared" si="512"/>
        <v>34.982940509341489</v>
      </c>
      <c r="AX637">
        <f t="shared" si="513"/>
        <v>-337.0544870215582</v>
      </c>
      <c r="AY637">
        <f t="shared" si="521"/>
        <v>-1.4673764619041725</v>
      </c>
      <c r="BA637">
        <f t="shared" si="502"/>
        <v>0.63076785838339899</v>
      </c>
      <c r="BB637">
        <f t="shared" si="514"/>
        <v>-4.002608896665202</v>
      </c>
      <c r="BC637">
        <f t="shared" si="515"/>
        <v>-1.6417750940620444</v>
      </c>
      <c r="BD637">
        <f t="shared" si="503"/>
        <v>-274.06678390693583</v>
      </c>
      <c r="BF637">
        <f t="shared" si="504"/>
        <v>-87.761771527859693</v>
      </c>
      <c r="BG637">
        <f t="shared" si="505"/>
        <v>-211.59794837201846</v>
      </c>
      <c r="BH637">
        <f t="shared" si="516"/>
        <v>-31.597948372018465</v>
      </c>
      <c r="BI637">
        <f t="shared" si="517"/>
        <v>-31.597948372018465</v>
      </c>
      <c r="BJ637">
        <f t="shared" si="506"/>
        <v>0</v>
      </c>
      <c r="BK637">
        <f t="shared" si="518"/>
        <v>0</v>
      </c>
      <c r="BM637">
        <f t="shared" si="519"/>
        <v>-83.759162631194485</v>
      </c>
      <c r="BN637">
        <f t="shared" si="507"/>
        <v>-117.53116446508263</v>
      </c>
      <c r="BQ637" s="66">
        <f t="shared" si="520"/>
        <v>12.899351903619936</v>
      </c>
    </row>
    <row r="638" spans="1:69" ht="13" x14ac:dyDescent="0.3">
      <c r="A638">
        <f t="shared" si="563"/>
        <v>6200000</v>
      </c>
      <c r="B638">
        <f t="shared" si="508"/>
        <v>6200</v>
      </c>
      <c r="C638">
        <f t="shared" si="539"/>
        <v>2.1894921610064007</v>
      </c>
      <c r="D638">
        <f t="shared" si="540"/>
        <v>1.0964838666447898</v>
      </c>
      <c r="F638">
        <f t="shared" si="541"/>
        <v>1.9366589978542859E-6</v>
      </c>
      <c r="G638">
        <f t="shared" si="542"/>
        <v>4.3385977517781038E-4</v>
      </c>
      <c r="H638">
        <f t="shared" si="481"/>
        <v>-3.1411587902248224</v>
      </c>
      <c r="J638">
        <f t="shared" si="482"/>
        <v>15</v>
      </c>
      <c r="M638">
        <f t="shared" si="543"/>
        <v>1.7715770973725635E-4</v>
      </c>
      <c r="N638">
        <f t="shared" si="484"/>
        <v>-1.5707963250000001</v>
      </c>
      <c r="O638">
        <f t="shared" si="544"/>
        <v>2135.0869177013969</v>
      </c>
      <c r="P638">
        <f t="shared" si="486"/>
        <v>1.5703279617703769</v>
      </c>
      <c r="Q638">
        <f t="shared" si="545"/>
        <v>820.06197453698917</v>
      </c>
      <c r="R638">
        <f t="shared" si="488"/>
        <v>1.5695769064597498</v>
      </c>
      <c r="S638">
        <f t="shared" si="546"/>
        <v>0.44889368518568568</v>
      </c>
      <c r="T638">
        <f t="shared" si="490"/>
        <v>-1.1052694363907347</v>
      </c>
      <c r="U638">
        <f t="shared" si="547"/>
        <v>3.2300326214907728E-2</v>
      </c>
      <c r="V638">
        <f t="shared" si="492"/>
        <v>-1.5384903813934336</v>
      </c>
      <c r="X638">
        <f t="shared" si="548"/>
        <v>-70.87078985287539</v>
      </c>
      <c r="Y638">
        <f t="shared" si="549"/>
        <v>-178.72422628189344</v>
      </c>
      <c r="Z638">
        <f t="shared" si="510"/>
        <v>1.2757737181065636</v>
      </c>
      <c r="AC638">
        <v>1</v>
      </c>
      <c r="AD638">
        <f t="shared" si="550"/>
        <v>2135.0866835188799</v>
      </c>
      <c r="AE638">
        <f t="shared" si="551"/>
        <v>-8.3173900637491798</v>
      </c>
      <c r="AF638">
        <f t="shared" si="552"/>
        <v>0.26879466713400002</v>
      </c>
      <c r="AG638">
        <f t="shared" si="553"/>
        <v>8.16711183752947</v>
      </c>
      <c r="AH638">
        <f t="shared" si="554"/>
        <v>-256.43758331199808</v>
      </c>
      <c r="AJ638">
        <f t="shared" si="497"/>
        <v>21000</v>
      </c>
      <c r="AK638">
        <f t="shared" si="555"/>
        <v>41803.414101666007</v>
      </c>
      <c r="AL638">
        <v>13</v>
      </c>
      <c r="AM638">
        <f t="shared" si="556"/>
        <v>820.06136482674606</v>
      </c>
      <c r="AN638">
        <f t="shared" si="557"/>
        <v>51.368996994877044</v>
      </c>
      <c r="AO638">
        <f t="shared" si="558"/>
        <v>-24.793514133374853</v>
      </c>
      <c r="AQ638">
        <f t="shared" si="559"/>
        <v>6.5036419972447842E-5</v>
      </c>
      <c r="AR638">
        <f t="shared" si="560"/>
        <v>-0.80645160765835322</v>
      </c>
      <c r="AT638">
        <f t="shared" si="561"/>
        <v>-206.80397016626833</v>
      </c>
      <c r="AU638">
        <f t="shared" si="562"/>
        <v>-6.603058253666207</v>
      </c>
      <c r="AV638">
        <f t="shared" si="511"/>
        <v>-3.1096744280517346</v>
      </c>
      <c r="AW638">
        <f t="shared" si="512"/>
        <v>35.585712020551291</v>
      </c>
      <c r="AX638">
        <f t="shared" si="513"/>
        <v>-331.57627536995318</v>
      </c>
      <c r="AY638">
        <f t="shared" si="521"/>
        <v>-1.4638827040322555</v>
      </c>
      <c r="BA638">
        <f t="shared" si="502"/>
        <v>0.62045435177081409</v>
      </c>
      <c r="BB638">
        <f t="shared" si="514"/>
        <v>-4.1458033003333252</v>
      </c>
      <c r="BC638">
        <f t="shared" si="515"/>
        <v>-1.645791724019479</v>
      </c>
      <c r="BD638">
        <f t="shared" si="503"/>
        <v>-274.29691985162566</v>
      </c>
      <c r="BF638">
        <f t="shared" si="504"/>
        <v>-88.076047067551798</v>
      </c>
      <c r="BG638">
        <f t="shared" si="505"/>
        <v>-211.44816358286045</v>
      </c>
      <c r="BH638">
        <f t="shared" si="516"/>
        <v>-31.448163582860445</v>
      </c>
      <c r="BI638">
        <f t="shared" si="517"/>
        <v>-31.448163582860445</v>
      </c>
      <c r="BJ638">
        <f t="shared" si="506"/>
        <v>0</v>
      </c>
      <c r="BK638">
        <f t="shared" si="518"/>
        <v>0</v>
      </c>
      <c r="BM638">
        <f t="shared" si="519"/>
        <v>-83.930243767218471</v>
      </c>
      <c r="BN638">
        <f t="shared" si="507"/>
        <v>-117.1512437312348</v>
      </c>
      <c r="BQ638" s="66">
        <f t="shared" si="520"/>
        <v>12.756157499951811</v>
      </c>
    </row>
    <row r="639" spans="1:69" ht="13" x14ac:dyDescent="0.3">
      <c r="A639">
        <f t="shared" si="563"/>
        <v>6300000</v>
      </c>
      <c r="B639">
        <f t="shared" si="508"/>
        <v>6300</v>
      </c>
      <c r="C639">
        <f t="shared" si="539"/>
        <v>2.2174864098433962</v>
      </c>
      <c r="D639">
        <f t="shared" si="540"/>
        <v>1.1029545260610725</v>
      </c>
      <c r="F639">
        <f t="shared" si="541"/>
        <v>1.8756655962877397E-6</v>
      </c>
      <c r="G639">
        <f t="shared" si="542"/>
        <v>4.2697308664659705E-4</v>
      </c>
      <c r="H639">
        <f t="shared" si="481"/>
        <v>-3.1411656769133538</v>
      </c>
      <c r="J639">
        <f t="shared" si="482"/>
        <v>15</v>
      </c>
      <c r="M639">
        <f t="shared" si="543"/>
        <v>1.7434568259856975E-4</v>
      </c>
      <c r="N639">
        <f t="shared" si="484"/>
        <v>-1.5707963250000001</v>
      </c>
      <c r="O639">
        <f t="shared" si="544"/>
        <v>2169.523795976454</v>
      </c>
      <c r="P639">
        <f t="shared" si="486"/>
        <v>1.5703353961347839</v>
      </c>
      <c r="Q639">
        <f t="shared" si="545"/>
        <v>833.28876106593884</v>
      </c>
      <c r="R639">
        <f t="shared" si="488"/>
        <v>1.569596262319352</v>
      </c>
      <c r="S639">
        <f t="shared" si="546"/>
        <v>0.44317687832133879</v>
      </c>
      <c r="T639">
        <f t="shared" si="490"/>
        <v>-1.1116568392913666</v>
      </c>
      <c r="U639">
        <f t="shared" si="547"/>
        <v>3.1788144877848201E-2</v>
      </c>
      <c r="V639">
        <f t="shared" si="492"/>
        <v>-1.5390028259011623</v>
      </c>
      <c r="X639">
        <f t="shared" si="548"/>
        <v>-71.149578884100691</v>
      </c>
      <c r="Y639">
        <f t="shared" si="549"/>
        <v>-178.74767655390374</v>
      </c>
      <c r="Z639">
        <f t="shared" si="510"/>
        <v>1.2523234460962556</v>
      </c>
      <c r="AC639">
        <v>1</v>
      </c>
      <c r="AD639">
        <f t="shared" si="550"/>
        <v>2169.5235655111205</v>
      </c>
      <c r="AE639">
        <f t="shared" si="551"/>
        <v>-8.5878567021385255</v>
      </c>
      <c r="AF639">
        <f t="shared" si="552"/>
        <v>0.27313006499100001</v>
      </c>
      <c r="AG639">
        <f t="shared" si="553"/>
        <v>7.9101560840621898</v>
      </c>
      <c r="AH639">
        <f t="shared" si="554"/>
        <v>-252.37531775839722</v>
      </c>
      <c r="AJ639">
        <f t="shared" si="497"/>
        <v>21000</v>
      </c>
      <c r="AK639">
        <f t="shared" si="555"/>
        <v>42477.662716209001</v>
      </c>
      <c r="AL639">
        <v>14</v>
      </c>
      <c r="AM639">
        <f t="shared" si="556"/>
        <v>833.28816103362897</v>
      </c>
      <c r="AN639">
        <f t="shared" si="557"/>
        <v>51.384859967349264</v>
      </c>
      <c r="AO639">
        <f t="shared" si="558"/>
        <v>-24.338053639572404</v>
      </c>
      <c r="AQ639">
        <f t="shared" si="559"/>
        <v>6.2988157829502655E-5</v>
      </c>
      <c r="AR639">
        <f t="shared" si="560"/>
        <v>-0.79365078865173355</v>
      </c>
      <c r="AT639">
        <f t="shared" si="561"/>
        <v>-200.29737172902392</v>
      </c>
      <c r="AU639">
        <f t="shared" si="562"/>
        <v>-6.2937982708215019</v>
      </c>
      <c r="AV639">
        <f t="shared" si="511"/>
        <v>-3.1101807182769732</v>
      </c>
      <c r="AW639">
        <f t="shared" si="512"/>
        <v>36.158429384980565</v>
      </c>
      <c r="AX639">
        <f t="shared" si="513"/>
        <v>-326.27039782184698</v>
      </c>
      <c r="AY639">
        <f t="shared" si="521"/>
        <v>-1.4604232123304048</v>
      </c>
      <c r="BA639">
        <f t="shared" si="502"/>
        <v>0.61046553449812424</v>
      </c>
      <c r="BB639">
        <f t="shared" si="514"/>
        <v>-4.2867770062020369</v>
      </c>
      <c r="BC639">
        <f t="shared" si="515"/>
        <v>-1.6497575059465683</v>
      </c>
      <c r="BD639">
        <f t="shared" si="503"/>
        <v>-274.52414241877676</v>
      </c>
      <c r="BF639">
        <f t="shared" si="504"/>
        <v>-88.384624235520519</v>
      </c>
      <c r="BG639">
        <f t="shared" si="505"/>
        <v>-211.30503925255647</v>
      </c>
      <c r="BH639">
        <f t="shared" si="516"/>
        <v>-31.305039252556469</v>
      </c>
      <c r="BI639">
        <f t="shared" si="517"/>
        <v>-31.305039252556469</v>
      </c>
      <c r="BJ639">
        <f t="shared" si="506"/>
        <v>0</v>
      </c>
      <c r="BK639">
        <f t="shared" si="518"/>
        <v>0</v>
      </c>
      <c r="BM639">
        <f t="shared" si="519"/>
        <v>-84.097847229318489</v>
      </c>
      <c r="BN639">
        <f t="shared" si="507"/>
        <v>-116.78089683377971</v>
      </c>
      <c r="BQ639" s="66">
        <f t="shared" si="520"/>
        <v>12.615183794083098</v>
      </c>
    </row>
    <row r="640" spans="1:69" ht="13" x14ac:dyDescent="0.3">
      <c r="A640">
        <f t="shared" si="563"/>
        <v>6400000</v>
      </c>
      <c r="B640">
        <f t="shared" si="508"/>
        <v>6400</v>
      </c>
      <c r="C640">
        <f t="shared" si="539"/>
        <v>2.2455711864573646</v>
      </c>
      <c r="D640">
        <f t="shared" si="540"/>
        <v>1.1092635904441681</v>
      </c>
      <c r="F640">
        <f t="shared" si="541"/>
        <v>1.8175088710599725E-6</v>
      </c>
      <c r="G640">
        <f t="shared" si="542"/>
        <v>4.2030160829634519E-4</v>
      </c>
      <c r="H640">
        <f t="shared" si="481"/>
        <v>-3.141172348391704</v>
      </c>
      <c r="J640">
        <f t="shared" si="482"/>
        <v>15</v>
      </c>
      <c r="M640">
        <f t="shared" si="543"/>
        <v>1.7162153130796711E-4</v>
      </c>
      <c r="N640">
        <f t="shared" si="484"/>
        <v>-1.5707963250000001</v>
      </c>
      <c r="O640">
        <f t="shared" si="544"/>
        <v>2203.9606743676736</v>
      </c>
      <c r="P640">
        <f t="shared" si="486"/>
        <v>1.570342598175352</v>
      </c>
      <c r="Q640">
        <f t="shared" si="545"/>
        <v>846.51554789732359</v>
      </c>
      <c r="R640">
        <f t="shared" si="488"/>
        <v>1.5696150133091993</v>
      </c>
      <c r="S640">
        <f t="shared" si="546"/>
        <v>0.43758666636389609</v>
      </c>
      <c r="T640">
        <f t="shared" si="490"/>
        <v>-1.1178833501308743</v>
      </c>
      <c r="U640">
        <f t="shared" si="547"/>
        <v>3.1291945321809782E-2</v>
      </c>
      <c r="V640">
        <f t="shared" si="492"/>
        <v>-1.539499272449921</v>
      </c>
      <c r="X640">
        <f t="shared" si="548"/>
        <v>-71.423963574386903</v>
      </c>
      <c r="Y640">
        <f t="shared" si="549"/>
        <v>-178.77028612474007</v>
      </c>
      <c r="Z640">
        <f t="shared" si="510"/>
        <v>1.2297138752599324</v>
      </c>
      <c r="AC640">
        <v>1</v>
      </c>
      <c r="AD640">
        <f t="shared" si="550"/>
        <v>2203.9604475033602</v>
      </c>
      <c r="AE640">
        <f t="shared" si="551"/>
        <v>-8.8626508067421028</v>
      </c>
      <c r="AF640">
        <f t="shared" si="552"/>
        <v>0.277465462848</v>
      </c>
      <c r="AG640">
        <f t="shared" si="553"/>
        <v>7.6651350531675337</v>
      </c>
      <c r="AH640">
        <f t="shared" si="554"/>
        <v>-248.43962435968197</v>
      </c>
      <c r="AJ640">
        <f t="shared" si="497"/>
        <v>21000</v>
      </c>
      <c r="AK640">
        <f t="shared" si="555"/>
        <v>43151.911330752002</v>
      </c>
      <c r="AL640">
        <v>15</v>
      </c>
      <c r="AM640">
        <f t="shared" si="556"/>
        <v>846.51495724051199</v>
      </c>
      <c r="AN640">
        <f t="shared" si="557"/>
        <v>51.399403095623214</v>
      </c>
      <c r="AO640">
        <f t="shared" si="558"/>
        <v>-23.896812195154375</v>
      </c>
      <c r="AQ640">
        <f t="shared" si="559"/>
        <v>6.1035155877470973E-5</v>
      </c>
      <c r="AR640">
        <f t="shared" si="560"/>
        <v>-0.78124999523162841</v>
      </c>
      <c r="AT640">
        <f t="shared" si="561"/>
        <v>-194.09298750363629</v>
      </c>
      <c r="AU640">
        <f t="shared" si="562"/>
        <v>-6.0035502749358578</v>
      </c>
      <c r="AV640">
        <f t="shared" si="511"/>
        <v>-3.1106712028645211</v>
      </c>
      <c r="AW640">
        <f t="shared" si="512"/>
        <v>36.703003120003302</v>
      </c>
      <c r="AX640">
        <f t="shared" si="513"/>
        <v>-321.1288923173276</v>
      </c>
      <c r="AY640">
        <f t="shared" si="521"/>
        <v>-1.4569964558369539</v>
      </c>
      <c r="BA640">
        <f t="shared" si="502"/>
        <v>0.600786108431277</v>
      </c>
      <c r="BB640">
        <f t="shared" si="514"/>
        <v>-4.4256023556766184</v>
      </c>
      <c r="BC640">
        <f t="shared" si="515"/>
        <v>-1.6536747470275672</v>
      </c>
      <c r="BD640">
        <f t="shared" si="503"/>
        <v>-274.74858380030969</v>
      </c>
      <c r="BF640">
        <f t="shared" si="504"/>
        <v>-88.687709846771014</v>
      </c>
      <c r="BG640">
        <f t="shared" si="505"/>
        <v>-211.16838011940169</v>
      </c>
      <c r="BH640">
        <f t="shared" si="516"/>
        <v>-31.168380119401689</v>
      </c>
      <c r="BI640">
        <f t="shared" si="517"/>
        <v>-31.168380119401689</v>
      </c>
      <c r="BJ640">
        <f t="shared" si="506"/>
        <v>0</v>
      </c>
      <c r="BK640">
        <f t="shared" si="518"/>
        <v>0</v>
      </c>
      <c r="BM640">
        <f t="shared" si="519"/>
        <v>-84.262107491094412</v>
      </c>
      <c r="BN640">
        <f t="shared" si="507"/>
        <v>-116.41979631909199</v>
      </c>
      <c r="BQ640" s="66">
        <f t="shared" si="520"/>
        <v>12.47635844460852</v>
      </c>
    </row>
    <row r="641" spans="1:69" ht="13" x14ac:dyDescent="0.3">
      <c r="A641">
        <f t="shared" si="563"/>
        <v>6500000</v>
      </c>
      <c r="B641">
        <f t="shared" si="508"/>
        <v>6500</v>
      </c>
      <c r="C641">
        <f t="shared" si="539"/>
        <v>2.2737431363130325</v>
      </c>
      <c r="D641">
        <f t="shared" si="540"/>
        <v>1.1154165545890451</v>
      </c>
      <c r="F641">
        <f t="shared" si="541"/>
        <v>1.7620156068876349E-6</v>
      </c>
      <c r="G641">
        <f t="shared" si="542"/>
        <v>4.138354072794667E-4</v>
      </c>
      <c r="H641">
        <f t="shared" si="481"/>
        <v>-3.1411788145927209</v>
      </c>
      <c r="J641">
        <f t="shared" si="482"/>
        <v>15</v>
      </c>
      <c r="M641">
        <f t="shared" si="543"/>
        <v>1.689812000570753E-4</v>
      </c>
      <c r="N641">
        <f t="shared" si="484"/>
        <v>-1.5707963250000001</v>
      </c>
      <c r="O641">
        <f t="shared" si="544"/>
        <v>2238.3975528696938</v>
      </c>
      <c r="P641">
        <f t="shared" si="486"/>
        <v>1.5703495786147166</v>
      </c>
      <c r="Q641">
        <f t="shared" si="545"/>
        <v>859.74233501718504</v>
      </c>
      <c r="R641">
        <f t="shared" si="488"/>
        <v>1.5696331873463056</v>
      </c>
      <c r="S641">
        <f t="shared" si="546"/>
        <v>0.43211959515107456</v>
      </c>
      <c r="T641">
        <f t="shared" si="490"/>
        <v>-1.1239545073100026</v>
      </c>
      <c r="U641">
        <f t="shared" si="547"/>
        <v>3.081099136048613E-2</v>
      </c>
      <c r="V641">
        <f t="shared" si="492"/>
        <v>-1.5399804584500947</v>
      </c>
      <c r="X641">
        <f t="shared" si="548"/>
        <v>-71.69408062696472</v>
      </c>
      <c r="Y641">
        <f t="shared" si="549"/>
        <v>-178.79209809855365</v>
      </c>
      <c r="Z641">
        <f t="shared" si="510"/>
        <v>1.2079019014463483</v>
      </c>
      <c r="AC641">
        <v>1</v>
      </c>
      <c r="AD641">
        <f t="shared" si="550"/>
        <v>2238.3973294956004</v>
      </c>
      <c r="AE641">
        <f t="shared" si="551"/>
        <v>-9.1417723775599082</v>
      </c>
      <c r="AF641">
        <f t="shared" si="552"/>
        <v>0.28180086070500004</v>
      </c>
      <c r="AG641">
        <f t="shared" si="553"/>
        <v>7.4313211514578583</v>
      </c>
      <c r="AH641">
        <f t="shared" si="554"/>
        <v>-244.62468375261071</v>
      </c>
      <c r="AJ641">
        <f t="shared" si="497"/>
        <v>21000</v>
      </c>
      <c r="AK641">
        <f t="shared" si="555"/>
        <v>43826.159945295003</v>
      </c>
      <c r="AL641">
        <v>16</v>
      </c>
      <c r="AM641">
        <f t="shared" si="556"/>
        <v>859.74175344739501</v>
      </c>
      <c r="AN641">
        <f t="shared" si="557"/>
        <v>51.412724750231732</v>
      </c>
      <c r="AO641">
        <f t="shared" si="558"/>
        <v>-23.469136311094477</v>
      </c>
      <c r="AQ641">
        <f t="shared" si="559"/>
        <v>5.9171597283008303E-5</v>
      </c>
      <c r="AR641">
        <f t="shared" si="560"/>
        <v>-0.76923076467910789</v>
      </c>
      <c r="AT641">
        <f t="shared" si="561"/>
        <v>-188.17239281926322</v>
      </c>
      <c r="AU641">
        <f t="shared" si="562"/>
        <v>-5.7308756851844498</v>
      </c>
      <c r="AV641">
        <f t="shared" si="511"/>
        <v>-3.1111466103484</v>
      </c>
      <c r="AW641">
        <f t="shared" si="512"/>
        <v>37.221196017687028</v>
      </c>
      <c r="AX641">
        <f t="shared" si="513"/>
        <v>-316.14427715848524</v>
      </c>
      <c r="AY641">
        <f t="shared" si="521"/>
        <v>-1.4536009999074795</v>
      </c>
      <c r="BA641">
        <f t="shared" si="502"/>
        <v>0.59140172488955756</v>
      </c>
      <c r="BB641">
        <f t="shared" si="514"/>
        <v>-4.5623482627883414</v>
      </c>
      <c r="BC641">
        <f t="shared" si="515"/>
        <v>-1.6575456104409205</v>
      </c>
      <c r="BD641">
        <f t="shared" si="503"/>
        <v>-274.97036793721986</v>
      </c>
      <c r="BF641">
        <f t="shared" si="504"/>
        <v>-88.985500043752253</v>
      </c>
      <c r="BG641">
        <f t="shared" si="505"/>
        <v>-211.03799586494046</v>
      </c>
      <c r="BH641">
        <f t="shared" si="516"/>
        <v>-31.037995864940456</v>
      </c>
      <c r="BI641">
        <f t="shared" si="517"/>
        <v>-31.037995864940456</v>
      </c>
      <c r="BJ641">
        <f t="shared" si="506"/>
        <v>0</v>
      </c>
      <c r="BK641">
        <f t="shared" si="518"/>
        <v>0</v>
      </c>
      <c r="BM641">
        <f t="shared" si="519"/>
        <v>-84.42315178096392</v>
      </c>
      <c r="BN641">
        <f t="shared" si="507"/>
        <v>-116.06762792772055</v>
      </c>
      <c r="BQ641" s="66">
        <f t="shared" si="520"/>
        <v>12.339612537496796</v>
      </c>
    </row>
    <row r="642" spans="1:69" ht="13" x14ac:dyDescent="0.3">
      <c r="A642">
        <f t="shared" si="563"/>
        <v>6600000</v>
      </c>
      <c r="B642">
        <f t="shared" si="508"/>
        <v>6600</v>
      </c>
      <c r="C642">
        <f t="shared" si="539"/>
        <v>2.3019990589245301</v>
      </c>
      <c r="D642">
        <f t="shared" si="540"/>
        <v>1.1214186920441729</v>
      </c>
      <c r="F642">
        <f t="shared" si="541"/>
        <v>1.7090256107062751E-6</v>
      </c>
      <c r="G642">
        <f t="shared" si="542"/>
        <v>4.0756515274431967E-4</v>
      </c>
      <c r="H642">
        <f t="shared" si="481"/>
        <v>-3.141185084847256</v>
      </c>
      <c r="J642">
        <f t="shared" si="482"/>
        <v>15</v>
      </c>
      <c r="M642">
        <f t="shared" si="543"/>
        <v>1.6642087884408932E-4</v>
      </c>
      <c r="N642">
        <f t="shared" si="484"/>
        <v>-1.5707963250000001</v>
      </c>
      <c r="O642">
        <f t="shared" si="544"/>
        <v>2272.8344314774781</v>
      </c>
      <c r="P642">
        <f t="shared" si="486"/>
        <v>1.5703563475256572</v>
      </c>
      <c r="Q642">
        <f t="shared" si="545"/>
        <v>872.96912241241034</v>
      </c>
      <c r="R642">
        <f t="shared" si="488"/>
        <v>1.5696508106557487</v>
      </c>
      <c r="S642">
        <f t="shared" si="546"/>
        <v>0.42677229348890788</v>
      </c>
      <c r="T642">
        <f t="shared" si="490"/>
        <v>-1.1298756221327575</v>
      </c>
      <c r="U642">
        <f t="shared" si="547"/>
        <v>3.0344591318873161E-2</v>
      </c>
      <c r="V642">
        <f t="shared" si="492"/>
        <v>-1.5404470766913025</v>
      </c>
      <c r="X642">
        <f t="shared" si="548"/>
        <v>-71.960060499207799</v>
      </c>
      <c r="Y642">
        <f t="shared" si="549"/>
        <v>-178.81315278740311</v>
      </c>
      <c r="Z642">
        <f t="shared" si="510"/>
        <v>1.1868472125968879</v>
      </c>
      <c r="AC642">
        <v>1</v>
      </c>
      <c r="AD642">
        <f t="shared" si="550"/>
        <v>2272.8342114878401</v>
      </c>
      <c r="AE642">
        <f t="shared" si="551"/>
        <v>-9.4252214145919435</v>
      </c>
      <c r="AF642">
        <f t="shared" si="552"/>
        <v>0.28613625856199998</v>
      </c>
      <c r="AG642">
        <f t="shared" si="553"/>
        <v>7.2080413822113094</v>
      </c>
      <c r="AH642">
        <f t="shared" si="554"/>
        <v>-240.92502760514569</v>
      </c>
      <c r="AJ642">
        <f t="shared" si="497"/>
        <v>21000</v>
      </c>
      <c r="AK642">
        <f t="shared" si="555"/>
        <v>44500.408559838004</v>
      </c>
      <c r="AL642">
        <v>17</v>
      </c>
      <c r="AM642">
        <f t="shared" si="556"/>
        <v>872.96854965427792</v>
      </c>
      <c r="AN642">
        <f t="shared" si="557"/>
        <v>51.424915111122431</v>
      </c>
      <c r="AO642">
        <f t="shared" si="558"/>
        <v>-23.054411812523302</v>
      </c>
      <c r="AQ642">
        <f t="shared" si="559"/>
        <v>5.7392102517262957E-5</v>
      </c>
      <c r="AR642">
        <f t="shared" si="560"/>
        <v>-0.75757575322787107</v>
      </c>
      <c r="AT642">
        <f t="shared" si="561"/>
        <v>-182.51854557476389</v>
      </c>
      <c r="AU642">
        <f t="shared" si="562"/>
        <v>-5.4744645733096871</v>
      </c>
      <c r="AV642">
        <f t="shared" si="511"/>
        <v>-3.1116076251798259</v>
      </c>
      <c r="AW642">
        <f t="shared" si="512"/>
        <v>37.7146365591326</v>
      </c>
      <c r="AX642">
        <f t="shared" si="513"/>
        <v>-311.30951552357419</v>
      </c>
      <c r="AY642">
        <f t="shared" si="521"/>
        <v>-1.4502354988788799</v>
      </c>
      <c r="BA642">
        <f t="shared" si="502"/>
        <v>0.58229891193635841</v>
      </c>
      <c r="BB642">
        <f t="shared" si="514"/>
        <v>-4.6970804279778076</v>
      </c>
      <c r="BC642">
        <f t="shared" si="515"/>
        <v>-1.661372126300946</v>
      </c>
      <c r="BD642">
        <f t="shared" si="503"/>
        <v>-275.18961114648977</v>
      </c>
      <c r="BF642">
        <f t="shared" si="504"/>
        <v>-89.278180993535941</v>
      </c>
      <c r="BG642">
        <f t="shared" si="505"/>
        <v>-210.91370118870285</v>
      </c>
      <c r="BH642">
        <f t="shared" si="516"/>
        <v>-30.913701188702845</v>
      </c>
      <c r="BI642">
        <f t="shared" si="517"/>
        <v>-30.913701188702845</v>
      </c>
      <c r="BJ642">
        <f t="shared" si="506"/>
        <v>0</v>
      </c>
      <c r="BK642">
        <f t="shared" si="518"/>
        <v>0</v>
      </c>
      <c r="BM642">
        <f t="shared" si="519"/>
        <v>-84.581100565558131</v>
      </c>
      <c r="BN642">
        <f t="shared" si="507"/>
        <v>-115.72409004221312</v>
      </c>
      <c r="BQ642" s="66">
        <f t="shared" si="520"/>
        <v>12.204880372307329</v>
      </c>
    </row>
    <row r="643" spans="1:69" ht="13" x14ac:dyDescent="0.3">
      <c r="A643">
        <f t="shared" si="563"/>
        <v>6700000</v>
      </c>
      <c r="B643">
        <f t="shared" si="508"/>
        <v>6700</v>
      </c>
      <c r="C643">
        <f t="shared" si="539"/>
        <v>2.3303358997200219</v>
      </c>
      <c r="D643">
        <f t="shared" si="540"/>
        <v>1.1272750644717453</v>
      </c>
      <c r="F643">
        <f t="shared" si="541"/>
        <v>1.6583905542904822E-6</v>
      </c>
      <c r="G643">
        <f t="shared" si="542"/>
        <v>4.0148207090968388E-4</v>
      </c>
      <c r="H643">
        <f t="shared" si="481"/>
        <v>-3.1411911679290907</v>
      </c>
      <c r="J643">
        <f t="shared" si="482"/>
        <v>15</v>
      </c>
      <c r="M643">
        <f t="shared" si="543"/>
        <v>1.6393698512999843E-4</v>
      </c>
      <c r="N643">
        <f t="shared" si="484"/>
        <v>-1.5707963250000001</v>
      </c>
      <c r="O643">
        <f t="shared" si="544"/>
        <v>2307.2713101862914</v>
      </c>
      <c r="P643">
        <f t="shared" si="486"/>
        <v>1.5703629143795934</v>
      </c>
      <c r="Q643">
        <f t="shared" si="545"/>
        <v>886.19591007067004</v>
      </c>
      <c r="R643">
        <f t="shared" si="488"/>
        <v>1.5696679078969333</v>
      </c>
      <c r="S643">
        <f t="shared" si="546"/>
        <v>0.42154147421678689</v>
      </c>
      <c r="T643">
        <f t="shared" si="490"/>
        <v>-1.1356517887173578</v>
      </c>
      <c r="U643">
        <f t="shared" si="547"/>
        <v>2.9892094720799834E-2</v>
      </c>
      <c r="V643">
        <f t="shared" si="492"/>
        <v>-1.5408997786661174</v>
      </c>
      <c r="X643">
        <f t="shared" si="548"/>
        <v>-72.222027776091366</v>
      </c>
      <c r="Y643">
        <f t="shared" si="549"/>
        <v>-178.83348792580503</v>
      </c>
      <c r="Z643">
        <f t="shared" si="510"/>
        <v>1.1665120741949693</v>
      </c>
      <c r="AC643">
        <v>1</v>
      </c>
      <c r="AD643">
        <f t="shared" si="550"/>
        <v>2307.2710934800803</v>
      </c>
      <c r="AE643">
        <f t="shared" si="551"/>
        <v>-9.7129979178382087</v>
      </c>
      <c r="AF643">
        <f t="shared" si="552"/>
        <v>0.29047165641900002</v>
      </c>
      <c r="AG643">
        <f t="shared" si="553"/>
        <v>6.9946725034302082</v>
      </c>
      <c r="AH643">
        <f t="shared" si="554"/>
        <v>-237.33551256489619</v>
      </c>
      <c r="AJ643">
        <f t="shared" si="497"/>
        <v>21000</v>
      </c>
      <c r="AK643">
        <f t="shared" si="555"/>
        <v>45174.657174381005</v>
      </c>
      <c r="AL643">
        <v>18</v>
      </c>
      <c r="AM643">
        <f t="shared" si="556"/>
        <v>886.19534586116106</v>
      </c>
      <c r="AN643">
        <f t="shared" si="557"/>
        <v>51.436056941736851</v>
      </c>
      <c r="AO643">
        <f t="shared" si="558"/>
        <v>-22.652060935325341</v>
      </c>
      <c r="AQ643">
        <f t="shared" si="559"/>
        <v>5.5691690489576241E-5</v>
      </c>
      <c r="AR643">
        <f t="shared" si="560"/>
        <v>-0.7462686525603216</v>
      </c>
      <c r="AT643">
        <f t="shared" si="561"/>
        <v>-177.11566362138223</v>
      </c>
      <c r="AU643">
        <f t="shared" si="562"/>
        <v>-5.2331224401435428</v>
      </c>
      <c r="AV643">
        <f t="shared" si="511"/>
        <v>-3.1120548910107839</v>
      </c>
      <c r="AW643">
        <f t="shared" si="512"/>
        <v>38.184830934503076</v>
      </c>
      <c r="AX643">
        <f t="shared" si="513"/>
        <v>-306.61798306295049</v>
      </c>
      <c r="AY643">
        <f t="shared" si="521"/>
        <v>-1.4468986893929394</v>
      </c>
      <c r="BA643">
        <f t="shared" si="502"/>
        <v>0.57346500826686198</v>
      </c>
      <c r="BB643">
        <f t="shared" si="514"/>
        <v>-4.8298615353847634</v>
      </c>
      <c r="BC643">
        <f t="shared" si="515"/>
        <v>-1.6651562016178445</v>
      </c>
      <c r="BD643">
        <f t="shared" si="503"/>
        <v>-275.40642269175544</v>
      </c>
      <c r="BF643">
        <f t="shared" si="504"/>
        <v>-89.565929530794563</v>
      </c>
      <c r="BG643">
        <f t="shared" si="505"/>
        <v>-210.79531584514436</v>
      </c>
      <c r="BH643">
        <f t="shared" si="516"/>
        <v>-30.795315845144358</v>
      </c>
      <c r="BI643">
        <f t="shared" si="517"/>
        <v>-30.795315845144358</v>
      </c>
      <c r="BJ643">
        <f t="shared" si="506"/>
        <v>0</v>
      </c>
      <c r="BK643">
        <f t="shared" si="518"/>
        <v>0</v>
      </c>
      <c r="BM643">
        <f t="shared" si="519"/>
        <v>-84.736067995409812</v>
      </c>
      <c r="BN643">
        <f t="shared" si="507"/>
        <v>-115.38889315338898</v>
      </c>
      <c r="BQ643" s="66">
        <f t="shared" si="520"/>
        <v>12.072099264900375</v>
      </c>
    </row>
    <row r="644" spans="1:69" ht="13" x14ac:dyDescent="0.3">
      <c r="A644">
        <f t="shared" si="563"/>
        <v>6800000</v>
      </c>
      <c r="B644">
        <f t="shared" si="508"/>
        <v>6800</v>
      </c>
      <c r="C644">
        <f t="shared" si="539"/>
        <v>2.3587507423706588</v>
      </c>
      <c r="D644">
        <f t="shared" si="540"/>
        <v>1.1329905306764394</v>
      </c>
      <c r="F644">
        <f t="shared" si="541"/>
        <v>1.6099729351292111E-6</v>
      </c>
      <c r="G644">
        <f t="shared" si="542"/>
        <v>3.9557790410329883E-4</v>
      </c>
      <c r="H644">
        <f t="shared" si="481"/>
        <v>-3.1411970720958968</v>
      </c>
      <c r="J644">
        <f t="shared" si="482"/>
        <v>15</v>
      </c>
      <c r="M644">
        <f t="shared" si="543"/>
        <v>1.615261471133808E-4</v>
      </c>
      <c r="N644">
        <f t="shared" si="484"/>
        <v>-1.5707963250000001</v>
      </c>
      <c r="O644">
        <f t="shared" si="544"/>
        <v>2341.7081889916753</v>
      </c>
      <c r="P644">
        <f t="shared" si="486"/>
        <v>1.5703692880908025</v>
      </c>
      <c r="Q644">
        <f t="shared" si="545"/>
        <v>899.42269798035943</v>
      </c>
      <c r="R644">
        <f t="shared" si="488"/>
        <v>1.569684502278714</v>
      </c>
      <c r="S644">
        <f t="shared" si="546"/>
        <v>0.41642393475767497</v>
      </c>
      <c r="T644">
        <f t="shared" si="490"/>
        <v>-1.1412878935275359</v>
      </c>
      <c r="U644">
        <f t="shared" si="547"/>
        <v>2.9452889267804025E-2</v>
      </c>
      <c r="V644">
        <f t="shared" si="492"/>
        <v>-1.5413391776011385</v>
      </c>
      <c r="X644">
        <f t="shared" si="548"/>
        <v>-72.480101516223158</v>
      </c>
      <c r="Y644">
        <f t="shared" si="549"/>
        <v>-178.85313886641245</v>
      </c>
      <c r="Z644">
        <f t="shared" si="510"/>
        <v>1.1468611335875494</v>
      </c>
      <c r="AC644">
        <v>1</v>
      </c>
      <c r="AD644">
        <f t="shared" si="550"/>
        <v>2341.7079754723204</v>
      </c>
      <c r="AE644">
        <f t="shared" si="551"/>
        <v>-10.005101887298704</v>
      </c>
      <c r="AF644">
        <f t="shared" si="552"/>
        <v>0.29480705427600001</v>
      </c>
      <c r="AG644">
        <f t="shared" si="553"/>
        <v>6.790636679431203</v>
      </c>
      <c r="AH644">
        <f t="shared" si="554"/>
        <v>-233.85129649168428</v>
      </c>
      <c r="AJ644">
        <f t="shared" si="497"/>
        <v>21000</v>
      </c>
      <c r="AK644">
        <f t="shared" si="555"/>
        <v>45848.905788923999</v>
      </c>
      <c r="AL644">
        <v>19</v>
      </c>
      <c r="AM644">
        <f t="shared" si="556"/>
        <v>899.42214206804408</v>
      </c>
      <c r="AN644">
        <f t="shared" si="557"/>
        <v>51.446226280759916</v>
      </c>
      <c r="AO644">
        <f t="shared" si="558"/>
        <v>-22.261539675493996</v>
      </c>
      <c r="AQ644">
        <f t="shared" si="559"/>
        <v>5.4065743652326213E-5</v>
      </c>
      <c r="AR644">
        <f t="shared" si="560"/>
        <v>-0.73529411367163655</v>
      </c>
      <c r="AT644">
        <f t="shared" si="561"/>
        <v>-171.94911464399414</v>
      </c>
      <c r="AU644">
        <f t="shared" si="562"/>
        <v>-5.0057585227173549</v>
      </c>
      <c r="AV644">
        <f t="shared" si="511"/>
        <v>-3.1124890136884971</v>
      </c>
      <c r="AW644">
        <f t="shared" si="512"/>
        <v>38.63317383147151</v>
      </c>
      <c r="AX644">
        <f t="shared" si="513"/>
        <v>-302.063438270885</v>
      </c>
      <c r="AY644">
        <f t="shared" si="521"/>
        <v>-1.4435893843112164</v>
      </c>
      <c r="BA644">
        <f t="shared" si="502"/>
        <v>0.56488810300316739</v>
      </c>
      <c r="BB644">
        <f t="shared" si="514"/>
        <v>-4.9607514351542736</v>
      </c>
      <c r="BC644">
        <f t="shared" si="515"/>
        <v>-1.6688996293772806</v>
      </c>
      <c r="BD644">
        <f t="shared" si="503"/>
        <v>-275.62090530352827</v>
      </c>
      <c r="BF644">
        <f t="shared" si="504"/>
        <v>-89.848913751420099</v>
      </c>
      <c r="BG644">
        <f t="shared" si="505"/>
        <v>-210.68266464890434</v>
      </c>
      <c r="BH644">
        <f t="shared" si="516"/>
        <v>-30.682664648904336</v>
      </c>
      <c r="BI644">
        <f t="shared" si="517"/>
        <v>-30.682664648904336</v>
      </c>
      <c r="BJ644">
        <f t="shared" si="506"/>
        <v>0</v>
      </c>
      <c r="BK644">
        <f t="shared" si="518"/>
        <v>0</v>
      </c>
      <c r="BM644">
        <f t="shared" si="519"/>
        <v>-84.888162316265806</v>
      </c>
      <c r="BN644">
        <f t="shared" si="507"/>
        <v>-115.06175934537606</v>
      </c>
      <c r="BQ644" s="66">
        <f t="shared" si="520"/>
        <v>11.941209365130863</v>
      </c>
    </row>
    <row r="645" spans="1:69" ht="13" x14ac:dyDescent="0.3">
      <c r="A645">
        <f t="shared" si="563"/>
        <v>6900000</v>
      </c>
      <c r="B645">
        <f t="shared" si="508"/>
        <v>6900</v>
      </c>
      <c r="C645">
        <f t="shared" si="539"/>
        <v>2.3872408015573225</v>
      </c>
      <c r="D645">
        <f t="shared" si="540"/>
        <v>1.1385697553008916</v>
      </c>
      <c r="F645">
        <f t="shared" si="541"/>
        <v>1.5636451419463648E-6</v>
      </c>
      <c r="G645">
        <f t="shared" si="542"/>
        <v>3.8984487336230845E-4</v>
      </c>
      <c r="H645">
        <f t="shared" si="481"/>
        <v>-3.1412028051266381</v>
      </c>
      <c r="J645">
        <f t="shared" si="482"/>
        <v>15</v>
      </c>
      <c r="M645">
        <f t="shared" si="543"/>
        <v>1.5918518845956368E-4</v>
      </c>
      <c r="N645">
        <f t="shared" si="484"/>
        <v>-1.5707963250000001</v>
      </c>
      <c r="O645">
        <f t="shared" si="544"/>
        <v>2376.1450678894321</v>
      </c>
      <c r="P645">
        <f t="shared" si="486"/>
        <v>1.5703754770567924</v>
      </c>
      <c r="Q645">
        <f t="shared" si="545"/>
        <v>912.64948613054707</v>
      </c>
      <c r="R645">
        <f t="shared" si="488"/>
        <v>1.5697006156645075</v>
      </c>
      <c r="S645">
        <f t="shared" si="546"/>
        <v>0.41141655722697507</v>
      </c>
      <c r="T645">
        <f t="shared" si="490"/>
        <v>-1.1467886245263854</v>
      </c>
      <c r="U645">
        <f t="shared" si="547"/>
        <v>2.9026398079902309E-2</v>
      </c>
      <c r="V645">
        <f t="shared" si="492"/>
        <v>-1.541765851225035</v>
      </c>
      <c r="X645">
        <f t="shared" si="548"/>
        <v>-72.734395572825719</v>
      </c>
      <c r="Y645">
        <f t="shared" si="549"/>
        <v>-178.87213875868215</v>
      </c>
      <c r="Z645">
        <f t="shared" si="510"/>
        <v>1.127861241317845</v>
      </c>
      <c r="AC645">
        <v>1</v>
      </c>
      <c r="AD645">
        <f t="shared" si="550"/>
        <v>2376.1448574645601</v>
      </c>
      <c r="AE645">
        <f t="shared" si="551"/>
        <v>-10.301533322973425</v>
      </c>
      <c r="AF645">
        <f t="shared" si="552"/>
        <v>0.299142452133</v>
      </c>
      <c r="AG645">
        <f t="shared" si="553"/>
        <v>6.5953975693179192</v>
      </c>
      <c r="AH645">
        <f t="shared" si="554"/>
        <v>-230.46781674415863</v>
      </c>
      <c r="AJ645">
        <f t="shared" si="497"/>
        <v>21000</v>
      </c>
      <c r="AK645">
        <f t="shared" si="555"/>
        <v>46523.154403467008</v>
      </c>
      <c r="AL645">
        <v>20</v>
      </c>
      <c r="AM645">
        <f t="shared" si="556"/>
        <v>912.64893827492699</v>
      </c>
      <c r="AN645">
        <f t="shared" si="557"/>
        <v>51.455493061277096</v>
      </c>
      <c r="AO645">
        <f t="shared" si="558"/>
        <v>-21.882335366020456</v>
      </c>
      <c r="AQ645">
        <f t="shared" si="559"/>
        <v>5.25099766198804E-5</v>
      </c>
      <c r="AR645">
        <f t="shared" si="560"/>
        <v>-0.72463767735434947</v>
      </c>
      <c r="AT645">
        <f t="shared" si="561"/>
        <v>-167.00531710624279</v>
      </c>
      <c r="AU645">
        <f t="shared" si="562"/>
        <v>-4.7913754355279297</v>
      </c>
      <c r="AV645">
        <f t="shared" si="511"/>
        <v>-3.1129105639900465</v>
      </c>
      <c r="AW645">
        <f t="shared" si="512"/>
        <v>39.06095813380675</v>
      </c>
      <c r="AX645">
        <f t="shared" si="513"/>
        <v>-297.63999536135145</v>
      </c>
      <c r="AY645">
        <f t="shared" si="521"/>
        <v>-1.4403064671610391</v>
      </c>
      <c r="BA645">
        <f t="shared" si="502"/>
        <v>0.55655698078870142</v>
      </c>
      <c r="BB645">
        <f t="shared" si="514"/>
        <v>-5.0898073121098726</v>
      </c>
      <c r="BC645">
        <f t="shared" si="515"/>
        <v>-1.6726040968290075</v>
      </c>
      <c r="BD645">
        <f t="shared" si="503"/>
        <v>-275.83315565409839</v>
      </c>
      <c r="BF645">
        <f t="shared" si="504"/>
        <v>-90.127293561137861</v>
      </c>
      <c r="BG645">
        <f t="shared" si="505"/>
        <v>-210.57557745363826</v>
      </c>
      <c r="BH645">
        <f t="shared" si="516"/>
        <v>-30.57557745363826</v>
      </c>
      <c r="BI645">
        <f t="shared" si="517"/>
        <v>-30.57557745363826</v>
      </c>
      <c r="BJ645">
        <f t="shared" si="506"/>
        <v>0</v>
      </c>
      <c r="BK645">
        <f t="shared" si="518"/>
        <v>0</v>
      </c>
      <c r="BM645">
        <f t="shared" si="519"/>
        <v>-85.037486249027992</v>
      </c>
      <c r="BN645">
        <f t="shared" si="507"/>
        <v>-114.74242179953991</v>
      </c>
      <c r="BQ645" s="66">
        <f t="shared" si="520"/>
        <v>11.812153488175262</v>
      </c>
    </row>
    <row r="646" spans="1:69" ht="13" x14ac:dyDescent="0.3">
      <c r="A646">
        <f t="shared" si="563"/>
        <v>7000000</v>
      </c>
      <c r="B646">
        <f t="shared" si="508"/>
        <v>7000</v>
      </c>
      <c r="C646">
        <f t="shared" si="539"/>
        <v>2.4158034161499304</v>
      </c>
      <c r="D646">
        <f t="shared" si="540"/>
        <v>1.1440172171887624</v>
      </c>
      <c r="F646">
        <f t="shared" si="541"/>
        <v>1.5192886129938369E-6</v>
      </c>
      <c r="G646">
        <f t="shared" si="542"/>
        <v>3.8427564423941551E-4</v>
      </c>
      <c r="H646">
        <f t="shared" si="481"/>
        <v>-3.1412083743557608</v>
      </c>
      <c r="J646">
        <f t="shared" si="482"/>
        <v>15</v>
      </c>
      <c r="M646">
        <f t="shared" si="543"/>
        <v>1.5691111433871279E-4</v>
      </c>
      <c r="N646">
        <f t="shared" si="484"/>
        <v>-1.5707963250000001</v>
      </c>
      <c r="O646">
        <f t="shared" si="544"/>
        <v>2410.5819468756031</v>
      </c>
      <c r="P646">
        <f t="shared" si="486"/>
        <v>1.5703814891952133</v>
      </c>
      <c r="Q646">
        <f t="shared" si="545"/>
        <v>925.8762745109259</v>
      </c>
      <c r="R646">
        <f t="shared" si="488"/>
        <v>1.5697162686683945</v>
      </c>
      <c r="S646">
        <f t="shared" si="546"/>
        <v>0.40651630816476475</v>
      </c>
      <c r="T646">
        <f t="shared" si="490"/>
        <v>-1.1521584799573343</v>
      </c>
      <c r="U646">
        <f t="shared" si="547"/>
        <v>2.8612077172154981E-2</v>
      </c>
      <c r="V646">
        <f t="shared" si="492"/>
        <v>-1.5421803442998026</v>
      </c>
      <c r="X646">
        <f t="shared" si="548"/>
        <v>-72.985018891812132</v>
      </c>
      <c r="Y646">
        <f t="shared" si="549"/>
        <v>-178.89051871218723</v>
      </c>
      <c r="Z646">
        <f t="shared" si="510"/>
        <v>1.1094812878127698</v>
      </c>
      <c r="AC646">
        <v>1</v>
      </c>
      <c r="AD646">
        <f t="shared" si="550"/>
        <v>2410.5817394568003</v>
      </c>
      <c r="AE646">
        <f t="shared" si="551"/>
        <v>-10.602292224862378</v>
      </c>
      <c r="AF646">
        <f t="shared" si="552"/>
        <v>0.30347784998999999</v>
      </c>
      <c r="AG646">
        <f t="shared" si="553"/>
        <v>6.4084568028962048</v>
      </c>
      <c r="AH646">
        <f t="shared" si="554"/>
        <v>-227.18077031646507</v>
      </c>
      <c r="AJ646">
        <f t="shared" si="497"/>
        <v>21000</v>
      </c>
      <c r="AK646">
        <f t="shared" si="555"/>
        <v>47197.403018010002</v>
      </c>
      <c r="AL646">
        <v>21</v>
      </c>
      <c r="AM646">
        <f t="shared" si="556"/>
        <v>925.87573448181001</v>
      </c>
      <c r="AN646">
        <f t="shared" si="557"/>
        <v>51.463921665811235</v>
      </c>
      <c r="AO646">
        <f t="shared" si="558"/>
        <v>-21.513964458919837</v>
      </c>
      <c r="AQ646">
        <f t="shared" si="559"/>
        <v>5.1020407902957101E-5</v>
      </c>
      <c r="AR646">
        <f t="shared" si="560"/>
        <v>-0.71428571064139945</v>
      </c>
      <c r="AT646">
        <f t="shared" si="561"/>
        <v>-162.27165100747666</v>
      </c>
      <c r="AU646">
        <f t="shared" si="562"/>
        <v>-4.5890599771406801</v>
      </c>
      <c r="AV646">
        <f t="shared" si="511"/>
        <v>-3.1133200801230752</v>
      </c>
      <c r="AW646">
        <f t="shared" si="512"/>
        <v>39.469383653772759</v>
      </c>
      <c r="AX646">
        <f t="shared" si="513"/>
        <v>-293.34209940571066</v>
      </c>
      <c r="AY646">
        <f t="shared" si="521"/>
        <v>-1.4370488870592864</v>
      </c>
      <c r="BA646">
        <f t="shared" si="502"/>
        <v>0.54846107164443036</v>
      </c>
      <c r="BB646">
        <f t="shared" si="514"/>
        <v>-5.2170838420036176</v>
      </c>
      <c r="BC646">
        <f t="shared" si="515"/>
        <v>-1.6762711930637888</v>
      </c>
      <c r="BD646">
        <f t="shared" si="503"/>
        <v>-276.04326479165974</v>
      </c>
      <c r="BF646">
        <f t="shared" si="504"/>
        <v>-90.401221183037876</v>
      </c>
      <c r="BG646">
        <f t="shared" si="505"/>
        <v>-210.47388910893386</v>
      </c>
      <c r="BH646">
        <f t="shared" si="516"/>
        <v>-30.473889108933861</v>
      </c>
      <c r="BI646">
        <f t="shared" si="517"/>
        <v>-30.473889108933861</v>
      </c>
      <c r="BJ646">
        <f t="shared" si="506"/>
        <v>0</v>
      </c>
      <c r="BK646">
        <f t="shared" si="518"/>
        <v>0</v>
      </c>
      <c r="BM646">
        <f t="shared" si="519"/>
        <v>-85.184137341034258</v>
      </c>
      <c r="BN646">
        <f t="shared" si="507"/>
        <v>-114.43062431727414</v>
      </c>
      <c r="BQ646" s="66">
        <f t="shared" si="520"/>
        <v>11.684876958281517</v>
      </c>
    </row>
    <row r="647" spans="1:69" ht="13" x14ac:dyDescent="0.3">
      <c r="A647">
        <f t="shared" si="563"/>
        <v>7100000</v>
      </c>
      <c r="B647">
        <f t="shared" si="508"/>
        <v>7100</v>
      </c>
      <c r="C647">
        <f t="shared" si="539"/>
        <v>2.4444360427753069</v>
      </c>
      <c r="D647">
        <f t="shared" si="540"/>
        <v>1.1493372174184511</v>
      </c>
      <c r="F647">
        <f t="shared" si="541"/>
        <v>1.4767930767384523E-6</v>
      </c>
      <c r="G647">
        <f t="shared" si="542"/>
        <v>3.7886329549868911E-4</v>
      </c>
      <c r="H647">
        <f t="shared" si="481"/>
        <v>-3.1412137867045016</v>
      </c>
      <c r="J647">
        <f t="shared" si="482"/>
        <v>15</v>
      </c>
      <c r="M647">
        <f t="shared" si="543"/>
        <v>1.5470109864380133E-4</v>
      </c>
      <c r="N647">
        <f t="shared" si="484"/>
        <v>-1.5707963250000001</v>
      </c>
      <c r="O647">
        <f t="shared" si="544"/>
        <v>2445.0188259464512</v>
      </c>
      <c r="P647">
        <f t="shared" si="486"/>
        <v>1.5703873319776513</v>
      </c>
      <c r="Q647">
        <f t="shared" si="545"/>
        <v>939.1030631117693</v>
      </c>
      <c r="R647">
        <f t="shared" si="488"/>
        <v>1.569731480743102</v>
      </c>
      <c r="S647">
        <f t="shared" si="546"/>
        <v>0.40172023794832334</v>
      </c>
      <c r="T647">
        <f t="shared" si="490"/>
        <v>-1.1574017767587375</v>
      </c>
      <c r="U647">
        <f t="shared" si="547"/>
        <v>2.8209413143856957E-2</v>
      </c>
      <c r="V647">
        <f t="shared" si="492"/>
        <v>-1.5425831709385269</v>
      </c>
      <c r="X647">
        <f t="shared" si="548"/>
        <v>-73.232075788886178</v>
      </c>
      <c r="Y647">
        <f t="shared" si="549"/>
        <v>-178.90830794605438</v>
      </c>
      <c r="Z647">
        <f t="shared" si="510"/>
        <v>1.0916920539456214</v>
      </c>
      <c r="AC647">
        <v>1</v>
      </c>
      <c r="AD647">
        <f t="shared" si="550"/>
        <v>2445.01862144904</v>
      </c>
      <c r="AE647">
        <f t="shared" si="551"/>
        <v>-10.907378592965561</v>
      </c>
      <c r="AF647">
        <f t="shared" si="552"/>
        <v>0.30781324784700004</v>
      </c>
      <c r="AG647">
        <f t="shared" si="553"/>
        <v>6.2293508007969374</v>
      </c>
      <c r="AH647">
        <f t="shared" si="554"/>
        <v>-223.98609564379521</v>
      </c>
      <c r="AJ647">
        <f t="shared" si="497"/>
        <v>21000</v>
      </c>
      <c r="AK647">
        <f t="shared" si="555"/>
        <v>47871.651632553003</v>
      </c>
      <c r="AL647">
        <v>22</v>
      </c>
      <c r="AM647">
        <f t="shared" si="556"/>
        <v>939.10253068869304</v>
      </c>
      <c r="AN647">
        <f t="shared" si="557"/>
        <v>51.471571424623185</v>
      </c>
      <c r="AO647">
        <f t="shared" si="558"/>
        <v>-21.155970492474683</v>
      </c>
      <c r="AQ647">
        <f t="shared" si="559"/>
        <v>4.9593334409872377E-5</v>
      </c>
      <c r="AR647">
        <f t="shared" si="560"/>
        <v>-0.70422534862018771</v>
      </c>
      <c r="AT647">
        <f t="shared" si="561"/>
        <v>-157.73637735654896</v>
      </c>
      <c r="AU647">
        <f t="shared" si="562"/>
        <v>-4.3979749567130932</v>
      </c>
      <c r="AV647">
        <f t="shared" si="511"/>
        <v>-3.1137180700155742</v>
      </c>
      <c r="AW647">
        <f t="shared" si="512"/>
        <v>39.859565006484672</v>
      </c>
      <c r="AX647">
        <f t="shared" si="513"/>
        <v>-289.16450351644414</v>
      </c>
      <c r="AY647">
        <f t="shared" si="521"/>
        <v>-1.433815654066676</v>
      </c>
      <c r="BA647">
        <f t="shared" si="502"/>
        <v>0.54059040511090917</v>
      </c>
      <c r="BB647">
        <f t="shared" si="514"/>
        <v>-5.342633336429417</v>
      </c>
      <c r="BC647">
        <f t="shared" si="515"/>
        <v>-1.6799024159488982</v>
      </c>
      <c r="BD647">
        <f t="shared" si="503"/>
        <v>-276.25131853768551</v>
      </c>
      <c r="BF647">
        <f t="shared" si="504"/>
        <v>-90.670841627561231</v>
      </c>
      <c r="BG647">
        <f t="shared" si="505"/>
        <v>-210.37743939918201</v>
      </c>
      <c r="BH647">
        <f t="shared" si="516"/>
        <v>-30.377439399182009</v>
      </c>
      <c r="BI647">
        <f t="shared" si="517"/>
        <v>-30.377439399182009</v>
      </c>
      <c r="BJ647">
        <f t="shared" si="506"/>
        <v>0</v>
      </c>
      <c r="BK647">
        <f t="shared" si="518"/>
        <v>0</v>
      </c>
      <c r="BM647">
        <f t="shared" si="519"/>
        <v>-85.328208291131801</v>
      </c>
      <c r="BN647">
        <f t="shared" si="507"/>
        <v>-114.1261208614965</v>
      </c>
      <c r="BQ647" s="66">
        <f t="shared" si="520"/>
        <v>11.55932746385572</v>
      </c>
    </row>
    <row r="648" spans="1:69" ht="13" x14ac:dyDescent="0.3">
      <c r="A648">
        <f t="shared" si="563"/>
        <v>7200000</v>
      </c>
      <c r="B648">
        <f t="shared" si="508"/>
        <v>7200</v>
      </c>
      <c r="C648">
        <f t="shared" si="539"/>
        <v>2.4731362497509184</v>
      </c>
      <c r="D648">
        <f t="shared" si="540"/>
        <v>1.1545338870123083</v>
      </c>
      <c r="F648">
        <f t="shared" si="541"/>
        <v>1.4360558658523944E-6</v>
      </c>
      <c r="G648">
        <f t="shared" si="542"/>
        <v>3.7360129042007974E-4</v>
      </c>
      <c r="H648">
        <f t="shared" si="481"/>
        <v>-3.1412190487095799</v>
      </c>
      <c r="J648">
        <f t="shared" si="482"/>
        <v>15</v>
      </c>
      <c r="M648">
        <f t="shared" si="543"/>
        <v>1.5255247227374854E-4</v>
      </c>
      <c r="N648">
        <f t="shared" si="484"/>
        <v>-1.5707963250000001</v>
      </c>
      <c r="O648">
        <f t="shared" si="544"/>
        <v>2479.4557050984499</v>
      </c>
      <c r="P648">
        <f t="shared" si="486"/>
        <v>1.5703930124606038</v>
      </c>
      <c r="Q648">
        <f t="shared" si="545"/>
        <v>952.32985192389151</v>
      </c>
      <c r="R648">
        <f t="shared" si="488"/>
        <v>1.5697462702606511</v>
      </c>
      <c r="S648">
        <f t="shared" si="546"/>
        <v>0.39702547993493958</v>
      </c>
      <c r="T648">
        <f t="shared" si="490"/>
        <v>-1.162522658620095</v>
      </c>
      <c r="U648">
        <f t="shared" si="547"/>
        <v>2.7817921059750235E-2</v>
      </c>
      <c r="V648">
        <f t="shared" si="492"/>
        <v>-1.5429748167303647</v>
      </c>
      <c r="X648">
        <f t="shared" si="548"/>
        <v>-73.47566620741064</v>
      </c>
      <c r="Y648">
        <f t="shared" si="549"/>
        <v>-178.92553392584674</v>
      </c>
      <c r="Z648">
        <f t="shared" si="510"/>
        <v>1.0744660741532641</v>
      </c>
      <c r="AC648">
        <v>1</v>
      </c>
      <c r="AD648">
        <f t="shared" si="550"/>
        <v>2479.4555034412801</v>
      </c>
      <c r="AE648">
        <f t="shared" si="551"/>
        <v>-11.216792427282975</v>
      </c>
      <c r="AF648">
        <f t="shared" si="552"/>
        <v>0.31214864570399997</v>
      </c>
      <c r="AG648">
        <f t="shared" si="553"/>
        <v>6.0576479009228548</v>
      </c>
      <c r="AH648">
        <f t="shared" si="554"/>
        <v>-220.87995591561389</v>
      </c>
      <c r="AJ648">
        <f t="shared" si="497"/>
        <v>21000</v>
      </c>
      <c r="AK648">
        <f t="shared" si="555"/>
        <v>48545.900247096004</v>
      </c>
      <c r="AL648">
        <v>23</v>
      </c>
      <c r="AM648">
        <f t="shared" si="556"/>
        <v>952.32932689557595</v>
      </c>
      <c r="AN648">
        <f t="shared" si="557"/>
        <v>51.478497063724731</v>
      </c>
      <c r="AO648">
        <f t="shared" si="558"/>
        <v>-20.80792222594987</v>
      </c>
      <c r="AQ648">
        <f t="shared" si="559"/>
        <v>4.8225308409407272E-5</v>
      </c>
      <c r="AR648">
        <f t="shared" si="560"/>
        <v>-0.69444444109546466</v>
      </c>
      <c r="AT648">
        <f t="shared" si="561"/>
        <v>-153.38856540307108</v>
      </c>
      <c r="AU648">
        <f t="shared" si="562"/>
        <v>-4.2173519149049739</v>
      </c>
      <c r="AV648">
        <f t="shared" si="511"/>
        <v>-3.1141050134152213</v>
      </c>
      <c r="AW648">
        <f t="shared" si="512"/>
        <v>40.23253872096555</v>
      </c>
      <c r="AX648">
        <f t="shared" si="513"/>
        <v>-285.10224788417145</v>
      </c>
      <c r="AY648">
        <f t="shared" si="521"/>
        <v>-1.4306058349305451</v>
      </c>
      <c r="BA648">
        <f t="shared" si="502"/>
        <v>0.5329355682539314</v>
      </c>
      <c r="BB648">
        <f t="shared" si="514"/>
        <v>-5.4665058773761599</v>
      </c>
      <c r="BC648">
        <f t="shared" si="515"/>
        <v>-1.6834991784846762</v>
      </c>
      <c r="BD648">
        <f t="shared" si="503"/>
        <v>-276.45739785113187</v>
      </c>
      <c r="BF648">
        <f t="shared" si="504"/>
        <v>-90.936293128136455</v>
      </c>
      <c r="BG648">
        <f t="shared" si="505"/>
        <v>-210.28607296771926</v>
      </c>
      <c r="BH648">
        <f t="shared" si="516"/>
        <v>-30.286072967719264</v>
      </c>
      <c r="BI648">
        <f t="shared" si="517"/>
        <v>-30.286072967719264</v>
      </c>
      <c r="BJ648">
        <f t="shared" si="506"/>
        <v>0</v>
      </c>
      <c r="BK648">
        <f t="shared" si="518"/>
        <v>0</v>
      </c>
      <c r="BM648">
        <f t="shared" si="519"/>
        <v>-85.469787250760291</v>
      </c>
      <c r="BN648">
        <f t="shared" si="507"/>
        <v>-113.82867511658739</v>
      </c>
      <c r="BQ648" s="66">
        <f t="shared" si="520"/>
        <v>11.435454922908976</v>
      </c>
    </row>
    <row r="649" spans="1:69" ht="13" x14ac:dyDescent="0.3">
      <c r="A649">
        <f t="shared" si="563"/>
        <v>7300000</v>
      </c>
      <c r="B649">
        <f t="shared" si="508"/>
        <v>7300</v>
      </c>
      <c r="C649">
        <f t="shared" si="539"/>
        <v>2.5019017113629349</v>
      </c>
      <c r="D649">
        <f t="shared" si="540"/>
        <v>1.1596111943276202</v>
      </c>
      <c r="F649">
        <f t="shared" si="541"/>
        <v>1.396981296529651E-6</v>
      </c>
      <c r="G649">
        <f t="shared" si="542"/>
        <v>3.6848345046249214E-4</v>
      </c>
      <c r="H649">
        <f t="shared" ref="H649:H676" si="564">IF(G649&gt;0,G649-Pi,G649)</f>
        <v>-3.1412241665495375</v>
      </c>
      <c r="J649">
        <f t="shared" ref="J649:J676" si="565">Vin/Vramp</f>
        <v>15</v>
      </c>
      <c r="M649">
        <f t="shared" si="543"/>
        <v>1.5046271237958761E-4</v>
      </c>
      <c r="N649">
        <f t="shared" ref="N649:N676" si="566">-Pi/2</f>
        <v>-1.5707963250000001</v>
      </c>
      <c r="O649">
        <f t="shared" si="544"/>
        <v>2513.8925843282636</v>
      </c>
      <c r="P649">
        <f t="shared" ref="P649:P676" si="567">ATAN2(Fz1_u,A649)</f>
        <v>1.5703985373139113</v>
      </c>
      <c r="Q649">
        <f t="shared" si="545"/>
        <v>965.55664093860958</v>
      </c>
      <c r="R649">
        <f t="shared" ref="R649:R676" si="568">ATAN2(Fz2_u,A649)</f>
        <v>1.5697606545863791</v>
      </c>
      <c r="S649">
        <f t="shared" si="546"/>
        <v>0.39242924937884305</v>
      </c>
      <c r="T649">
        <f t="shared" ref="T649:T676" si="569">-ATAN2(Fp1_u,A649)</f>
        <v>-1.1675251036890806</v>
      </c>
      <c r="U649">
        <f t="shared" si="547"/>
        <v>2.7437142504903447E-2</v>
      </c>
      <c r="V649">
        <f t="shared" ref="V649:V676" si="570">-ATAN2(Fp2_u,A649)</f>
        <v>-1.5433557406911882</v>
      </c>
      <c r="X649">
        <f t="shared" si="548"/>
        <v>-73.715885958621101</v>
      </c>
      <c r="Y649">
        <f t="shared" si="549"/>
        <v>-178.94222248907448</v>
      </c>
      <c r="Z649">
        <f t="shared" si="510"/>
        <v>1.0577775109255185</v>
      </c>
      <c r="AC649">
        <v>1</v>
      </c>
      <c r="AD649">
        <f t="shared" si="550"/>
        <v>2513.8923854335203</v>
      </c>
      <c r="AE649">
        <f t="shared" si="551"/>
        <v>-11.530533727814618</v>
      </c>
      <c r="AF649">
        <f t="shared" si="552"/>
        <v>0.31648404356100002</v>
      </c>
      <c r="AG649">
        <f t="shared" si="553"/>
        <v>5.8929457579616829</v>
      </c>
      <c r="AH649">
        <f t="shared" si="554"/>
        <v>-217.85872375290819</v>
      </c>
      <c r="AJ649">
        <f t="shared" ref="AJ649:AJ676" si="571">_Rfb1</f>
        <v>21000</v>
      </c>
      <c r="AK649">
        <f t="shared" si="555"/>
        <v>49220.148861639005</v>
      </c>
      <c r="AL649">
        <v>24</v>
      </c>
      <c r="AM649">
        <f t="shared" si="556"/>
        <v>965.55612310245897</v>
      </c>
      <c r="AN649">
        <f t="shared" si="557"/>
        <v>51.484749108246909</v>
      </c>
      <c r="AO649">
        <f t="shared" si="558"/>
        <v>-20.46941192594436</v>
      </c>
      <c r="AQ649">
        <f t="shared" si="559"/>
        <v>4.691311668740328E-5</v>
      </c>
      <c r="AR649">
        <f t="shared" si="560"/>
        <v>-0.6849315036360879</v>
      </c>
      <c r="AT649">
        <f t="shared" si="561"/>
        <v>-149.21802678386652</v>
      </c>
      <c r="AU649">
        <f t="shared" si="562"/>
        <v>-4.0464846305753905</v>
      </c>
      <c r="AV649">
        <f t="shared" si="511"/>
        <v>-3.1144813638164921</v>
      </c>
      <c r="AW649">
        <f t="shared" si="512"/>
        <v>40.589269671066504</v>
      </c>
      <c r="AX649">
        <f t="shared" si="513"/>
        <v>-281.15064049555997</v>
      </c>
      <c r="AY649">
        <f t="shared" si="521"/>
        <v>-1.4274185491787319</v>
      </c>
      <c r="BA649">
        <f t="shared" ref="BA649:BA676" si="572">SQRT(AT649^2+AU649^2)/SQRT(AW649^2+AX649^2)</f>
        <v>0.52548766715850759</v>
      </c>
      <c r="BB649">
        <f t="shared" si="514"/>
        <v>-5.5887494423002293</v>
      </c>
      <c r="BC649">
        <f t="shared" si="515"/>
        <v>-1.6870628146377602</v>
      </c>
      <c r="BD649">
        <f t="shared" ref="BD649:BD678" si="573">BC649*180/Pi-180</f>
        <v>-276.66157916265718</v>
      </c>
      <c r="BF649">
        <f t="shared" ref="BF649:BF676" si="574">20*LOG(BA649*J649*F649*C649)</f>
        <v>-91.197707545355115</v>
      </c>
      <c r="BG649">
        <f t="shared" ref="BG649:BG676" si="575">(180/Pi)*(D649+H649+BC649)</f>
        <v>-210.19963922908397</v>
      </c>
      <c r="BH649">
        <f t="shared" si="516"/>
        <v>-30.199639229083971</v>
      </c>
      <c r="BI649">
        <f t="shared" si="517"/>
        <v>-30.199639229083971</v>
      </c>
      <c r="BJ649">
        <f t="shared" ref="BJ649:BJ676" si="576">SUM((BF650&lt;0)*(BF649&gt;0))*A649</f>
        <v>0</v>
      </c>
      <c r="BK649">
        <f t="shared" si="518"/>
        <v>0</v>
      </c>
      <c r="BM649">
        <f t="shared" si="519"/>
        <v>-85.608958103054903</v>
      </c>
      <c r="BN649">
        <f t="shared" ref="BN649:BN676" si="577">(H649+D649)*180/Pi</f>
        <v>-113.53806006642684</v>
      </c>
      <c r="BQ649" s="66">
        <f t="shared" si="520"/>
        <v>11.313211357984907</v>
      </c>
    </row>
    <row r="650" spans="1:69" ht="13" x14ac:dyDescent="0.3">
      <c r="A650">
        <f t="shared" si="563"/>
        <v>7400000</v>
      </c>
      <c r="B650">
        <f t="shared" ref="B650:B676" si="578">A650/1000</f>
        <v>7400</v>
      </c>
      <c r="C650">
        <f t="shared" si="539"/>
        <v>2.5307302024682978</v>
      </c>
      <c r="D650">
        <f t="shared" si="540"/>
        <v>1.1645729521367663</v>
      </c>
      <c r="F650">
        <f t="shared" si="541"/>
        <v>1.3594801061145776E-6</v>
      </c>
      <c r="G650">
        <f t="shared" si="542"/>
        <v>3.6350393106230505E-4</v>
      </c>
      <c r="H650">
        <f t="shared" si="564"/>
        <v>-3.1412291460689379</v>
      </c>
      <c r="J650">
        <f t="shared" si="565"/>
        <v>15</v>
      </c>
      <c r="M650">
        <f t="shared" si="543"/>
        <v>1.4842943248256614E-4</v>
      </c>
      <c r="N650">
        <f t="shared" si="566"/>
        <v>-1.5707963250000001</v>
      </c>
      <c r="O650">
        <f t="shared" si="544"/>
        <v>2548.3294636327364</v>
      </c>
      <c r="P650">
        <f t="shared" si="567"/>
        <v>1.5704039128468825</v>
      </c>
      <c r="Q650">
        <f t="shared" si="545"/>
        <v>978.78343014771053</v>
      </c>
      <c r="R650">
        <f t="shared" si="568"/>
        <v>1.5697746501469587</v>
      </c>
      <c r="S650">
        <f t="shared" si="546"/>
        <v>0.38792884216064294</v>
      </c>
      <c r="T650">
        <f t="shared" si="569"/>
        <v>-1.1724129319394523</v>
      </c>
      <c r="U650">
        <f t="shared" si="547"/>
        <v>2.7066643796881101E-2</v>
      </c>
      <c r="V650">
        <f t="shared" si="570"/>
        <v>-1.5437263770563527</v>
      </c>
      <c r="X650">
        <f t="shared" si="548"/>
        <v>-73.952826945613054</v>
      </c>
      <c r="Y650">
        <f t="shared" si="549"/>
        <v>-178.95839796039257</v>
      </c>
      <c r="Z650">
        <f t="shared" ref="Z650:Z676" si="579">Y650+180</f>
        <v>1.0416020396074259</v>
      </c>
      <c r="AC650">
        <v>1</v>
      </c>
      <c r="AD650">
        <f t="shared" si="550"/>
        <v>2548.3292674257605</v>
      </c>
      <c r="AE650">
        <f t="shared" si="551"/>
        <v>-11.848602494560488</v>
      </c>
      <c r="AF650">
        <f t="shared" si="552"/>
        <v>0.32081944141800001</v>
      </c>
      <c r="AG650">
        <f t="shared" si="553"/>
        <v>5.7348689867144955</v>
      </c>
      <c r="AH650">
        <f t="shared" si="554"/>
        <v>-214.91896712121888</v>
      </c>
      <c r="AJ650">
        <f t="shared" si="571"/>
        <v>21000</v>
      </c>
      <c r="AK650">
        <f t="shared" si="555"/>
        <v>49894.397476182006</v>
      </c>
      <c r="AL650">
        <v>25</v>
      </c>
      <c r="AM650">
        <f t="shared" si="556"/>
        <v>978.78291930934188</v>
      </c>
      <c r="AN650">
        <f t="shared" si="557"/>
        <v>51.490374246109617</v>
      </c>
      <c r="AO650">
        <f t="shared" si="558"/>
        <v>-20.140053790228738</v>
      </c>
      <c r="AQ650">
        <f t="shared" si="559"/>
        <v>4.5653761661551488E-5</v>
      </c>
      <c r="AR650">
        <f t="shared" si="560"/>
        <v>-0.67567567259096206</v>
      </c>
      <c r="AT650">
        <f t="shared" si="561"/>
        <v>-145.21525584384256</v>
      </c>
      <c r="AU650">
        <f t="shared" si="562"/>
        <v>-3.8847233191208645</v>
      </c>
      <c r="AV650">
        <f t="shared" ref="AV650:AV676" si="580">ATAN2(AT650,AU650)</f>
        <v>-3.1148475502317985</v>
      </c>
      <c r="AW650">
        <f t="shared" ref="AW650:AW676" si="581">AG650-AH650*AO650/_Rfb2+AG650*AN650/_Rfb2+AN650-AO650*AR650+AQ650*AN650</f>
        <v>40.930656899377908</v>
      </c>
      <c r="AX650">
        <f t="shared" ref="AX650:AX676" si="582">AH650+AH650*AN650/_Rfb2+AG650*AO650/_Rfb2+AO650+AO650*AQ650+AN650*AR650</f>
        <v>-277.30523937771784</v>
      </c>
      <c r="AY650">
        <f t="shared" si="521"/>
        <v>-1.424252965531231</v>
      </c>
      <c r="BA650">
        <f t="shared" si="572"/>
        <v>0.51823829157706369</v>
      </c>
      <c r="BB650">
        <f t="shared" ref="BB650:BB676" si="583">20*LOG(BA650)</f>
        <v>-5.7094100205108225</v>
      </c>
      <c r="BC650">
        <f t="shared" ref="BC650:BC676" si="584">AV650-AY650</f>
        <v>-1.6905945847005674</v>
      </c>
      <c r="BD650">
        <f t="shared" si="573"/>
        <v>-276.86393468169786</v>
      </c>
      <c r="BF650">
        <f t="shared" si="574"/>
        <v>-91.455210742302199</v>
      </c>
      <c r="BG650">
        <f t="shared" si="575"/>
        <v>-210.11799227181567</v>
      </c>
      <c r="BH650">
        <f t="shared" ref="BH650:BH676" si="585">IF(BG650&gt;180,BG650-180,BG650+180)</f>
        <v>-30.117992271815666</v>
      </c>
      <c r="BI650">
        <f t="shared" ref="BI650:BI676" si="586">IF(BH650&gt;180,BH650-360,BH650)</f>
        <v>-30.117992271815666</v>
      </c>
      <c r="BJ650">
        <f t="shared" si="576"/>
        <v>0</v>
      </c>
      <c r="BK650">
        <f t="shared" ref="BK650:BK676" si="587">IF(BJ650&gt;0,BI650,0)</f>
        <v>0</v>
      </c>
      <c r="BM650">
        <f t="shared" ref="BM650:BM676" si="588">20*LOG(J650*F650*C650)</f>
        <v>-85.745800721791383</v>
      </c>
      <c r="BN650">
        <f t="shared" si="577"/>
        <v>-113.25405759011782</v>
      </c>
      <c r="BQ650" s="66">
        <f t="shared" ref="BQ650:BQ676" si="589">20*LOG(BA650*7)</f>
        <v>11.192550779774315</v>
      </c>
    </row>
    <row r="651" spans="1:69" ht="13" x14ac:dyDescent="0.3">
      <c r="A651">
        <f t="shared" si="563"/>
        <v>7500000</v>
      </c>
      <c r="B651">
        <f t="shared" si="578"/>
        <v>7500</v>
      </c>
      <c r="C651">
        <f t="shared" si="539"/>
        <v>2.5596195934016031</v>
      </c>
      <c r="D651">
        <f t="shared" si="540"/>
        <v>1.169422824404815</v>
      </c>
      <c r="F651">
        <f t="shared" si="541"/>
        <v>1.3234689428646444E-6</v>
      </c>
      <c r="G651">
        <f t="shared" si="542"/>
        <v>3.586571993680271E-4</v>
      </c>
      <c r="H651">
        <f t="shared" si="564"/>
        <v>-3.1412339928006321</v>
      </c>
      <c r="J651">
        <f t="shared" si="565"/>
        <v>15</v>
      </c>
      <c r="M651">
        <f t="shared" si="543"/>
        <v>1.4645037338279859E-4</v>
      </c>
      <c r="N651">
        <f t="shared" si="566"/>
        <v>-1.5707963250000001</v>
      </c>
      <c r="O651">
        <f t="shared" si="544"/>
        <v>2582.7663430088837</v>
      </c>
      <c r="P651">
        <f t="shared" si="567"/>
        <v>1.5704091450323296</v>
      </c>
      <c r="Q651">
        <f t="shared" si="545"/>
        <v>992.01021954341877</v>
      </c>
      <c r="R651">
        <f t="shared" si="568"/>
        <v>1.5697882724929737</v>
      </c>
      <c r="S651">
        <f t="shared" si="546"/>
        <v>0.38352163336282674</v>
      </c>
      <c r="T651">
        <f t="shared" si="569"/>
        <v>-1.1771898122105644</v>
      </c>
      <c r="U651">
        <f t="shared" si="547"/>
        <v>2.6706014340566398E-2</v>
      </c>
      <c r="V651">
        <f t="shared" si="570"/>
        <v>-1.5440871369302913</v>
      </c>
      <c r="X651">
        <f t="shared" si="548"/>
        <v>-74.186577372398062</v>
      </c>
      <c r="Y651">
        <f t="shared" si="549"/>
        <v>-178.97408325743518</v>
      </c>
      <c r="Z651">
        <f t="shared" si="579"/>
        <v>1.0259167425648172</v>
      </c>
      <c r="AC651">
        <v>1</v>
      </c>
      <c r="AD651">
        <f t="shared" si="550"/>
        <v>2582.7661494180002</v>
      </c>
      <c r="AE651">
        <f t="shared" si="551"/>
        <v>-12.170998727520587</v>
      </c>
      <c r="AF651">
        <f t="shared" si="552"/>
        <v>0.325154839275</v>
      </c>
      <c r="AG651">
        <f t="shared" si="553"/>
        <v>5.5830670234659987</v>
      </c>
      <c r="AH651">
        <f t="shared" si="554"/>
        <v>-212.05743636480534</v>
      </c>
      <c r="AJ651">
        <f t="shared" si="571"/>
        <v>21000</v>
      </c>
      <c r="AK651">
        <f t="shared" si="555"/>
        <v>50568.646090725</v>
      </c>
      <c r="AL651">
        <v>26</v>
      </c>
      <c r="AM651">
        <f t="shared" si="556"/>
        <v>992.00971551622513</v>
      </c>
      <c r="AN651">
        <f t="shared" si="557"/>
        <v>51.495415656335837</v>
      </c>
      <c r="AO651">
        <f t="shared" si="558"/>
        <v>-19.819482496402724</v>
      </c>
      <c r="AQ651">
        <f t="shared" si="559"/>
        <v>4.4444444246913578E-5</v>
      </c>
      <c r="AR651">
        <f t="shared" si="560"/>
        <v>-0.66666666370370375</v>
      </c>
      <c r="AT651">
        <f t="shared" si="561"/>
        <v>-141.37137547857418</v>
      </c>
      <c r="AU651">
        <f t="shared" si="562"/>
        <v>-3.7314694406759044</v>
      </c>
      <c r="AV651">
        <f t="shared" si="580"/>
        <v>-3.1152039788211869</v>
      </c>
      <c r="AW651">
        <f t="shared" si="581"/>
        <v>41.257538898552035</v>
      </c>
      <c r="AX651">
        <f t="shared" si="582"/>
        <v>-273.56183623058473</v>
      </c>
      <c r="AY651">
        <f t="shared" ref="AY651:AY676" si="590">ATAN2(AW651,AX651)</f>
        <v>-1.4211082985998507</v>
      </c>
      <c r="BA651">
        <f t="shared" si="572"/>
        <v>0.51117948243390876</v>
      </c>
      <c r="BB651">
        <f t="shared" si="583"/>
        <v>-5.828531721584671</v>
      </c>
      <c r="BC651">
        <f t="shared" si="584"/>
        <v>-1.6940956802213363</v>
      </c>
      <c r="BD651">
        <f t="shared" si="573"/>
        <v>-277.06453267893932</v>
      </c>
      <c r="BF651">
        <f t="shared" si="574"/>
        <v>-91.708922933412254</v>
      </c>
      <c r="BG651">
        <f t="shared" si="575"/>
        <v>-210.04099075387367</v>
      </c>
      <c r="BH651">
        <f t="shared" si="585"/>
        <v>-30.040990753873672</v>
      </c>
      <c r="BI651">
        <f t="shared" si="586"/>
        <v>-30.040990753873672</v>
      </c>
      <c r="BJ651">
        <f t="shared" si="576"/>
        <v>0</v>
      </c>
      <c r="BK651">
        <f t="shared" si="587"/>
        <v>0</v>
      </c>
      <c r="BM651">
        <f t="shared" si="588"/>
        <v>-85.880391211827586</v>
      </c>
      <c r="BN651">
        <f t="shared" si="577"/>
        <v>-112.9764580749344</v>
      </c>
      <c r="BQ651" s="66">
        <f t="shared" si="589"/>
        <v>11.073429078700466</v>
      </c>
    </row>
    <row r="652" spans="1:69" ht="13" x14ac:dyDescent="0.3">
      <c r="A652">
        <f t="shared" si="563"/>
        <v>7600000</v>
      </c>
      <c r="B652">
        <f t="shared" si="578"/>
        <v>7600</v>
      </c>
      <c r="C652">
        <f t="shared" si="539"/>
        <v>2.5885678451686855</v>
      </c>
      <c r="D652">
        <f t="shared" si="540"/>
        <v>1.1741643327734812</v>
      </c>
      <c r="F652">
        <f t="shared" si="541"/>
        <v>1.2888699023961401E-6</v>
      </c>
      <c r="G652">
        <f t="shared" si="542"/>
        <v>3.5393801373276019E-4</v>
      </c>
      <c r="H652">
        <f t="shared" si="564"/>
        <v>-3.1412387119862673</v>
      </c>
      <c r="J652">
        <f t="shared" si="565"/>
        <v>15</v>
      </c>
      <c r="M652">
        <f t="shared" si="543"/>
        <v>1.445233947856565E-4</v>
      </c>
      <c r="N652">
        <f t="shared" si="566"/>
        <v>-1.5707963250000001</v>
      </c>
      <c r="O652">
        <f t="shared" si="544"/>
        <v>2617.2032224538757</v>
      </c>
      <c r="P652">
        <f t="shared" si="567"/>
        <v>1.5704142395287064</v>
      </c>
      <c r="Q652">
        <f t="shared" si="545"/>
        <v>1005.2370091183684</v>
      </c>
      <c r="R652">
        <f t="shared" si="568"/>
        <v>1.5698015363565583</v>
      </c>
      <c r="S652">
        <f t="shared" si="546"/>
        <v>0.37920507572059264</v>
      </c>
      <c r="T652">
        <f t="shared" si="569"/>
        <v>-1.1818592689296552</v>
      </c>
      <c r="U652">
        <f t="shared" si="547"/>
        <v>2.6354865112536867E-2</v>
      </c>
      <c r="V652">
        <f t="shared" si="570"/>
        <v>-1.5444384098060979</v>
      </c>
      <c r="X652">
        <f t="shared" si="548"/>
        <v>-74.417221939204865</v>
      </c>
      <c r="Y652">
        <f t="shared" si="549"/>
        <v>-178.98929998814114</v>
      </c>
      <c r="Z652">
        <f t="shared" si="579"/>
        <v>1.0107000118588587</v>
      </c>
      <c r="AC652">
        <v>1</v>
      </c>
      <c r="AD652">
        <f t="shared" si="550"/>
        <v>2617.2030314102403</v>
      </c>
      <c r="AE652">
        <f t="shared" si="551"/>
        <v>-12.497722426694917</v>
      </c>
      <c r="AF652">
        <f t="shared" si="552"/>
        <v>0.32949023713200004</v>
      </c>
      <c r="AG652">
        <f t="shared" si="553"/>
        <v>5.4372121826475581</v>
      </c>
      <c r="AH652">
        <f t="shared" si="554"/>
        <v>-209.2710522592796</v>
      </c>
      <c r="AJ652">
        <f t="shared" si="571"/>
        <v>21000</v>
      </c>
      <c r="AK652">
        <f t="shared" si="555"/>
        <v>51242.894705268009</v>
      </c>
      <c r="AL652">
        <v>27</v>
      </c>
      <c r="AM652">
        <f t="shared" si="556"/>
        <v>1005.236511723108</v>
      </c>
      <c r="AN652">
        <f t="shared" si="557"/>
        <v>51.499913305831505</v>
      </c>
      <c r="AO652">
        <f t="shared" si="558"/>
        <v>-19.507351864019814</v>
      </c>
      <c r="AQ652">
        <f t="shared" si="559"/>
        <v>4.3282548289116396E-5</v>
      </c>
      <c r="AR652">
        <f t="shared" si="560"/>
        <v>-0.65789473399456921</v>
      </c>
      <c r="AT652">
        <f t="shared" si="561"/>
        <v>-137.67808792248351</v>
      </c>
      <c r="AU652">
        <f t="shared" si="562"/>
        <v>-3.5861710469998731</v>
      </c>
      <c r="AV652">
        <f t="shared" si="580"/>
        <v>-3.1155510343935955</v>
      </c>
      <c r="AW652">
        <f t="shared" si="581"/>
        <v>41.57069840688338</v>
      </c>
      <c r="AX652">
        <f t="shared" si="582"/>
        <v>-269.9164413229347</v>
      </c>
      <c r="AY652">
        <f t="shared" si="590"/>
        <v>-1.4179838058492555</v>
      </c>
      <c r="BA652">
        <f t="shared" si="572"/>
        <v>0.50430370191979812</v>
      </c>
      <c r="BB652">
        <f t="shared" si="583"/>
        <v>-5.9461568764588186</v>
      </c>
      <c r="BC652">
        <f t="shared" si="584"/>
        <v>-1.6975672285443399</v>
      </c>
      <c r="BD652">
        <f t="shared" si="573"/>
        <v>-277.26343774645039</v>
      </c>
      <c r="BF652">
        <f t="shared" si="574"/>
        <v>-91.958959009003408</v>
      </c>
      <c r="BG652">
        <f t="shared" si="575"/>
        <v>-209.96849779244377</v>
      </c>
      <c r="BH652">
        <f t="shared" si="585"/>
        <v>-29.96849779244377</v>
      </c>
      <c r="BI652">
        <f t="shared" si="586"/>
        <v>-29.96849779244377</v>
      </c>
      <c r="BJ652">
        <f t="shared" si="576"/>
        <v>0</v>
      </c>
      <c r="BK652">
        <f t="shared" si="587"/>
        <v>0</v>
      </c>
      <c r="BM652">
        <f t="shared" si="588"/>
        <v>-86.012802132544607</v>
      </c>
      <c r="BN652">
        <f t="shared" si="577"/>
        <v>-112.70506004599338</v>
      </c>
      <c r="BQ652" s="66">
        <f t="shared" si="589"/>
        <v>10.955803923826316</v>
      </c>
    </row>
    <row r="653" spans="1:69" ht="13" x14ac:dyDescent="0.3">
      <c r="A653">
        <f t="shared" si="563"/>
        <v>7700000</v>
      </c>
      <c r="B653">
        <f t="shared" si="578"/>
        <v>7700</v>
      </c>
      <c r="C653">
        <f t="shared" si="539"/>
        <v>2.617573004909858</v>
      </c>
      <c r="D653">
        <f t="shared" si="540"/>
        <v>1.1788008627608302</v>
      </c>
      <c r="F653">
        <f t="shared" si="541"/>
        <v>1.2556101059945704E-6</v>
      </c>
      <c r="G653">
        <f t="shared" si="542"/>
        <v>3.49341404804666E-4</v>
      </c>
      <c r="H653">
        <f t="shared" si="564"/>
        <v>-3.1412433085951954</v>
      </c>
      <c r="J653">
        <f t="shared" si="565"/>
        <v>15</v>
      </c>
      <c r="M653">
        <f t="shared" si="543"/>
        <v>1.4264646758064799E-4</v>
      </c>
      <c r="N653">
        <f t="shared" si="566"/>
        <v>-1.5707963250000001</v>
      </c>
      <c r="O653">
        <f t="shared" si="544"/>
        <v>2651.6401019650293</v>
      </c>
      <c r="P653">
        <f t="shared" si="567"/>
        <v>1.570419201700521</v>
      </c>
      <c r="Q653">
        <f t="shared" si="545"/>
        <v>1018.4637988655758</v>
      </c>
      <c r="R653">
        <f t="shared" si="568"/>
        <v>1.5698144557045424</v>
      </c>
      <c r="S653">
        <f t="shared" si="546"/>
        <v>0.37497669797350897</v>
      </c>
      <c r="T653">
        <f t="shared" si="569"/>
        <v>-1.1864246885283549</v>
      </c>
      <c r="U653">
        <f t="shared" si="547"/>
        <v>2.6012827263248748E-2</v>
      </c>
      <c r="V653">
        <f t="shared" si="570"/>
        <v>-1.5447805649668966</v>
      </c>
      <c r="X653">
        <f t="shared" si="548"/>
        <v>-74.644842025095656</v>
      </c>
      <c r="Y653">
        <f t="shared" si="549"/>
        <v>-179.00406854033719</v>
      </c>
      <c r="Z653">
        <f t="shared" si="579"/>
        <v>0.99593145966281327</v>
      </c>
      <c r="AC653">
        <v>1</v>
      </c>
      <c r="AD653">
        <f t="shared" si="550"/>
        <v>2651.6399134024805</v>
      </c>
      <c r="AE653">
        <f t="shared" si="551"/>
        <v>-12.828773592083477</v>
      </c>
      <c r="AF653">
        <f t="shared" si="552"/>
        <v>0.33382563498899998</v>
      </c>
      <c r="AG653">
        <f t="shared" si="553"/>
        <v>5.2969978886791109</v>
      </c>
      <c r="AH653">
        <f t="shared" si="554"/>
        <v>-206.55689499064576</v>
      </c>
      <c r="AJ653">
        <f t="shared" si="571"/>
        <v>21000</v>
      </c>
      <c r="AK653">
        <f t="shared" si="555"/>
        <v>51917.14331981101</v>
      </c>
      <c r="AL653">
        <v>28</v>
      </c>
      <c r="AM653">
        <f t="shared" si="556"/>
        <v>1018.4633079299911</v>
      </c>
      <c r="AN653">
        <f t="shared" si="557"/>
        <v>51.503904217997032</v>
      </c>
      <c r="AO653">
        <f t="shared" si="558"/>
        <v>-19.203333619987898</v>
      </c>
      <c r="AQ653">
        <f t="shared" si="559"/>
        <v>4.2165626403416991E-5</v>
      </c>
      <c r="AR653">
        <f t="shared" si="560"/>
        <v>-0.64935064661262165</v>
      </c>
      <c r="AT653">
        <f t="shared" si="561"/>
        <v>-134.12762997323716</v>
      </c>
      <c r="AU653">
        <f t="shared" si="562"/>
        <v>-3.4483186049846974</v>
      </c>
      <c r="AV653">
        <f t="shared" si="580"/>
        <v>-3.115889081791325</v>
      </c>
      <c r="AW653">
        <f t="shared" si="581"/>
        <v>41.870866768394194</v>
      </c>
      <c r="AX653">
        <f t="shared" si="582"/>
        <v>-266.36526954012618</v>
      </c>
      <c r="AY653">
        <f t="shared" si="590"/>
        <v>-1.4148787847955491</v>
      </c>
      <c r="BA653">
        <f t="shared" si="572"/>
        <v>0.49760380593846032</v>
      </c>
      <c r="BB653">
        <f t="shared" si="583"/>
        <v>-6.0623261317888595</v>
      </c>
      <c r="BC653">
        <f t="shared" si="584"/>
        <v>-1.7010102969957759</v>
      </c>
      <c r="BD653">
        <f t="shared" si="573"/>
        <v>-277.46071103751774</v>
      </c>
      <c r="BF653">
        <f t="shared" si="574"/>
        <v>-92.20542883744406</v>
      </c>
      <c r="BG653">
        <f t="shared" si="575"/>
        <v>-209.90038084963857</v>
      </c>
      <c r="BH653">
        <f t="shared" si="585"/>
        <v>-29.900380849638566</v>
      </c>
      <c r="BI653">
        <f t="shared" si="586"/>
        <v>-29.900380849638566</v>
      </c>
      <c r="BJ653">
        <f t="shared" si="576"/>
        <v>0</v>
      </c>
      <c r="BK653">
        <f t="shared" si="587"/>
        <v>0</v>
      </c>
      <c r="BM653">
        <f t="shared" si="588"/>
        <v>-86.143102705655195</v>
      </c>
      <c r="BN653">
        <f t="shared" si="577"/>
        <v>-112.43966981212084</v>
      </c>
      <c r="BQ653" s="66">
        <f t="shared" si="589"/>
        <v>10.839634668496277</v>
      </c>
    </row>
    <row r="654" spans="1:69" ht="13" x14ac:dyDescent="0.3">
      <c r="A654">
        <f t="shared" si="563"/>
        <v>7800000</v>
      </c>
      <c r="B654">
        <f t="shared" si="578"/>
        <v>7800</v>
      </c>
      <c r="C654">
        <f t="shared" si="539"/>
        <v>2.6466332016167446</v>
      </c>
      <c r="D654">
        <f t="shared" si="540"/>
        <v>1.1833356696864359</v>
      </c>
      <c r="F654">
        <f t="shared" si="541"/>
        <v>1.2236213165238093E-6</v>
      </c>
      <c r="G654">
        <f t="shared" si="542"/>
        <v>3.4486265807202529E-4</v>
      </c>
      <c r="H654">
        <f t="shared" si="564"/>
        <v>-3.141247787341928</v>
      </c>
      <c r="J654">
        <f t="shared" si="565"/>
        <v>15</v>
      </c>
      <c r="M654">
        <f t="shared" si="543"/>
        <v>1.408176667142294E-4</v>
      </c>
      <c r="N654">
        <f t="shared" si="566"/>
        <v>-1.5707963250000001</v>
      </c>
      <c r="O654">
        <f t="shared" si="544"/>
        <v>2686.0769815398012</v>
      </c>
      <c r="P654">
        <f t="shared" si="567"/>
        <v>1.5704240366371787</v>
      </c>
      <c r="Q654">
        <f t="shared" si="545"/>
        <v>1031.6905887784158</v>
      </c>
      <c r="R654">
        <f t="shared" si="568"/>
        <v>1.5698270437875088</v>
      </c>
      <c r="S654">
        <f t="shared" si="546"/>
        <v>0.37083410314015247</v>
      </c>
      <c r="T654">
        <f t="shared" si="569"/>
        <v>-1.1908893255650048</v>
      </c>
      <c r="U654">
        <f t="shared" si="547"/>
        <v>2.5679550826486947E-2</v>
      </c>
      <c r="V654">
        <f t="shared" si="570"/>
        <v>-1.5451139527795865</v>
      </c>
      <c r="X654">
        <f t="shared" si="548"/>
        <v>-74.869515858870827</v>
      </c>
      <c r="Y654">
        <f t="shared" si="549"/>
        <v>-179.0184081642702</v>
      </c>
      <c r="Z654">
        <f t="shared" si="579"/>
        <v>0.98159183572980169</v>
      </c>
      <c r="AC654">
        <v>1</v>
      </c>
      <c r="AD654">
        <f t="shared" si="550"/>
        <v>2686.0767953947202</v>
      </c>
      <c r="AE654">
        <f t="shared" si="551"/>
        <v>-13.164152223686267</v>
      </c>
      <c r="AF654">
        <f t="shared" si="552"/>
        <v>0.33816103284600002</v>
      </c>
      <c r="AG654">
        <f t="shared" si="553"/>
        <v>5.1621370651764442</v>
      </c>
      <c r="AH654">
        <f t="shared" si="554"/>
        <v>-203.91219397806327</v>
      </c>
      <c r="AJ654">
        <f t="shared" si="571"/>
        <v>21000</v>
      </c>
      <c r="AK654">
        <f t="shared" si="555"/>
        <v>52591.391934354004</v>
      </c>
      <c r="AL654">
        <v>29</v>
      </c>
      <c r="AM654">
        <f t="shared" si="556"/>
        <v>1031.690104136874</v>
      </c>
      <c r="AN654">
        <f t="shared" si="557"/>
        <v>51.507422716141953</v>
      </c>
      <c r="AO654">
        <f t="shared" si="558"/>
        <v>-18.907116258085178</v>
      </c>
      <c r="AQ654">
        <f t="shared" si="559"/>
        <v>4.109138707638319E-5</v>
      </c>
      <c r="AR654">
        <f t="shared" si="560"/>
        <v>-0.64102563839157778</v>
      </c>
      <c r="AT654">
        <f t="shared" si="561"/>
        <v>-130.71273220124297</v>
      </c>
      <c r="AU654">
        <f t="shared" si="562"/>
        <v>-3.3174412425619026</v>
      </c>
      <c r="AV654">
        <f t="shared" si="580"/>
        <v>-3.1162184671681863</v>
      </c>
      <c r="AW654">
        <f t="shared" si="581"/>
        <v>42.158727901913203</v>
      </c>
      <c r="AX654">
        <f t="shared" si="582"/>
        <v>-262.90472748285788</v>
      </c>
      <c r="AY654">
        <f t="shared" si="590"/>
        <v>-1.4117925704210046</v>
      </c>
      <c r="BA654">
        <f t="shared" si="572"/>
        <v>0.49107301869168563</v>
      </c>
      <c r="BB654">
        <f t="shared" si="583"/>
        <v>-6.1770785381058335</v>
      </c>
      <c r="BC654">
        <f t="shared" si="584"/>
        <v>-1.7044258967471817</v>
      </c>
      <c r="BD654">
        <f t="shared" si="573"/>
        <v>-277.65641048800285</v>
      </c>
      <c r="BF654">
        <f t="shared" si="574"/>
        <v>-92.448437546730162</v>
      </c>
      <c r="BG654">
        <f t="shared" si="575"/>
        <v>-209.83651161536847</v>
      </c>
      <c r="BH654">
        <f t="shared" si="585"/>
        <v>-29.836511615368465</v>
      </c>
      <c r="BI654">
        <f t="shared" si="586"/>
        <v>-29.836511615368465</v>
      </c>
      <c r="BJ654">
        <f t="shared" si="576"/>
        <v>0</v>
      </c>
      <c r="BK654">
        <f t="shared" si="587"/>
        <v>0</v>
      </c>
      <c r="BM654">
        <f t="shared" si="588"/>
        <v>-86.271359008624344</v>
      </c>
      <c r="BN654">
        <f t="shared" si="577"/>
        <v>-112.18010112736563</v>
      </c>
      <c r="BQ654" s="66">
        <f t="shared" si="589"/>
        <v>10.724882262179303</v>
      </c>
    </row>
    <row r="655" spans="1:69" ht="13" x14ac:dyDescent="0.3">
      <c r="A655">
        <f t="shared" si="563"/>
        <v>7900000</v>
      </c>
      <c r="B655">
        <f t="shared" si="578"/>
        <v>7900</v>
      </c>
      <c r="C655">
        <f t="shared" si="539"/>
        <v>2.6757466420876033</v>
      </c>
      <c r="D655">
        <f t="shared" si="540"/>
        <v>1.1877718843318814</v>
      </c>
      <c r="F655">
        <f t="shared" si="541"/>
        <v>1.1928395881509462E-6</v>
      </c>
      <c r="G655">
        <f t="shared" si="542"/>
        <v>3.4049729773400004E-4</v>
      </c>
      <c r="H655">
        <f t="shared" si="564"/>
        <v>-3.1412521527022661</v>
      </c>
      <c r="J655">
        <f t="shared" si="565"/>
        <v>15</v>
      </c>
      <c r="M655">
        <f t="shared" si="543"/>
        <v>1.390351646039227E-4</v>
      </c>
      <c r="N655">
        <f t="shared" si="566"/>
        <v>-1.5707963250000001</v>
      </c>
      <c r="O655">
        <f t="shared" si="544"/>
        <v>2720.5138611757748</v>
      </c>
      <c r="P655">
        <f t="shared" si="567"/>
        <v>1.5704287491703934</v>
      </c>
      <c r="Q655">
        <f t="shared" si="545"/>
        <v>1044.9173788505984</v>
      </c>
      <c r="R655">
        <f t="shared" si="568"/>
        <v>1.569839313185126</v>
      </c>
      <c r="S655">
        <f t="shared" si="546"/>
        <v>0.36677496673492632</v>
      </c>
      <c r="T655">
        <f t="shared" si="569"/>
        <v>-1.1952563085644086</v>
      </c>
      <c r="U655">
        <f t="shared" si="547"/>
        <v>2.5354703526601605E-2</v>
      </c>
      <c r="V655">
        <f t="shared" si="570"/>
        <v>-1.5454389058904794</v>
      </c>
      <c r="X655">
        <f t="shared" si="548"/>
        <v>-75.091318679150746</v>
      </c>
      <c r="Y655">
        <f t="shared" si="549"/>
        <v>-179.03233704871175</v>
      </c>
      <c r="Z655">
        <f t="shared" si="579"/>
        <v>0.96766295128824709</v>
      </c>
      <c r="AC655">
        <v>1</v>
      </c>
      <c r="AD655">
        <f t="shared" si="550"/>
        <v>2720.5136773869604</v>
      </c>
      <c r="AE655">
        <f t="shared" si="551"/>
        <v>-13.503858321503289</v>
      </c>
      <c r="AF655">
        <f t="shared" si="552"/>
        <v>0.34249643070300001</v>
      </c>
      <c r="AG655">
        <f t="shared" si="553"/>
        <v>5.0323606657221065</v>
      </c>
      <c r="AH655">
        <f t="shared" si="554"/>
        <v>-201.33431846597429</v>
      </c>
      <c r="AJ655">
        <f t="shared" si="571"/>
        <v>21000</v>
      </c>
      <c r="AK655">
        <f t="shared" si="555"/>
        <v>53265.640548897005</v>
      </c>
      <c r="AL655">
        <v>30</v>
      </c>
      <c r="AM655">
        <f t="shared" si="556"/>
        <v>1044.9169003437571</v>
      </c>
      <c r="AN655">
        <f t="shared" si="557"/>
        <v>51.510500644329014</v>
      </c>
      <c r="AO655">
        <f t="shared" si="558"/>
        <v>-18.618403984345477</v>
      </c>
      <c r="AQ655">
        <f t="shared" si="559"/>
        <v>4.0057682903149807E-5</v>
      </c>
      <c r="AR655">
        <f t="shared" si="560"/>
        <v>-0.63291138986976692</v>
      </c>
      <c r="AT655">
        <f t="shared" si="561"/>
        <v>-127.42658174407427</v>
      </c>
      <c r="AU655">
        <f t="shared" si="562"/>
        <v>-3.1931033695547559</v>
      </c>
      <c r="AV655">
        <f t="shared" si="580"/>
        <v>-3.1165395191707228</v>
      </c>
      <c r="AW655">
        <f t="shared" si="581"/>
        <v>42.434921918597738</v>
      </c>
      <c r="AX655">
        <f t="shared" si="582"/>
        <v>-259.53140152609018</v>
      </c>
      <c r="AY655">
        <f t="shared" si="590"/>
        <v>-1.4087245327857261</v>
      </c>
      <c r="BA655">
        <f t="shared" si="572"/>
        <v>0.48470490921146181</v>
      </c>
      <c r="BB655">
        <f t="shared" si="583"/>
        <v>-6.2904516322561257</v>
      </c>
      <c r="BC655">
        <f t="shared" si="584"/>
        <v>-1.7078149863849967</v>
      </c>
      <c r="BD655">
        <f t="shared" si="573"/>
        <v>-277.85059102086302</v>
      </c>
      <c r="BF655">
        <f t="shared" si="574"/>
        <v>-92.688085787092803</v>
      </c>
      <c r="BG655">
        <f t="shared" si="575"/>
        <v>-209.77676588846379</v>
      </c>
      <c r="BH655">
        <f t="shared" si="585"/>
        <v>-29.776765888463785</v>
      </c>
      <c r="BI655">
        <f t="shared" si="586"/>
        <v>-29.776765888463785</v>
      </c>
      <c r="BJ655">
        <f t="shared" si="576"/>
        <v>0</v>
      </c>
      <c r="BK655">
        <f t="shared" si="587"/>
        <v>0</v>
      </c>
      <c r="BM655">
        <f t="shared" si="588"/>
        <v>-86.39763415483668</v>
      </c>
      <c r="BN655">
        <f t="shared" si="577"/>
        <v>-111.92617486760075</v>
      </c>
      <c r="BQ655" s="66">
        <f t="shared" si="589"/>
        <v>10.611509168029013</v>
      </c>
    </row>
    <row r="656" spans="1:69" ht="13" x14ac:dyDescent="0.3">
      <c r="A656">
        <f t="shared" si="563"/>
        <v>8000000</v>
      </c>
      <c r="B656">
        <f t="shared" si="578"/>
        <v>8000</v>
      </c>
      <c r="C656">
        <f t="shared" si="539"/>
        <v>2.7049116071069261</v>
      </c>
      <c r="D656">
        <f t="shared" si="540"/>
        <v>1.1921125183465748</v>
      </c>
      <c r="F656">
        <f t="shared" si="541"/>
        <v>1.163204946526657E-6</v>
      </c>
      <c r="G656">
        <f t="shared" si="542"/>
        <v>3.3624107178109803E-4</v>
      </c>
      <c r="H656">
        <f t="shared" si="564"/>
        <v>-3.1412564089282191</v>
      </c>
      <c r="J656">
        <f t="shared" si="565"/>
        <v>15</v>
      </c>
      <c r="M656">
        <f t="shared" si="543"/>
        <v>1.3729722504637369E-4</v>
      </c>
      <c r="N656">
        <f t="shared" si="566"/>
        <v>-1.5707963250000001</v>
      </c>
      <c r="O656">
        <f t="shared" si="544"/>
        <v>2754.9507408706545</v>
      </c>
      <c r="P656">
        <f t="shared" si="567"/>
        <v>1.5704333438902935</v>
      </c>
      <c r="Q656">
        <f t="shared" si="545"/>
        <v>1058.144169076149</v>
      </c>
      <c r="R656">
        <f t="shared" si="568"/>
        <v>1.5698512758480803</v>
      </c>
      <c r="S656">
        <f t="shared" si="546"/>
        <v>0.36279703494366339</v>
      </c>
      <c r="T656">
        <f t="shared" si="569"/>
        <v>-1.1995286455865584</v>
      </c>
      <c r="U656">
        <f t="shared" si="547"/>
        <v>2.5037969674997523E-2</v>
      </c>
      <c r="V656">
        <f t="shared" si="570"/>
        <v>-1.5457557403314024</v>
      </c>
      <c r="X656">
        <f t="shared" si="548"/>
        <v>-75.310322884444602</v>
      </c>
      <c r="Y656">
        <f t="shared" si="549"/>
        <v>-179.0458723911967</v>
      </c>
      <c r="Z656">
        <f t="shared" si="579"/>
        <v>0.95412760880330438</v>
      </c>
      <c r="AC656">
        <v>1</v>
      </c>
      <c r="AD656">
        <f t="shared" si="550"/>
        <v>2754.9505593792001</v>
      </c>
      <c r="AE656">
        <f t="shared" si="551"/>
        <v>-13.847891885534539</v>
      </c>
      <c r="AF656">
        <f t="shared" si="552"/>
        <v>0.34683182856</v>
      </c>
      <c r="AG656">
        <f t="shared" si="553"/>
        <v>4.9074163321608308</v>
      </c>
      <c r="AH656">
        <f t="shared" si="554"/>
        <v>-198.82076881862758</v>
      </c>
      <c r="AJ656">
        <f t="shared" si="571"/>
        <v>21000</v>
      </c>
      <c r="AK656">
        <f t="shared" si="555"/>
        <v>53939.889163439999</v>
      </c>
      <c r="AL656">
        <v>31</v>
      </c>
      <c r="AM656">
        <f t="shared" si="556"/>
        <v>1058.14369655064</v>
      </c>
      <c r="AN656">
        <f t="shared" si="557"/>
        <v>51.5131675679728</v>
      </c>
      <c r="AO656">
        <f t="shared" si="558"/>
        <v>-18.336915740880436</v>
      </c>
      <c r="AQ656">
        <f t="shared" si="559"/>
        <v>3.9062499847412111E-5</v>
      </c>
      <c r="AR656">
        <f t="shared" si="560"/>
        <v>-0.62499999755859381</v>
      </c>
      <c r="AT656">
        <f t="shared" si="561"/>
        <v>-124.26278833029026</v>
      </c>
      <c r="AU656">
        <f t="shared" si="562"/>
        <v>-3.0749016318711626</v>
      </c>
      <c r="AV656">
        <f t="shared" si="580"/>
        <v>-3.1168525500309832</v>
      </c>
      <c r="AW656">
        <f t="shared" si="581"/>
        <v>42.700048422938266</v>
      </c>
      <c r="AX656">
        <f t="shared" si="582"/>
        <v>-256.24204675611844</v>
      </c>
      <c r="AY656">
        <f t="shared" si="590"/>
        <v>-1.4056740748189531</v>
      </c>
      <c r="BA656">
        <f t="shared" si="572"/>
        <v>0.47849336966702688</v>
      </c>
      <c r="BB656">
        <f t="shared" si="583"/>
        <v>-6.4024815145650562</v>
      </c>
      <c r="BC656">
        <f t="shared" si="584"/>
        <v>-1.71117847521203</v>
      </c>
      <c r="BD656">
        <f t="shared" si="573"/>
        <v>-278.04330473531166</v>
      </c>
      <c r="BF656">
        <f t="shared" si="574"/>
        <v>-92.924469976110871</v>
      </c>
      <c r="BG656">
        <f t="shared" si="575"/>
        <v>-209.72102345695941</v>
      </c>
      <c r="BH656">
        <f t="shared" si="585"/>
        <v>-29.721023456959415</v>
      </c>
      <c r="BI656">
        <f t="shared" si="586"/>
        <v>-29.721023456959415</v>
      </c>
      <c r="BJ656">
        <f t="shared" si="576"/>
        <v>0</v>
      </c>
      <c r="BK656">
        <f t="shared" si="587"/>
        <v>0</v>
      </c>
      <c r="BM656">
        <f t="shared" si="588"/>
        <v>-86.521988461545817</v>
      </c>
      <c r="BN656">
        <f t="shared" si="577"/>
        <v>-111.67771872164775</v>
      </c>
      <c r="BQ656" s="66">
        <f t="shared" si="589"/>
        <v>10.499479285720081</v>
      </c>
    </row>
    <row r="657" spans="1:69" ht="13" x14ac:dyDescent="0.3">
      <c r="A657">
        <f t="shared" si="563"/>
        <v>8100000</v>
      </c>
      <c r="B657">
        <f t="shared" si="578"/>
        <v>8100</v>
      </c>
      <c r="C657">
        <f t="shared" si="539"/>
        <v>2.7341264478359766</v>
      </c>
      <c r="D657">
        <f t="shared" si="540"/>
        <v>1.1963604694088452</v>
      </c>
      <c r="F657">
        <f t="shared" si="541"/>
        <v>1.1346610964319479E-6</v>
      </c>
      <c r="G657">
        <f t="shared" si="542"/>
        <v>3.3208993818079806E-4</v>
      </c>
      <c r="H657">
        <f t="shared" si="564"/>
        <v>-3.1412605600618195</v>
      </c>
      <c r="J657">
        <f t="shared" si="565"/>
        <v>15</v>
      </c>
      <c r="M657">
        <f t="shared" si="543"/>
        <v>1.3560219757666536E-4</v>
      </c>
      <c r="N657">
        <f t="shared" si="566"/>
        <v>-1.5707963250000001</v>
      </c>
      <c r="O657">
        <f t="shared" si="544"/>
        <v>2789.3876206222594</v>
      </c>
      <c r="P657">
        <f t="shared" si="567"/>
        <v>1.5704378251603344</v>
      </c>
      <c r="Q657">
        <f t="shared" si="545"/>
        <v>1071.370959449386</v>
      </c>
      <c r="R657">
        <f t="shared" si="568"/>
        <v>1.5698629431369013</v>
      </c>
      <c r="S657">
        <f t="shared" si="546"/>
        <v>0.35889812277232563</v>
      </c>
      <c r="T657">
        <f t="shared" si="569"/>
        <v>-1.2037092295357459</v>
      </c>
      <c r="U657">
        <f t="shared" si="547"/>
        <v>2.4729049148182962E-2</v>
      </c>
      <c r="V657">
        <f t="shared" si="570"/>
        <v>-1.5460647565439884</v>
      </c>
      <c r="X657">
        <f t="shared" si="548"/>
        <v>-75.526598173947022</v>
      </c>
      <c r="Y657">
        <f t="shared" si="549"/>
        <v>-179.05903046290393</v>
      </c>
      <c r="Z657">
        <f t="shared" si="579"/>
        <v>0.94096953709606623</v>
      </c>
      <c r="AC657">
        <v>1</v>
      </c>
      <c r="AD657">
        <f t="shared" si="550"/>
        <v>2789.3874413714402</v>
      </c>
      <c r="AE657">
        <f t="shared" si="551"/>
        <v>-14.196252915780013</v>
      </c>
      <c r="AF657">
        <f t="shared" si="552"/>
        <v>0.35116722641699999</v>
      </c>
      <c r="AG657">
        <f t="shared" si="553"/>
        <v>4.7870671679270691</v>
      </c>
      <c r="AH657">
        <f t="shared" si="554"/>
        <v>-196.36916845660724</v>
      </c>
      <c r="AJ657">
        <f t="shared" si="571"/>
        <v>21000</v>
      </c>
      <c r="AK657">
        <f t="shared" si="555"/>
        <v>54614.137777983007</v>
      </c>
      <c r="AL657">
        <v>32</v>
      </c>
      <c r="AM657">
        <f t="shared" si="556"/>
        <v>1071.3704927575229</v>
      </c>
      <c r="AN657">
        <f t="shared" si="557"/>
        <v>51.515450956254881</v>
      </c>
      <c r="AO657">
        <f t="shared" si="558"/>
        <v>-18.062384301430967</v>
      </c>
      <c r="AQ657">
        <f t="shared" si="559"/>
        <v>3.8103947423777063E-5</v>
      </c>
      <c r="AR657">
        <f t="shared" si="560"/>
        <v>-0.6172839482651884</v>
      </c>
      <c r="AT657">
        <f t="shared" si="561"/>
        <v>-121.21535321629072</v>
      </c>
      <c r="AU657">
        <f t="shared" si="562"/>
        <v>-2.9624621624991962</v>
      </c>
      <c r="AV657">
        <f t="shared" si="580"/>
        <v>-3.1171578565784639</v>
      </c>
      <c r="AW657">
        <f t="shared" si="581"/>
        <v>42.95466952841155</v>
      </c>
      <c r="AX657">
        <f t="shared" si="582"/>
        <v>-253.03357671165912</v>
      </c>
      <c r="AY657">
        <f t="shared" si="590"/>
        <v>-1.4026406302744305</v>
      </c>
      <c r="BA657">
        <f t="shared" si="572"/>
        <v>0.47243259529191356</v>
      </c>
      <c r="BB657">
        <f t="shared" si="583"/>
        <v>-6.5132029211255489</v>
      </c>
      <c r="BC657">
        <f t="shared" si="584"/>
        <v>-1.7145172263040334</v>
      </c>
      <c r="BD657">
        <f t="shared" si="573"/>
        <v>-278.23460108194678</v>
      </c>
      <c r="BF657">
        <f t="shared" si="574"/>
        <v>-93.157682527676002</v>
      </c>
      <c r="BG657">
        <f t="shared" si="575"/>
        <v>-209.66916797830595</v>
      </c>
      <c r="BH657">
        <f t="shared" si="585"/>
        <v>-29.66916797830595</v>
      </c>
      <c r="BI657">
        <f t="shared" si="586"/>
        <v>-29.66916797830595</v>
      </c>
      <c r="BJ657">
        <f t="shared" si="576"/>
        <v>0</v>
      </c>
      <c r="BK657">
        <f t="shared" si="587"/>
        <v>0</v>
      </c>
      <c r="BM657">
        <f t="shared" si="588"/>
        <v>-86.644479606550462</v>
      </c>
      <c r="BN657">
        <f t="shared" si="577"/>
        <v>-111.43456689635919</v>
      </c>
      <c r="BQ657" s="66">
        <f t="shared" si="589"/>
        <v>10.388757879159588</v>
      </c>
    </row>
    <row r="658" spans="1:69" ht="13" x14ac:dyDescent="0.3">
      <c r="A658">
        <f t="shared" si="563"/>
        <v>8200000</v>
      </c>
      <c r="B658">
        <f t="shared" si="578"/>
        <v>8200</v>
      </c>
      <c r="C658">
        <f t="shared" si="539"/>
        <v>2.7633895824017065</v>
      </c>
      <c r="D658">
        <f t="shared" si="540"/>
        <v>1.2005185261522064</v>
      </c>
      <c r="F658">
        <f t="shared" si="541"/>
        <v>1.1071551542281628E-6</v>
      </c>
      <c r="G658">
        <f t="shared" si="542"/>
        <v>3.2804005207398947E-4</v>
      </c>
      <c r="H658">
        <f t="shared" si="564"/>
        <v>-3.141264609947926</v>
      </c>
      <c r="J658">
        <f t="shared" si="565"/>
        <v>15</v>
      </c>
      <c r="M658">
        <f t="shared" si="543"/>
        <v>1.3394851224036457E-4</v>
      </c>
      <c r="N658">
        <f t="shared" si="566"/>
        <v>-1.5707963250000001</v>
      </c>
      <c r="O658">
        <f t="shared" si="544"/>
        <v>2823.8245004285141</v>
      </c>
      <c r="P658">
        <f t="shared" si="567"/>
        <v>1.5704421971311198</v>
      </c>
      <c r="Q658">
        <f t="shared" si="545"/>
        <v>1084.5977499649073</v>
      </c>
      <c r="R658">
        <f t="shared" si="568"/>
        <v>1.5698743258579471</v>
      </c>
      <c r="S658">
        <f t="shared" si="546"/>
        <v>0.35507611218109542</v>
      </c>
      <c r="T658">
        <f t="shared" si="569"/>
        <v>-1.2078008432212601</v>
      </c>
      <c r="U658">
        <f t="shared" si="547"/>
        <v>2.4427656440432943E-2</v>
      </c>
      <c r="V658">
        <f t="shared" si="570"/>
        <v>-1.5463662403291265</v>
      </c>
      <c r="X658">
        <f t="shared" si="548"/>
        <v>-75.740211679740085</v>
      </c>
      <c r="Y658">
        <f t="shared" si="549"/>
        <v>-179.07182666863795</v>
      </c>
      <c r="Z658">
        <f t="shared" si="579"/>
        <v>0.92817333136204638</v>
      </c>
      <c r="AC658">
        <v>1</v>
      </c>
      <c r="AD658">
        <f t="shared" si="550"/>
        <v>2823.8243233636804</v>
      </c>
      <c r="AE658">
        <f t="shared" si="551"/>
        <v>-14.548941412239721</v>
      </c>
      <c r="AF658">
        <f t="shared" si="552"/>
        <v>0.35550262427400003</v>
      </c>
      <c r="AG658">
        <f t="shared" si="553"/>
        <v>4.6710906152720826</v>
      </c>
      <c r="AH658">
        <f t="shared" si="554"/>
        <v>-193.97725638083207</v>
      </c>
      <c r="AJ658">
        <f t="shared" si="571"/>
        <v>21000</v>
      </c>
      <c r="AK658">
        <f t="shared" si="555"/>
        <v>55288.386392526001</v>
      </c>
      <c r="AL658">
        <v>33</v>
      </c>
      <c r="AM658">
        <f t="shared" si="556"/>
        <v>1084.5972889644061</v>
      </c>
      <c r="AN658">
        <f t="shared" si="557"/>
        <v>51.517376348185813</v>
      </c>
      <c r="AO658">
        <f t="shared" si="558"/>
        <v>-17.794555432586225</v>
      </c>
      <c r="AQ658">
        <f t="shared" si="559"/>
        <v>3.7180249713041904E-5</v>
      </c>
      <c r="AR658">
        <f t="shared" si="560"/>
        <v>-0.60975609529388719</v>
      </c>
      <c r="AT658">
        <f t="shared" si="561"/>
        <v>-118.27864075428192</v>
      </c>
      <c r="AU658">
        <f t="shared" si="562"/>
        <v>-2.8554380971631161</v>
      </c>
      <c r="AV658">
        <f t="shared" si="580"/>
        <v>-3.1174557211781191</v>
      </c>
      <c r="AW658">
        <f t="shared" si="581"/>
        <v>43.199312615546503</v>
      </c>
      <c r="AX658">
        <f t="shared" si="582"/>
        <v>-249.90305386185088</v>
      </c>
      <c r="AY658">
        <f t="shared" si="590"/>
        <v>-1.3996236618357962</v>
      </c>
      <c r="BA658">
        <f t="shared" si="572"/>
        <v>0.46651706579134167</v>
      </c>
      <c r="BB658">
        <f t="shared" si="583"/>
        <v>-6.622649291578143</v>
      </c>
      <c r="BC658">
        <f t="shared" si="584"/>
        <v>-1.7178320593423229</v>
      </c>
      <c r="BD658">
        <f t="shared" si="573"/>
        <v>-278.42452702504829</v>
      </c>
      <c r="BF658">
        <f t="shared" si="574"/>
        <v>-93.387812066039274</v>
      </c>
      <c r="BG658">
        <f t="shared" si="575"/>
        <v>-209.62108686014639</v>
      </c>
      <c r="BH658">
        <f t="shared" si="585"/>
        <v>-29.621086860146391</v>
      </c>
      <c r="BI658">
        <f t="shared" si="586"/>
        <v>-29.621086860146391</v>
      </c>
      <c r="BJ658">
        <f t="shared" si="576"/>
        <v>0</v>
      </c>
      <c r="BK658">
        <f t="shared" si="587"/>
        <v>0</v>
      </c>
      <c r="BM658">
        <f t="shared" si="588"/>
        <v>-86.765162774461132</v>
      </c>
      <c r="BN658">
        <f t="shared" si="577"/>
        <v>-111.19655983509813</v>
      </c>
      <c r="BQ658" s="66">
        <f t="shared" si="589"/>
        <v>10.279311508706995</v>
      </c>
    </row>
    <row r="659" spans="1:69" ht="13" x14ac:dyDescent="0.3">
      <c r="A659">
        <f t="shared" si="563"/>
        <v>8300000</v>
      </c>
      <c r="B659">
        <f t="shared" si="578"/>
        <v>8300</v>
      </c>
      <c r="C659">
        <f t="shared" si="539"/>
        <v>2.7926994926722939</v>
      </c>
      <c r="D659">
        <f t="shared" si="540"/>
        <v>1.2045893728665353</v>
      </c>
      <c r="F659">
        <f t="shared" si="541"/>
        <v>1.0806374027341578E-6</v>
      </c>
      <c r="G659">
        <f t="shared" si="542"/>
        <v>3.2408775389697927E-4</v>
      </c>
      <c r="H659">
        <f t="shared" si="564"/>
        <v>-3.1412685622461032</v>
      </c>
      <c r="J659">
        <f t="shared" si="565"/>
        <v>15</v>
      </c>
      <c r="M659">
        <f t="shared" si="543"/>
        <v>1.323346747434927E-4</v>
      </c>
      <c r="N659">
        <f t="shared" si="566"/>
        <v>-1.5707963250000001</v>
      </c>
      <c r="O659">
        <f t="shared" si="544"/>
        <v>2858.2613802874425</v>
      </c>
      <c r="P659">
        <f t="shared" si="567"/>
        <v>1.5704464637532247</v>
      </c>
      <c r="Q659">
        <f t="shared" si="545"/>
        <v>1097.8245406175697</v>
      </c>
      <c r="R659">
        <f t="shared" si="568"/>
        <v>1.5698854342967885</v>
      </c>
      <c r="S659">
        <f t="shared" si="546"/>
        <v>0.35132895021438537</v>
      </c>
      <c r="T659">
        <f t="shared" si="569"/>
        <v>-1.2118061641806221</v>
      </c>
      <c r="U659">
        <f t="shared" si="547"/>
        <v>2.4133519784789531E-2</v>
      </c>
      <c r="V659">
        <f t="shared" si="570"/>
        <v>-1.5466604637278742</v>
      </c>
      <c r="X659">
        <f t="shared" si="548"/>
        <v>-75.951228091021164</v>
      </c>
      <c r="Y659">
        <f t="shared" si="549"/>
        <v>-179.08427560232838</v>
      </c>
      <c r="Z659">
        <f t="shared" si="579"/>
        <v>0.9157243976716245</v>
      </c>
      <c r="AC659">
        <v>1</v>
      </c>
      <c r="AD659">
        <f t="shared" si="550"/>
        <v>2858.2612053559205</v>
      </c>
      <c r="AE659">
        <f t="shared" si="551"/>
        <v>-14.905957374913658</v>
      </c>
      <c r="AF659">
        <f t="shared" si="552"/>
        <v>0.35983802213099997</v>
      </c>
      <c r="AG659">
        <f t="shared" si="553"/>
        <v>4.5592774264553979</v>
      </c>
      <c r="AH659">
        <f t="shared" si="554"/>
        <v>-191.64288023472128</v>
      </c>
      <c r="AJ659">
        <f t="shared" si="571"/>
        <v>21000</v>
      </c>
      <c r="AK659">
        <f t="shared" si="555"/>
        <v>55962.635007069002</v>
      </c>
      <c r="AL659">
        <v>34</v>
      </c>
      <c r="AM659">
        <f t="shared" si="556"/>
        <v>1097.8240851712892</v>
      </c>
      <c r="AN659">
        <f t="shared" si="557"/>
        <v>51.518967503942747</v>
      </c>
      <c r="AO659">
        <f t="shared" si="558"/>
        <v>-17.533187115185854</v>
      </c>
      <c r="AQ659">
        <f t="shared" si="559"/>
        <v>3.6289737130607717E-5</v>
      </c>
      <c r="AR659">
        <f t="shared" si="560"/>
        <v>-0.60240963636808809</v>
      </c>
      <c r="AT659">
        <f t="shared" si="561"/>
        <v>-115.44735233975219</v>
      </c>
      <c r="AU659">
        <f t="shared" si="562"/>
        <v>-2.7535073263188994</v>
      </c>
      <c r="AV659">
        <f t="shared" si="580"/>
        <v>-3.1177464126006602</v>
      </c>
      <c r="AW659">
        <f t="shared" si="581"/>
        <v>43.434472857171009</v>
      </c>
      <c r="AX659">
        <f t="shared" si="582"/>
        <v>-246.84768076036991</v>
      </c>
      <c r="AY659">
        <f t="shared" si="590"/>
        <v>-1.3966226593592881</v>
      </c>
      <c r="BA659">
        <f t="shared" si="572"/>
        <v>0.46074152810393809</v>
      </c>
      <c r="BB659">
        <f t="shared" si="583"/>
        <v>-6.7308528327165593</v>
      </c>
      <c r="BC659">
        <f t="shared" si="584"/>
        <v>-1.7211237532413721</v>
      </c>
      <c r="BD659">
        <f t="shared" si="573"/>
        <v>-278.61312719312832</v>
      </c>
      <c r="BF659">
        <f t="shared" si="574"/>
        <v>-93.614943626063422</v>
      </c>
      <c r="BG659">
        <f t="shared" si="575"/>
        <v>-209.57667114218933</v>
      </c>
      <c r="BH659">
        <f t="shared" si="585"/>
        <v>-29.576671142189326</v>
      </c>
      <c r="BI659">
        <f t="shared" si="586"/>
        <v>-29.576671142189326</v>
      </c>
      <c r="BJ659">
        <f t="shared" si="576"/>
        <v>0</v>
      </c>
      <c r="BK659">
        <f t="shared" si="587"/>
        <v>0</v>
      </c>
      <c r="BM659">
        <f t="shared" si="588"/>
        <v>-86.884090793346843</v>
      </c>
      <c r="BN659">
        <f t="shared" si="577"/>
        <v>-110.96354394906105</v>
      </c>
      <c r="BQ659" s="66">
        <f t="shared" si="589"/>
        <v>10.171107967568577</v>
      </c>
    </row>
    <row r="660" spans="1:69" ht="13" x14ac:dyDescent="0.3">
      <c r="A660">
        <f t="shared" si="563"/>
        <v>8400000</v>
      </c>
      <c r="B660">
        <f t="shared" si="578"/>
        <v>8400</v>
      </c>
      <c r="C660">
        <f t="shared" si="539"/>
        <v>2.8220547212082208</v>
      </c>
      <c r="D660">
        <f t="shared" si="540"/>
        <v>1.2085755939837324</v>
      </c>
      <c r="F660">
        <f t="shared" si="541"/>
        <v>1.0550610664075845E-6</v>
      </c>
      <c r="G660">
        <f t="shared" si="542"/>
        <v>3.2022955835193186E-4</v>
      </c>
      <c r="H660">
        <f t="shared" si="564"/>
        <v>-3.1412724204416484</v>
      </c>
      <c r="J660">
        <f t="shared" si="565"/>
        <v>15</v>
      </c>
      <c r="M660">
        <f t="shared" si="543"/>
        <v>1.3075926194892732E-4</v>
      </c>
      <c r="N660">
        <f t="shared" si="566"/>
        <v>-1.5707963250000001</v>
      </c>
      <c r="O660">
        <f t="shared" si="544"/>
        <v>2892.6982601971649</v>
      </c>
      <c r="P660">
        <f t="shared" si="567"/>
        <v>1.5704506287891014</v>
      </c>
      <c r="Q660">
        <f t="shared" si="545"/>
        <v>1111.0513314024754</v>
      </c>
      <c r="R660">
        <f t="shared" si="568"/>
        <v>1.5698962782492076</v>
      </c>
      <c r="S660">
        <f t="shared" si="546"/>
        <v>0.34765464713573135</v>
      </c>
      <c r="T660">
        <f t="shared" si="569"/>
        <v>-1.2157277692760189</v>
      </c>
      <c r="U660">
        <f t="shared" si="547"/>
        <v>2.3846380336717907E-2</v>
      </c>
      <c r="V660">
        <f t="shared" si="570"/>
        <v>-1.546947685839535</v>
      </c>
      <c r="X660">
        <f t="shared" si="548"/>
        <v>-76.159709770925687</v>
      </c>
      <c r="Y660">
        <f t="shared" si="549"/>
        <v>-179.09639109842229</v>
      </c>
      <c r="Z660">
        <f t="shared" si="579"/>
        <v>0.90360890157771223</v>
      </c>
      <c r="AC660">
        <v>1</v>
      </c>
      <c r="AD660">
        <f t="shared" si="550"/>
        <v>2892.6980873481602</v>
      </c>
      <c r="AE660">
        <f t="shared" si="551"/>
        <v>-15.267300803801826</v>
      </c>
      <c r="AF660">
        <f t="shared" si="552"/>
        <v>0.36417341998800001</v>
      </c>
      <c r="AG660">
        <f t="shared" si="553"/>
        <v>4.4514307200212704</v>
      </c>
      <c r="AH660">
        <f t="shared" si="554"/>
        <v>-189.36398985988941</v>
      </c>
      <c r="AJ660">
        <f t="shared" si="571"/>
        <v>21000</v>
      </c>
      <c r="AK660">
        <f t="shared" si="555"/>
        <v>56636.883621612011</v>
      </c>
      <c r="AL660">
        <v>35</v>
      </c>
      <c r="AM660">
        <f t="shared" si="556"/>
        <v>1111.0508813781721</v>
      </c>
      <c r="AN660">
        <f t="shared" si="557"/>
        <v>51.520246542931538</v>
      </c>
      <c r="AO660">
        <f t="shared" si="558"/>
        <v>-17.278048820937226</v>
      </c>
      <c r="AQ660">
        <f t="shared" si="559"/>
        <v>3.5430838876733138E-5</v>
      </c>
      <c r="AR660">
        <f t="shared" si="560"/>
        <v>-0.59523809312911669</v>
      </c>
      <c r="AT660">
        <f t="shared" si="561"/>
        <v>-112.71650251359735</v>
      </c>
      <c r="AU660">
        <f t="shared" si="562"/>
        <v>-2.6563704584956129</v>
      </c>
      <c r="AV660">
        <f t="shared" si="580"/>
        <v>-3.1180301868307732</v>
      </c>
      <c r="AW660">
        <f t="shared" si="581"/>
        <v>43.6606155329656</v>
      </c>
      <c r="AX660">
        <f t="shared" si="582"/>
        <v>-243.86479182050584</v>
      </c>
      <c r="AY660">
        <f t="shared" si="590"/>
        <v>-1.3936371382422981</v>
      </c>
      <c r="BA660">
        <f t="shared" si="572"/>
        <v>0.45510098040388242</v>
      </c>
      <c r="BB660">
        <f t="shared" si="583"/>
        <v>-6.8378445782246988</v>
      </c>
      <c r="BC660">
        <f t="shared" si="584"/>
        <v>-1.7243930485884751</v>
      </c>
      <c r="BD660">
        <f t="shared" si="573"/>
        <v>-278.80044401871311</v>
      </c>
      <c r="BF660">
        <f t="shared" si="574"/>
        <v>-93.839158840709928</v>
      </c>
      <c r="BG660">
        <f t="shared" si="575"/>
        <v>-209.53581537961335</v>
      </c>
      <c r="BH660">
        <f t="shared" si="585"/>
        <v>-29.535815379613354</v>
      </c>
      <c r="BI660">
        <f t="shared" si="586"/>
        <v>-29.535815379613354</v>
      </c>
      <c r="BJ660">
        <f t="shared" si="576"/>
        <v>0</v>
      </c>
      <c r="BK660">
        <f t="shared" si="587"/>
        <v>0</v>
      </c>
      <c r="BM660">
        <f t="shared" si="588"/>
        <v>-87.001314262485238</v>
      </c>
      <c r="BN660">
        <f t="shared" si="577"/>
        <v>-110.7353713609003</v>
      </c>
      <c r="BQ660" s="66">
        <f t="shared" si="589"/>
        <v>10.064116222060438</v>
      </c>
    </row>
    <row r="661" spans="1:69" ht="13" x14ac:dyDescent="0.3">
      <c r="A661">
        <f t="shared" si="563"/>
        <v>8500000</v>
      </c>
      <c r="B661">
        <f t="shared" si="578"/>
        <v>8500</v>
      </c>
      <c r="C661">
        <f t="shared" si="539"/>
        <v>2.8514538683785209</v>
      </c>
      <c r="D661">
        <f t="shared" si="540"/>
        <v>1.21247967835721</v>
      </c>
      <c r="F661">
        <f t="shared" si="541"/>
        <v>1.0303821049306851E-6</v>
      </c>
      <c r="G661">
        <f t="shared" si="542"/>
        <v>3.1646214415587272E-4</v>
      </c>
      <c r="H661">
        <f t="shared" si="564"/>
        <v>-3.1412761878558442</v>
      </c>
      <c r="J661">
        <f t="shared" si="565"/>
        <v>15</v>
      </c>
      <c r="M661">
        <f t="shared" si="543"/>
        <v>1.2922091769070464E-4</v>
      </c>
      <c r="N661">
        <f t="shared" si="566"/>
        <v>-1.5707963250000001</v>
      </c>
      <c r="O661">
        <f t="shared" si="544"/>
        <v>2927.1351401558873</v>
      </c>
      <c r="P661">
        <f t="shared" si="567"/>
        <v>1.5704546958241452</v>
      </c>
      <c r="Q661">
        <f t="shared" si="545"/>
        <v>1124.278122314957</v>
      </c>
      <c r="R661">
        <f t="shared" si="568"/>
        <v>1.5699068670500096</v>
      </c>
      <c r="S661">
        <f t="shared" si="546"/>
        <v>0.34405127457517232</v>
      </c>
      <c r="T661">
        <f t="shared" si="569"/>
        <v>-1.219568139074283</v>
      </c>
      <c r="U661">
        <f t="shared" si="547"/>
        <v>2.3565991415270451E-2</v>
      </c>
      <c r="V661">
        <f t="shared" si="570"/>
        <v>-1.5472281535820649</v>
      </c>
      <c r="X661">
        <f t="shared" si="548"/>
        <v>-76.365716866466983</v>
      </c>
      <c r="Y661">
        <f t="shared" si="549"/>
        <v>-179.10818627951301</v>
      </c>
      <c r="Z661">
        <f t="shared" si="579"/>
        <v>0.89181372048699359</v>
      </c>
      <c r="AC661">
        <v>1</v>
      </c>
      <c r="AD661">
        <f t="shared" si="550"/>
        <v>2927.1349693403999</v>
      </c>
      <c r="AE661">
        <f t="shared" si="551"/>
        <v>-15.632971698904223</v>
      </c>
      <c r="AF661">
        <f t="shared" si="552"/>
        <v>0.368508817845</v>
      </c>
      <c r="AG661">
        <f t="shared" si="553"/>
        <v>4.3473651142136704</v>
      </c>
      <c r="AH661">
        <f t="shared" si="554"/>
        <v>-187.13863130491578</v>
      </c>
      <c r="AJ661">
        <f t="shared" si="571"/>
        <v>21000</v>
      </c>
      <c r="AK661">
        <f t="shared" si="555"/>
        <v>57311.132236155005</v>
      </c>
      <c r="AL661">
        <v>36</v>
      </c>
      <c r="AM661">
        <f t="shared" si="556"/>
        <v>1124.277677585055</v>
      </c>
      <c r="AN661">
        <f t="shared" si="557"/>
        <v>51.521234069866672</v>
      </c>
      <c r="AO661">
        <f t="shared" si="558"/>
        <v>-17.028920839741929</v>
      </c>
      <c r="AQ661">
        <f t="shared" si="559"/>
        <v>3.4602076004837107E-5</v>
      </c>
      <c r="AR661">
        <f t="shared" si="560"/>
        <v>-0.5882352920822308</v>
      </c>
      <c r="AT661">
        <f t="shared" si="561"/>
        <v>-110.08139701765793</v>
      </c>
      <c r="AU661">
        <f t="shared" si="562"/>
        <v>-2.5637489728914327</v>
      </c>
      <c r="AV661">
        <f t="shared" si="580"/>
        <v>-3.1183072878183689</v>
      </c>
      <c r="AW661">
        <f t="shared" si="581"/>
        <v>43.878178153118377</v>
      </c>
      <c r="AX661">
        <f t="shared" si="582"/>
        <v>-240.95184566110686</v>
      </c>
      <c r="AY661">
        <f t="shared" si="590"/>
        <v>-1.390666637907374</v>
      </c>
      <c r="BA661">
        <f t="shared" si="572"/>
        <v>0.44959065724042019</v>
      </c>
      <c r="BB661">
        <f t="shared" si="583"/>
        <v>-6.9436544448248219</v>
      </c>
      <c r="BC661">
        <f t="shared" si="584"/>
        <v>-1.7276406499109949</v>
      </c>
      <c r="BD661">
        <f t="shared" si="573"/>
        <v>-278.98651786824723</v>
      </c>
      <c r="BF661">
        <f t="shared" si="574"/>
        <v>-94.060536116702892</v>
      </c>
      <c r="BG661">
        <f t="shared" si="575"/>
        <v>-209.49841752836198</v>
      </c>
      <c r="BH661">
        <f t="shared" si="585"/>
        <v>-29.498417528361983</v>
      </c>
      <c r="BI661">
        <f t="shared" si="586"/>
        <v>-29.498417528361983</v>
      </c>
      <c r="BJ661">
        <f t="shared" si="576"/>
        <v>0</v>
      </c>
      <c r="BK661">
        <f t="shared" si="587"/>
        <v>0</v>
      </c>
      <c r="BM661">
        <f t="shared" si="588"/>
        <v>-87.116881671878076</v>
      </c>
      <c r="BN661">
        <f t="shared" si="577"/>
        <v>-110.51189966011479</v>
      </c>
      <c r="BQ661" s="66">
        <f t="shared" si="589"/>
        <v>9.9583063554603157</v>
      </c>
    </row>
    <row r="662" spans="1:69" ht="13" x14ac:dyDescent="0.3">
      <c r="A662">
        <f t="shared" si="563"/>
        <v>8600000</v>
      </c>
      <c r="B662">
        <f t="shared" si="578"/>
        <v>8600</v>
      </c>
      <c r="C662">
        <f t="shared" si="539"/>
        <v>2.8808955896324608</v>
      </c>
      <c r="D662">
        <f t="shared" si="540"/>
        <v>1.2163040233443048</v>
      </c>
      <c r="F662">
        <f t="shared" si="541"/>
        <v>1.006559023498619E-6</v>
      </c>
      <c r="G662">
        <f t="shared" si="542"/>
        <v>3.1278234450488312E-4</v>
      </c>
      <c r="H662">
        <f t="shared" si="564"/>
        <v>-3.1412798676554954</v>
      </c>
      <c r="J662">
        <f t="shared" si="565"/>
        <v>15</v>
      </c>
      <c r="M662">
        <f t="shared" si="543"/>
        <v>1.2771834888034763E-4</v>
      </c>
      <c r="N662">
        <f t="shared" si="566"/>
        <v>-1.5707963250000001</v>
      </c>
      <c r="O662">
        <f t="shared" si="544"/>
        <v>2961.5720201619006</v>
      </c>
      <c r="P662">
        <f t="shared" si="567"/>
        <v>1.5704586682769899</v>
      </c>
      <c r="Q662">
        <f t="shared" si="545"/>
        <v>1137.504913350564</v>
      </c>
      <c r="R662">
        <f t="shared" si="568"/>
        <v>1.5699172095998224</v>
      </c>
      <c r="S662">
        <f t="shared" si="546"/>
        <v>0.34051696369552042</v>
      </c>
      <c r="T662">
        <f t="shared" si="569"/>
        <v>-1.2233296620204299</v>
      </c>
      <c r="U662">
        <f t="shared" si="547"/>
        <v>2.3292117797088382E-2</v>
      </c>
      <c r="V662">
        <f t="shared" si="570"/>
        <v>-1.5475021023995004</v>
      </c>
      <c r="X662">
        <f t="shared" si="548"/>
        <v>-76.569307412073215</v>
      </c>
      <c r="Y662">
        <f t="shared" si="549"/>
        <v>-179.11967360051452</v>
      </c>
      <c r="Z662">
        <f t="shared" si="579"/>
        <v>0.88032639948548308</v>
      </c>
      <c r="AC662">
        <v>1</v>
      </c>
      <c r="AD662">
        <f t="shared" si="550"/>
        <v>2961.5718513326401</v>
      </c>
      <c r="AE662">
        <f t="shared" si="551"/>
        <v>-16.00297006022085</v>
      </c>
      <c r="AF662">
        <f t="shared" si="552"/>
        <v>0.37284421570199999</v>
      </c>
      <c r="AG662">
        <f t="shared" si="553"/>
        <v>4.2469059304083867</v>
      </c>
      <c r="AH662">
        <f t="shared" si="554"/>
        <v>-184.96494125047479</v>
      </c>
      <c r="AJ662">
        <f t="shared" si="571"/>
        <v>21000</v>
      </c>
      <c r="AK662">
        <f t="shared" si="555"/>
        <v>57985.380850698006</v>
      </c>
      <c r="AL662">
        <v>37</v>
      </c>
      <c r="AM662">
        <f t="shared" si="556"/>
        <v>1137.5044737919379</v>
      </c>
      <c r="AN662">
        <f t="shared" si="557"/>
        <v>51.521949290023144</v>
      </c>
      <c r="AO662">
        <f t="shared" si="558"/>
        <v>-16.785593653640074</v>
      </c>
      <c r="AQ662">
        <f t="shared" si="559"/>
        <v>3.3802055050696138E-5</v>
      </c>
      <c r="AR662">
        <f t="shared" si="560"/>
        <v>-0.58139534687197358</v>
      </c>
      <c r="AT662">
        <f t="shared" si="561"/>
        <v>-107.53761262332596</v>
      </c>
      <c r="AU662">
        <f t="shared" si="562"/>
        <v>-2.4753835416690233</v>
      </c>
      <c r="AV662">
        <f t="shared" si="580"/>
        <v>-3.1185779481774856</v>
      </c>
      <c r="AW662">
        <f t="shared" si="581"/>
        <v>44.087572408811766</v>
      </c>
      <c r="AX662">
        <f t="shared" si="582"/>
        <v>-238.10641797785024</v>
      </c>
      <c r="AY662">
        <f t="shared" si="590"/>
        <v>-1.3877107203922416</v>
      </c>
      <c r="BA662">
        <f t="shared" si="572"/>
        <v>0.44420601572136792</v>
      </c>
      <c r="BB662">
        <f t="shared" si="583"/>
        <v>-7.0483112850933569</v>
      </c>
      <c r="BC662">
        <f t="shared" si="584"/>
        <v>-1.7308672277852439</v>
      </c>
      <c r="BD662">
        <f t="shared" si="573"/>
        <v>-279.17138716292322</v>
      </c>
      <c r="BF662">
        <f t="shared" si="574"/>
        <v>-94.279150799233179</v>
      </c>
      <c r="BG662">
        <f t="shared" si="575"/>
        <v>-209.46437883261476</v>
      </c>
      <c r="BH662">
        <f t="shared" si="585"/>
        <v>-29.464378832614756</v>
      </c>
      <c r="BI662">
        <f t="shared" si="586"/>
        <v>-29.464378832614756</v>
      </c>
      <c r="BJ662">
        <f t="shared" si="576"/>
        <v>0</v>
      </c>
      <c r="BK662">
        <f t="shared" si="587"/>
        <v>0</v>
      </c>
      <c r="BM662">
        <f t="shared" si="588"/>
        <v>-87.230839514139831</v>
      </c>
      <c r="BN662">
        <f t="shared" si="577"/>
        <v>-110.29299166969157</v>
      </c>
      <c r="BQ662" s="66">
        <f t="shared" si="589"/>
        <v>9.8536495151917798</v>
      </c>
    </row>
    <row r="663" spans="1:69" ht="13" x14ac:dyDescent="0.3">
      <c r="A663">
        <f t="shared" si="563"/>
        <v>8700000</v>
      </c>
      <c r="B663">
        <f t="shared" si="578"/>
        <v>8700</v>
      </c>
      <c r="C663">
        <f t="shared" si="539"/>
        <v>2.9103785929174921</v>
      </c>
      <c r="D663">
        <f t="shared" si="540"/>
        <v>1.2200509387004432</v>
      </c>
      <c r="F663">
        <f t="shared" si="541"/>
        <v>9.8355269828338666E-7</v>
      </c>
      <c r="G663">
        <f t="shared" si="542"/>
        <v>3.091871381959402E-4</v>
      </c>
      <c r="H663">
        <f t="shared" si="564"/>
        <v>-3.1412834628618045</v>
      </c>
      <c r="J663">
        <f t="shared" si="565"/>
        <v>15</v>
      </c>
      <c r="M663">
        <f t="shared" si="543"/>
        <v>1.2625032188172291E-4</v>
      </c>
      <c r="N663">
        <f t="shared" si="566"/>
        <v>-1.5707963250000001</v>
      </c>
      <c r="O663">
        <f t="shared" si="544"/>
        <v>2996.0089002135746</v>
      </c>
      <c r="P663">
        <f t="shared" si="567"/>
        <v>1.5704625494090896</v>
      </c>
      <c r="Q663">
        <f t="shared" si="545"/>
        <v>1150.7317045050509</v>
      </c>
      <c r="R663">
        <f t="shared" si="568"/>
        <v>1.5699273143900512</v>
      </c>
      <c r="S663">
        <f t="shared" si="546"/>
        <v>0.33704990338287932</v>
      </c>
      <c r="T663">
        <f t="shared" si="569"/>
        <v>-1.2270146384144074</v>
      </c>
      <c r="U663">
        <f t="shared" si="547"/>
        <v>2.3024535058999276E-2</v>
      </c>
      <c r="V663">
        <f t="shared" si="570"/>
        <v>-1.5477697569206565</v>
      </c>
      <c r="X663">
        <f t="shared" si="548"/>
        <v>-76.770537427162481</v>
      </c>
      <c r="Y663">
        <f t="shared" si="549"/>
        <v>-179.13086488966388</v>
      </c>
      <c r="Z663">
        <f t="shared" si="579"/>
        <v>0.86913511033611712</v>
      </c>
      <c r="AC663">
        <v>1</v>
      </c>
      <c r="AD663">
        <f t="shared" si="550"/>
        <v>2996.0087333248803</v>
      </c>
      <c r="AE663">
        <f t="shared" si="551"/>
        <v>-16.377295887751707</v>
      </c>
      <c r="AF663">
        <f t="shared" si="552"/>
        <v>0.37717961355900004</v>
      </c>
      <c r="AG663">
        <f t="shared" si="553"/>
        <v>4.1498884601719004</v>
      </c>
      <c r="AH663">
        <f t="shared" si="554"/>
        <v>-182.84114181747498</v>
      </c>
      <c r="AJ663">
        <f t="shared" si="571"/>
        <v>21000</v>
      </c>
      <c r="AK663">
        <f t="shared" si="555"/>
        <v>58659.629465241</v>
      </c>
      <c r="AL663">
        <v>38</v>
      </c>
      <c r="AM663">
        <f t="shared" si="556"/>
        <v>1150.7312699988211</v>
      </c>
      <c r="AN663">
        <f t="shared" si="557"/>
        <v>51.522410114692171</v>
      </c>
      <c r="AO663">
        <f t="shared" si="558"/>
        <v>-16.547867353653476</v>
      </c>
      <c r="AQ663">
        <f t="shared" si="559"/>
        <v>3.3029462171259541E-5</v>
      </c>
      <c r="AR663">
        <f t="shared" si="560"/>
        <v>-0.57471264177991599</v>
      </c>
      <c r="AT663">
        <f t="shared" si="561"/>
        <v>-105.0809785713934</v>
      </c>
      <c r="AU663">
        <f t="shared" si="562"/>
        <v>-2.3910325046143908</v>
      </c>
      <c r="AV663">
        <f t="shared" si="580"/>
        <v>-3.1188423898370559</v>
      </c>
      <c r="AW663">
        <f t="shared" si="581"/>
        <v>44.289185965444169</v>
      </c>
      <c r="AX663">
        <f t="shared" si="582"/>
        <v>-235.32619489839021</v>
      </c>
      <c r="AY663">
        <f t="shared" si="590"/>
        <v>-1.3847689690372955</v>
      </c>
      <c r="BA663">
        <f t="shared" si="572"/>
        <v>0.43894272265590284</v>
      </c>
      <c r="BB663">
        <f t="shared" si="583"/>
        <v>-7.1518429371796808</v>
      </c>
      <c r="BC663">
        <f t="shared" si="584"/>
        <v>-1.7340734207997603</v>
      </c>
      <c r="BD663">
        <f t="shared" si="573"/>
        <v>-279.35508849116923</v>
      </c>
      <c r="BF663">
        <f t="shared" si="574"/>
        <v>-94.495075326496035</v>
      </c>
      <c r="BG663">
        <f t="shared" si="575"/>
        <v>-209.43360371466423</v>
      </c>
      <c r="BH663">
        <f t="shared" si="585"/>
        <v>-29.43360371466423</v>
      </c>
      <c r="BI663">
        <f t="shared" si="586"/>
        <v>-29.43360371466423</v>
      </c>
      <c r="BJ663">
        <f t="shared" si="576"/>
        <v>0</v>
      </c>
      <c r="BK663">
        <f t="shared" si="587"/>
        <v>0</v>
      </c>
      <c r="BM663">
        <f t="shared" si="588"/>
        <v>-87.343232389316356</v>
      </c>
      <c r="BN663">
        <f t="shared" si="577"/>
        <v>-110.07851522349499</v>
      </c>
      <c r="BQ663" s="66">
        <f t="shared" si="589"/>
        <v>9.750117863105455</v>
      </c>
    </row>
    <row r="664" spans="1:69" ht="13" x14ac:dyDescent="0.3">
      <c r="A664">
        <f t="shared" si="563"/>
        <v>8800000</v>
      </c>
      <c r="B664">
        <f t="shared" si="578"/>
        <v>8800</v>
      </c>
      <c r="C664">
        <f t="shared" si="539"/>
        <v>2.939901636234918</v>
      </c>
      <c r="D664">
        <f t="shared" si="540"/>
        <v>1.2237226502935996</v>
      </c>
      <c r="F664">
        <f t="shared" si="541"/>
        <v>9.6132621570167587E-7</v>
      </c>
      <c r="G664">
        <f t="shared" si="542"/>
        <v>3.05673641354091E-4</v>
      </c>
      <c r="H664">
        <f t="shared" si="564"/>
        <v>-3.141286976358646</v>
      </c>
      <c r="J664">
        <f t="shared" si="565"/>
        <v>15</v>
      </c>
      <c r="M664">
        <f t="shared" si="543"/>
        <v>1.2481565913306699E-4</v>
      </c>
      <c r="N664">
        <f t="shared" si="566"/>
        <v>-1.5707963250000001</v>
      </c>
      <c r="O664">
        <f t="shared" si="544"/>
        <v>3030.4457803093524</v>
      </c>
      <c r="P664">
        <f t="shared" si="567"/>
        <v>1.5704663423336513</v>
      </c>
      <c r="Q664">
        <f t="shared" si="545"/>
        <v>1163.958495774365</v>
      </c>
      <c r="R664">
        <f t="shared" si="568"/>
        <v>1.569937189526128</v>
      </c>
      <c r="S664">
        <f t="shared" si="546"/>
        <v>0.33364833846585096</v>
      </c>
      <c r="T664">
        <f t="shared" si="569"/>
        <v>-1.2306252842003635</v>
      </c>
      <c r="U664">
        <f t="shared" si="547"/>
        <v>2.2763028965353104E-2</v>
      </c>
      <c r="V664">
        <f t="shared" si="570"/>
        <v>-1.5480313315729746</v>
      </c>
      <c r="X664">
        <f t="shared" si="548"/>
        <v>-76.969461008162526</v>
      </c>
      <c r="Y664">
        <f t="shared" si="549"/>
        <v>-179.14177138660827</v>
      </c>
      <c r="Z664">
        <f t="shared" si="579"/>
        <v>0.85822861339173073</v>
      </c>
      <c r="AC664">
        <v>1</v>
      </c>
      <c r="AD664">
        <f t="shared" si="550"/>
        <v>3030.4456153171204</v>
      </c>
      <c r="AE664">
        <f t="shared" si="551"/>
        <v>-16.755949181496788</v>
      </c>
      <c r="AF664">
        <f t="shared" si="552"/>
        <v>0.38151501141600003</v>
      </c>
      <c r="AG664">
        <f t="shared" si="553"/>
        <v>4.056157290205312</v>
      </c>
      <c r="AH664">
        <f t="shared" si="554"/>
        <v>-180.76553572787066</v>
      </c>
      <c r="AJ664">
        <f t="shared" si="571"/>
        <v>21000</v>
      </c>
      <c r="AK664">
        <f t="shared" si="555"/>
        <v>59333.878079784008</v>
      </c>
      <c r="AL664">
        <v>39</v>
      </c>
      <c r="AM664">
        <f t="shared" si="556"/>
        <v>1163.958066205704</v>
      </c>
      <c r="AN664">
        <f t="shared" si="557"/>
        <v>51.522633257764781</v>
      </c>
      <c r="AO664">
        <f t="shared" si="558"/>
        <v>-16.315551096143185</v>
      </c>
      <c r="AQ664">
        <f t="shared" si="559"/>
        <v>3.2283057747020086E-5</v>
      </c>
      <c r="AR664">
        <f t="shared" si="560"/>
        <v>-0.56818181634755349</v>
      </c>
      <c r="AT664">
        <f t="shared" si="561"/>
        <v>-102.70755947774009</v>
      </c>
      <c r="AU664">
        <f t="shared" si="562"/>
        <v>-2.3104704807687986</v>
      </c>
      <c r="AV664">
        <f t="shared" si="580"/>
        <v>-3.1191008246473593</v>
      </c>
      <c r="AW664">
        <f t="shared" si="581"/>
        <v>44.483384112869743</v>
      </c>
      <c r="AX664">
        <f t="shared" si="582"/>
        <v>-232.60896678361294</v>
      </c>
      <c r="AY664">
        <f t="shared" si="590"/>
        <v>-1.3818409872627806</v>
      </c>
      <c r="BA664">
        <f t="shared" si="572"/>
        <v>0.43379664257971368</v>
      </c>
      <c r="BB664">
        <f t="shared" si="583"/>
        <v>-7.2542762716438123</v>
      </c>
      <c r="BC664">
        <f t="shared" si="584"/>
        <v>-1.7372598373845787</v>
      </c>
      <c r="BD664">
        <f t="shared" si="573"/>
        <v>-279.53765671345843</v>
      </c>
      <c r="BF664">
        <f t="shared" si="574"/>
        <v>-94.708379374789416</v>
      </c>
      <c r="BG664">
        <f t="shared" si="575"/>
        <v>-209.40599966737648</v>
      </c>
      <c r="BH664">
        <f t="shared" si="585"/>
        <v>-29.405999667376477</v>
      </c>
      <c r="BI664">
        <f t="shared" si="586"/>
        <v>-29.405999667376477</v>
      </c>
      <c r="BJ664">
        <f t="shared" si="576"/>
        <v>0</v>
      </c>
      <c r="BK664">
        <f t="shared" si="587"/>
        <v>0</v>
      </c>
      <c r="BM664">
        <f t="shared" si="588"/>
        <v>-87.454103103145613</v>
      </c>
      <c r="BN664">
        <f t="shared" si="577"/>
        <v>-109.86834295391807</v>
      </c>
      <c r="BQ664" s="66">
        <f t="shared" si="589"/>
        <v>9.6476845286413244</v>
      </c>
    </row>
    <row r="665" spans="1:69" ht="13" x14ac:dyDescent="0.3">
      <c r="A665">
        <f t="shared" si="563"/>
        <v>8900000</v>
      </c>
      <c r="B665">
        <f t="shared" si="578"/>
        <v>8900</v>
      </c>
      <c r="C665">
        <f t="shared" si="539"/>
        <v>2.9694635253252057</v>
      </c>
      <c r="D665">
        <f t="shared" si="540"/>
        <v>1.2273213036472943</v>
      </c>
      <c r="F665">
        <f t="shared" si="541"/>
        <v>9.3984472425288244E-7</v>
      </c>
      <c r="G665">
        <f t="shared" si="542"/>
        <v>3.0223909971734868E-4</v>
      </c>
      <c r="H665">
        <f t="shared" si="564"/>
        <v>-3.1412904109002828</v>
      </c>
      <c r="J665">
        <f t="shared" si="565"/>
        <v>15</v>
      </c>
      <c r="M665">
        <f t="shared" si="543"/>
        <v>1.2341323599674038E-4</v>
      </c>
      <c r="N665">
        <f t="shared" si="566"/>
        <v>-1.5707963250000001</v>
      </c>
      <c r="O665">
        <f t="shared" si="544"/>
        <v>3064.8826604477472</v>
      </c>
      <c r="P665">
        <f t="shared" si="567"/>
        <v>1.5704700500239626</v>
      </c>
      <c r="Q665">
        <f t="shared" si="545"/>
        <v>1177.1852871546355</v>
      </c>
      <c r="R665">
        <f t="shared" si="568"/>
        <v>1.5699468427491967</v>
      </c>
      <c r="S665">
        <f t="shared" si="546"/>
        <v>0.33031056796707547</v>
      </c>
      <c r="T665">
        <f t="shared" si="569"/>
        <v>-1.2341637345773673</v>
      </c>
      <c r="U665">
        <f t="shared" si="547"/>
        <v>2.2507394896585532E-2</v>
      </c>
      <c r="V665">
        <f t="shared" si="570"/>
        <v>-1.548287031155033</v>
      </c>
      <c r="X665">
        <f t="shared" si="548"/>
        <v>-77.166130415349642</v>
      </c>
      <c r="Y665">
        <f t="shared" si="549"/>
        <v>-179.15240377781035</v>
      </c>
      <c r="Z665">
        <f t="shared" si="579"/>
        <v>0.84759622218965092</v>
      </c>
      <c r="AC665">
        <v>1</v>
      </c>
      <c r="AD665">
        <f t="shared" si="550"/>
        <v>3064.8824973093601</v>
      </c>
      <c r="AE665">
        <f t="shared" si="551"/>
        <v>-17.138929941456102</v>
      </c>
      <c r="AF665">
        <f t="shared" si="552"/>
        <v>0.38585040927300002</v>
      </c>
      <c r="AG665">
        <f t="shared" si="553"/>
        <v>3.9655656800078871</v>
      </c>
      <c r="AH665">
        <f t="shared" si="554"/>
        <v>-178.73650179052379</v>
      </c>
      <c r="AJ665">
        <f t="shared" si="571"/>
        <v>21000</v>
      </c>
      <c r="AK665">
        <f t="shared" si="555"/>
        <v>60008.126694327002</v>
      </c>
      <c r="AL665">
        <v>40</v>
      </c>
      <c r="AM665">
        <f t="shared" si="556"/>
        <v>1177.1848624125869</v>
      </c>
      <c r="AN665">
        <f t="shared" si="557"/>
        <v>51.522634324270946</v>
      </c>
      <c r="AO665">
        <f t="shared" si="558"/>
        <v>-16.088462595598067</v>
      </c>
      <c r="AQ665">
        <f t="shared" si="559"/>
        <v>3.1561671406509055E-5</v>
      </c>
      <c r="AR665">
        <f t="shared" si="560"/>
        <v>-0.56179775103586116</v>
      </c>
      <c r="AT665">
        <f t="shared" si="561"/>
        <v>-100.4136395740525</v>
      </c>
      <c r="AU665">
        <f t="shared" si="562"/>
        <v>-2.2334871033512878</v>
      </c>
      <c r="AV665">
        <f t="shared" si="580"/>
        <v>-3.1193534549456419</v>
      </c>
      <c r="AW665">
        <f t="shared" si="581"/>
        <v>44.670511285498499</v>
      </c>
      <c r="AX665">
        <f t="shared" si="582"/>
        <v>-229.95262244055402</v>
      </c>
      <c r="AY665">
        <f t="shared" si="590"/>
        <v>-1.3789263974285877</v>
      </c>
      <c r="BA665">
        <f t="shared" si="572"/>
        <v>0.42876382659255885</v>
      </c>
      <c r="BB665">
        <f t="shared" si="583"/>
        <v>-7.3556372356117787</v>
      </c>
      <c r="BC665">
        <f t="shared" si="584"/>
        <v>-1.7404270575170542</v>
      </c>
      <c r="BD665">
        <f t="shared" si="573"/>
        <v>-279.71912506004549</v>
      </c>
      <c r="BF665">
        <f t="shared" si="574"/>
        <v>-94.919129994842592</v>
      </c>
      <c r="BG665">
        <f t="shared" si="575"/>
        <v>-209.38147714937122</v>
      </c>
      <c r="BH665">
        <f t="shared" si="585"/>
        <v>-29.381477149371221</v>
      </c>
      <c r="BI665">
        <f t="shared" si="586"/>
        <v>-29.381477149371221</v>
      </c>
      <c r="BJ665">
        <f t="shared" si="576"/>
        <v>0</v>
      </c>
      <c r="BK665">
        <f t="shared" si="587"/>
        <v>0</v>
      </c>
      <c r="BM665">
        <f t="shared" si="588"/>
        <v>-87.563492759230826</v>
      </c>
      <c r="BN665">
        <f t="shared" si="577"/>
        <v>-109.66235208932575</v>
      </c>
      <c r="BQ665" s="66">
        <f t="shared" si="589"/>
        <v>9.5463235646733597</v>
      </c>
    </row>
    <row r="666" spans="1:69" ht="13" x14ac:dyDescent="0.3">
      <c r="A666">
        <f t="shared" si="563"/>
        <v>9000000</v>
      </c>
      <c r="B666">
        <f t="shared" si="578"/>
        <v>9000</v>
      </c>
      <c r="C666">
        <f t="shared" si="539"/>
        <v>2.9990631114754089</v>
      </c>
      <c r="D666">
        <f t="shared" si="540"/>
        <v>1.2308489673200769</v>
      </c>
      <c r="F666">
        <f t="shared" si="541"/>
        <v>9.1907529781622856E-7</v>
      </c>
      <c r="G666">
        <f t="shared" si="542"/>
        <v>2.9888088143593245E-4</v>
      </c>
      <c r="H666">
        <f t="shared" si="564"/>
        <v>-3.1412937691185641</v>
      </c>
      <c r="J666">
        <f t="shared" si="565"/>
        <v>15</v>
      </c>
      <c r="M666">
        <f t="shared" si="543"/>
        <v>1.2204197781899882E-4</v>
      </c>
      <c r="N666">
        <f t="shared" si="566"/>
        <v>-1.5707963250000001</v>
      </c>
      <c r="O666">
        <f t="shared" si="544"/>
        <v>3099.3195406273385</v>
      </c>
      <c r="P666">
        <f t="shared" si="567"/>
        <v>1.5704736753211643</v>
      </c>
      <c r="Q666">
        <f t="shared" si="545"/>
        <v>1190.4120786421643</v>
      </c>
      <c r="R666">
        <f t="shared" si="568"/>
        <v>1.5699562814563501</v>
      </c>
      <c r="S666">
        <f t="shared" si="546"/>
        <v>0.32703494339004779</v>
      </c>
      <c r="T666">
        <f t="shared" si="569"/>
        <v>-1.237632047440159</v>
      </c>
      <c r="U666">
        <f t="shared" si="547"/>
        <v>2.2257437315808547E-2</v>
      </c>
      <c r="V666">
        <f t="shared" si="570"/>
        <v>-1.5485370513709402</v>
      </c>
      <c r="X666">
        <f t="shared" si="548"/>
        <v>-77.360596154851734</v>
      </c>
      <c r="Y666">
        <f t="shared" si="549"/>
        <v>-179.16277222948457</v>
      </c>
      <c r="Z666">
        <f t="shared" si="579"/>
        <v>0.83722777051542607</v>
      </c>
      <c r="AC666">
        <v>1</v>
      </c>
      <c r="AD666">
        <f t="shared" si="550"/>
        <v>3099.3193793016003</v>
      </c>
      <c r="AE666">
        <f t="shared" si="551"/>
        <v>-17.526238167629646</v>
      </c>
      <c r="AF666">
        <f t="shared" si="552"/>
        <v>0.39018580713000001</v>
      </c>
      <c r="AG666">
        <f t="shared" si="553"/>
        <v>3.8779749876075771</v>
      </c>
      <c r="AH666">
        <f t="shared" si="554"/>
        <v>-176.75249068693881</v>
      </c>
      <c r="AJ666">
        <f t="shared" si="571"/>
        <v>21000</v>
      </c>
      <c r="AK666">
        <f t="shared" si="555"/>
        <v>60682.375308870003</v>
      </c>
      <c r="AL666">
        <v>41</v>
      </c>
      <c r="AM666">
        <f t="shared" si="556"/>
        <v>1190.41165861947</v>
      </c>
      <c r="AN666">
        <f t="shared" si="557"/>
        <v>51.522427891617781</v>
      </c>
      <c r="AO666">
        <f t="shared" si="558"/>
        <v>-15.866427651042793</v>
      </c>
      <c r="AQ666">
        <f t="shared" si="559"/>
        <v>3.0864197435604332E-5</v>
      </c>
      <c r="AR666">
        <f t="shared" si="560"/>
        <v>-0.55555555384087796</v>
      </c>
      <c r="AT666">
        <f t="shared" si="561"/>
        <v>-98.195708165751256</v>
      </c>
      <c r="AU666">
        <f t="shared" si="562"/>
        <v>-2.1598858657911957</v>
      </c>
      <c r="AV666">
        <f t="shared" si="580"/>
        <v>-3.1196004740840704</v>
      </c>
      <c r="AW666">
        <f t="shared" si="581"/>
        <v>44.850892463819925</v>
      </c>
      <c r="AX666">
        <f t="shared" si="582"/>
        <v>-227.35514371552836</v>
      </c>
      <c r="AY666">
        <f t="shared" si="590"/>
        <v>-1.3760248397702251</v>
      </c>
      <c r="BA666">
        <f t="shared" si="572"/>
        <v>0.42384050194456335</v>
      </c>
      <c r="BB666">
        <f t="shared" si="583"/>
        <v>-7.4559508944313624</v>
      </c>
      <c r="BC666">
        <f t="shared" si="584"/>
        <v>-1.7435756343138453</v>
      </c>
      <c r="BD666">
        <f t="shared" si="573"/>
        <v>-279.89952522218061</v>
      </c>
      <c r="BF666">
        <f t="shared" si="574"/>
        <v>-95.127391739990159</v>
      </c>
      <c r="BG666">
        <f t="shared" si="575"/>
        <v>-209.35994948301772</v>
      </c>
      <c r="BH666">
        <f t="shared" si="585"/>
        <v>-29.359949483017715</v>
      </c>
      <c r="BI666">
        <f t="shared" si="586"/>
        <v>-29.359949483017715</v>
      </c>
      <c r="BJ666">
        <f t="shared" si="576"/>
        <v>0</v>
      </c>
      <c r="BK666">
        <f t="shared" si="587"/>
        <v>0</v>
      </c>
      <c r="BM666">
        <f t="shared" si="588"/>
        <v>-87.671440845558791</v>
      </c>
      <c r="BN666">
        <f t="shared" si="577"/>
        <v>-109.46042426083716</v>
      </c>
      <c r="BQ666" s="66">
        <f t="shared" si="589"/>
        <v>9.4460099058537743</v>
      </c>
    </row>
    <row r="667" spans="1:69" ht="13" x14ac:dyDescent="0.3">
      <c r="A667">
        <f t="shared" si="563"/>
        <v>9100000</v>
      </c>
      <c r="B667">
        <f t="shared" si="578"/>
        <v>9100</v>
      </c>
      <c r="C667">
        <f t="shared" si="539"/>
        <v>3.0286992894415956</v>
      </c>
      <c r="D667">
        <f t="shared" si="540"/>
        <v>1.2343076361291294</v>
      </c>
      <c r="F667">
        <f t="shared" si="541"/>
        <v>8.989868094051853E-7</v>
      </c>
      <c r="G667">
        <f t="shared" si="542"/>
        <v>2.9559647034628516E-4</v>
      </c>
      <c r="H667">
        <f t="shared" si="564"/>
        <v>-3.1412970535296538</v>
      </c>
      <c r="J667">
        <f t="shared" si="565"/>
        <v>15</v>
      </c>
      <c r="M667">
        <f t="shared" si="543"/>
        <v>1.2070085718362522E-4</v>
      </c>
      <c r="N667">
        <f t="shared" si="566"/>
        <v>-1.5707963250000001</v>
      </c>
      <c r="O667">
        <f t="shared" si="544"/>
        <v>3133.7564208467679</v>
      </c>
      <c r="P667">
        <f t="shared" si="567"/>
        <v>1.5704772209415128</v>
      </c>
      <c r="Q667">
        <f t="shared" si="545"/>
        <v>1203.6388702334148</v>
      </c>
      <c r="R667">
        <f t="shared" si="568"/>
        <v>1.5699655127195353</v>
      </c>
      <c r="S667">
        <f t="shared" si="546"/>
        <v>0.32381986704355409</v>
      </c>
      <c r="T667">
        <f t="shared" si="569"/>
        <v>-1.2410322066581447</v>
      </c>
      <c r="U667">
        <f t="shared" si="547"/>
        <v>2.2012969270509171E-2</v>
      </c>
      <c r="V667">
        <f t="shared" si="570"/>
        <v>-1.5487815793295319</v>
      </c>
      <c r="X667">
        <f t="shared" si="548"/>
        <v>-77.5529070561347</v>
      </c>
      <c r="Y667">
        <f t="shared" si="549"/>
        <v>-179.17288641825905</v>
      </c>
      <c r="Z667">
        <f t="shared" si="579"/>
        <v>0.82711358174094585</v>
      </c>
      <c r="AC667">
        <v>1</v>
      </c>
      <c r="AD667">
        <f t="shared" si="550"/>
        <v>3133.7562612938405</v>
      </c>
      <c r="AE667">
        <f t="shared" si="551"/>
        <v>-17.917873860017419</v>
      </c>
      <c r="AF667">
        <f t="shared" si="552"/>
        <v>0.394521204987</v>
      </c>
      <c r="AG667">
        <f t="shared" si="553"/>
        <v>3.793254139162626</v>
      </c>
      <c r="AH667">
        <f t="shared" si="554"/>
        <v>-174.81202103389464</v>
      </c>
      <c r="AJ667">
        <f t="shared" si="571"/>
        <v>21000</v>
      </c>
      <c r="AK667">
        <f t="shared" si="555"/>
        <v>61356.623923413012</v>
      </c>
      <c r="AL667">
        <v>42</v>
      </c>
      <c r="AM667">
        <f t="shared" si="556"/>
        <v>1203.6384548263532</v>
      </c>
      <c r="AN667">
        <f t="shared" si="557"/>
        <v>51.522027584193935</v>
      </c>
      <c r="AO667">
        <f t="shared" si="558"/>
        <v>-15.649279703498095</v>
      </c>
      <c r="AQ667">
        <f t="shared" si="559"/>
        <v>3.018959053800993E-5</v>
      </c>
      <c r="AR667">
        <f t="shared" si="560"/>
        <v>-0.54945054779178071</v>
      </c>
      <c r="AT667">
        <f t="shared" si="561"/>
        <v>-96.050446200872429</v>
      </c>
      <c r="AU667">
        <f t="shared" si="562"/>
        <v>-2.0894830680124796</v>
      </c>
      <c r="AV667">
        <f t="shared" si="580"/>
        <v>-3.1198420669229225</v>
      </c>
      <c r="AW667">
        <f t="shared" si="581"/>
        <v>45.024834467771583</v>
      </c>
      <c r="AX667">
        <f t="shared" si="582"/>
        <v>-224.81460043872929</v>
      </c>
      <c r="AY667">
        <f t="shared" si="590"/>
        <v>-1.3731359714050828</v>
      </c>
      <c r="BA667">
        <f t="shared" si="572"/>
        <v>0.41902306231322622</v>
      </c>
      <c r="BB667">
        <f t="shared" si="583"/>
        <v>-7.5552414709966822</v>
      </c>
      <c r="BC667">
        <f t="shared" si="584"/>
        <v>-1.7467060955178397</v>
      </c>
      <c r="BD667">
        <f t="shared" si="573"/>
        <v>-280.07888743730382</v>
      </c>
      <c r="BF667">
        <f t="shared" si="574"/>
        <v>-95.333226786758289</v>
      </c>
      <c r="BG667">
        <f t="shared" si="575"/>
        <v>-209.34133275531616</v>
      </c>
      <c r="BH667">
        <f t="shared" si="585"/>
        <v>-29.341332755316159</v>
      </c>
      <c r="BI667">
        <f t="shared" si="586"/>
        <v>-29.341332755316159</v>
      </c>
      <c r="BJ667">
        <f t="shared" si="576"/>
        <v>0</v>
      </c>
      <c r="BK667">
        <f t="shared" si="587"/>
        <v>0</v>
      </c>
      <c r="BM667">
        <f t="shared" si="588"/>
        <v>-87.777985315761612</v>
      </c>
      <c r="BN667">
        <f t="shared" si="577"/>
        <v>-109.26244531801231</v>
      </c>
      <c r="BQ667" s="66">
        <f t="shared" si="589"/>
        <v>9.3467193292884545</v>
      </c>
    </row>
    <row r="668" spans="1:69" ht="13" x14ac:dyDescent="0.3">
      <c r="A668">
        <f t="shared" si="563"/>
        <v>9200000</v>
      </c>
      <c r="B668">
        <f t="shared" si="578"/>
        <v>9200</v>
      </c>
      <c r="C668">
        <f t="shared" si="539"/>
        <v>3.0583709954796516</v>
      </c>
      <c r="D668">
        <f t="shared" si="540"/>
        <v>1.2376992342253292</v>
      </c>
      <c r="F668">
        <f t="shared" si="541"/>
        <v>8.7954981447486115E-7</v>
      </c>
      <c r="G668">
        <f t="shared" si="542"/>
        <v>2.9238345968374599E-4</v>
      </c>
      <c r="H668">
        <f t="shared" si="564"/>
        <v>-3.1413002665403162</v>
      </c>
      <c r="J668">
        <f t="shared" si="565"/>
        <v>15</v>
      </c>
      <c r="M668">
        <f t="shared" si="543"/>
        <v>1.1938889134467277E-4</v>
      </c>
      <c r="N668">
        <f t="shared" si="566"/>
        <v>-1.5707963250000001</v>
      </c>
      <c r="O668">
        <f t="shared" si="544"/>
        <v>3168.1933011047372</v>
      </c>
      <c r="P668">
        <f t="shared" si="567"/>
        <v>1.5704806894831658</v>
      </c>
      <c r="Q668">
        <f t="shared" si="545"/>
        <v>1216.865661925005</v>
      </c>
      <c r="R668">
        <f t="shared" si="568"/>
        <v>1.5699745433032228</v>
      </c>
      <c r="S668">
        <f t="shared" si="546"/>
        <v>0.32066379040554172</v>
      </c>
      <c r="T668">
        <f t="shared" si="569"/>
        <v>-1.2443661252004892</v>
      </c>
      <c r="U668">
        <f t="shared" si="547"/>
        <v>2.1773811926690159E-2</v>
      </c>
      <c r="V668">
        <f t="shared" si="570"/>
        <v>-1.5490207940110501</v>
      </c>
      <c r="X668">
        <f t="shared" si="548"/>
        <v>-77.743110345266643</v>
      </c>
      <c r="Y668">
        <f t="shared" si="549"/>
        <v>-179.18275555973966</v>
      </c>
      <c r="Z668">
        <f t="shared" si="579"/>
        <v>0.81724444026033893</v>
      </c>
      <c r="AC668">
        <v>1</v>
      </c>
      <c r="AD668">
        <f t="shared" si="550"/>
        <v>3168.1931432860802</v>
      </c>
      <c r="AE668">
        <f t="shared" si="551"/>
        <v>-18.313837018619427</v>
      </c>
      <c r="AF668">
        <f t="shared" si="552"/>
        <v>0.39885660284399999</v>
      </c>
      <c r="AG668">
        <f t="shared" si="553"/>
        <v>3.7112791386459536</v>
      </c>
      <c r="AH668">
        <f t="shared" si="554"/>
        <v>-172.91367570198864</v>
      </c>
      <c r="AJ668">
        <f t="shared" si="571"/>
        <v>21000</v>
      </c>
      <c r="AK668">
        <f t="shared" si="555"/>
        <v>62030.872537956006</v>
      </c>
      <c r="AL668">
        <v>43</v>
      </c>
      <c r="AM668">
        <f t="shared" si="556"/>
        <v>1216.8652510332361</v>
      </c>
      <c r="AN668">
        <f t="shared" si="557"/>
        <v>51.521446141940977</v>
      </c>
      <c r="AO668">
        <f t="shared" si="558"/>
        <v>-15.4368594221477</v>
      </c>
      <c r="AQ668">
        <f t="shared" si="559"/>
        <v>2.9536861916538098E-5</v>
      </c>
      <c r="AR668">
        <f t="shared" si="560"/>
        <v>-0.54347825926430093</v>
      </c>
      <c r="AT668">
        <f t="shared" si="561"/>
        <v>-93.974713853969178</v>
      </c>
      <c r="AU668">
        <f t="shared" si="562"/>
        <v>-2.0221068532779074</v>
      </c>
      <c r="AV668">
        <f t="shared" si="580"/>
        <v>-3.1200784102916441</v>
      </c>
      <c r="AW668">
        <f t="shared" si="581"/>
        <v>45.192627151358167</v>
      </c>
      <c r="AX668">
        <f t="shared" si="582"/>
        <v>-222.32914569400617</v>
      </c>
      <c r="AY668">
        <f t="shared" si="590"/>
        <v>-1.3702594654036331</v>
      </c>
      <c r="BA668">
        <f t="shared" si="572"/>
        <v>0.41430805871820442</v>
      </c>
      <c r="BB668">
        <f t="shared" si="583"/>
        <v>-7.653532382896822</v>
      </c>
      <c r="BC668">
        <f t="shared" si="584"/>
        <v>-1.749818944888011</v>
      </c>
      <c r="BD668">
        <f t="shared" si="573"/>
        <v>-280.25724056867841</v>
      </c>
      <c r="BF668">
        <f t="shared" si="574"/>
        <v>-95.536695048385383</v>
      </c>
      <c r="BG668">
        <f t="shared" si="575"/>
        <v>-209.32554572170253</v>
      </c>
      <c r="BH668">
        <f t="shared" si="585"/>
        <v>-29.325545721702525</v>
      </c>
      <c r="BI668">
        <f t="shared" si="586"/>
        <v>-29.325545721702525</v>
      </c>
      <c r="BJ668">
        <f t="shared" si="576"/>
        <v>0</v>
      </c>
      <c r="BK668">
        <f t="shared" si="587"/>
        <v>0</v>
      </c>
      <c r="BM668">
        <f t="shared" si="588"/>
        <v>-87.883162665488555</v>
      </c>
      <c r="BN668">
        <f t="shared" si="577"/>
        <v>-109.0683051530241</v>
      </c>
      <c r="BQ668" s="66">
        <f t="shared" si="589"/>
        <v>9.2484284173883147</v>
      </c>
    </row>
    <row r="669" spans="1:69" ht="13" x14ac:dyDescent="0.3">
      <c r="A669">
        <f t="shared" si="563"/>
        <v>9300000</v>
      </c>
      <c r="B669">
        <f t="shared" si="578"/>
        <v>9300</v>
      </c>
      <c r="C669">
        <f t="shared" si="539"/>
        <v>3.0880772054782044</v>
      </c>
      <c r="D669">
        <f t="shared" si="540"/>
        <v>1.2410256180267956</v>
      </c>
      <c r="F669">
        <f t="shared" si="541"/>
        <v>8.6073644296506447E-7</v>
      </c>
      <c r="G669">
        <f t="shared" si="542"/>
        <v>2.8923954620085831E-4</v>
      </c>
      <c r="H669">
        <f t="shared" si="564"/>
        <v>-3.1413034104537996</v>
      </c>
      <c r="J669">
        <f t="shared" si="565"/>
        <v>15</v>
      </c>
      <c r="M669">
        <f t="shared" si="543"/>
        <v>1.1810513982483758E-4</v>
      </c>
      <c r="N669">
        <f t="shared" si="566"/>
        <v>-1.5707963250000001</v>
      </c>
      <c r="O669">
        <f t="shared" si="544"/>
        <v>3202.6301814000026</v>
      </c>
      <c r="P669">
        <f t="shared" si="567"/>
        <v>1.5704840834325324</v>
      </c>
      <c r="Q669">
        <f t="shared" si="545"/>
        <v>1230.0924537136987</v>
      </c>
      <c r="R669">
        <f t="shared" si="568"/>
        <v>1.5699833796809393</v>
      </c>
      <c r="S669">
        <f t="shared" si="546"/>
        <v>0.31756521252778397</v>
      </c>
      <c r="T669">
        <f t="shared" si="569"/>
        <v>-1.2476356481148216</v>
      </c>
      <c r="U669">
        <f t="shared" si="547"/>
        <v>2.153979413301569E-2</v>
      </c>
      <c r="V669">
        <f t="shared" si="570"/>
        <v>-1.5492548667037471</v>
      </c>
      <c r="X669">
        <f t="shared" si="548"/>
        <v>-77.931251714232417</v>
      </c>
      <c r="Y669">
        <f t="shared" si="549"/>
        <v>-179.19238843513915</v>
      </c>
      <c r="Z669">
        <f t="shared" si="579"/>
        <v>0.80761156486084928</v>
      </c>
      <c r="AC669">
        <v>1</v>
      </c>
      <c r="AD669">
        <f t="shared" si="550"/>
        <v>3202.6300252783203</v>
      </c>
      <c r="AE669">
        <f t="shared" si="551"/>
        <v>-18.714127643435656</v>
      </c>
      <c r="AF669">
        <f t="shared" si="552"/>
        <v>0.40319200070099998</v>
      </c>
      <c r="AG669">
        <f t="shared" si="553"/>
        <v>3.6319326141880488</v>
      </c>
      <c r="AH669">
        <f t="shared" si="554"/>
        <v>-171.05609837090458</v>
      </c>
      <c r="AJ669">
        <f t="shared" si="571"/>
        <v>21000</v>
      </c>
      <c r="AK669">
        <f t="shared" si="555"/>
        <v>62705.121152499007</v>
      </c>
      <c r="AL669">
        <v>44</v>
      </c>
      <c r="AM669">
        <f t="shared" si="556"/>
        <v>1230.092047240119</v>
      </c>
      <c r="AN669">
        <f t="shared" si="557"/>
        <v>51.520695483432242</v>
      </c>
      <c r="AO669">
        <f t="shared" si="558"/>
        <v>-15.229014317066145</v>
      </c>
      <c r="AQ669">
        <f t="shared" si="559"/>
        <v>2.8905075647748077E-5</v>
      </c>
      <c r="AR669">
        <f t="shared" si="560"/>
        <v>-0.53763440704811416</v>
      </c>
      <c r="AT669">
        <f t="shared" si="561"/>
        <v>-91.965539038318198</v>
      </c>
      <c r="AU669">
        <f t="shared" si="562"/>
        <v>-1.9575963269311183</v>
      </c>
      <c r="AV669">
        <f t="shared" si="580"/>
        <v>-3.1203096734201994</v>
      </c>
      <c r="AW669">
        <f t="shared" si="581"/>
        <v>45.354544507017529</v>
      </c>
      <c r="AX669">
        <f t="shared" si="582"/>
        <v>-219.89701138974414</v>
      </c>
      <c r="AY669">
        <f t="shared" si="590"/>
        <v>-1.3673950099206627</v>
      </c>
      <c r="BA669">
        <f t="shared" si="572"/>
        <v>0.40969219102552712</v>
      </c>
      <c r="BB669">
        <f t="shared" si="583"/>
        <v>-7.750846277531914</v>
      </c>
      <c r="BC669">
        <f t="shared" si="584"/>
        <v>-1.7529146634995367</v>
      </c>
      <c r="BD669">
        <f t="shared" si="573"/>
        <v>-280.43461217988158</v>
      </c>
      <c r="BF669">
        <f t="shared" si="574"/>
        <v>-95.737854281758587</v>
      </c>
      <c r="BG669">
        <f t="shared" si="575"/>
        <v>-209.31250971279718</v>
      </c>
      <c r="BH669">
        <f t="shared" si="585"/>
        <v>-29.31250971279718</v>
      </c>
      <c r="BI669">
        <f t="shared" si="586"/>
        <v>-29.31250971279718</v>
      </c>
      <c r="BJ669">
        <f t="shared" si="576"/>
        <v>0</v>
      </c>
      <c r="BK669">
        <f t="shared" si="587"/>
        <v>0</v>
      </c>
      <c r="BM669">
        <f t="shared" si="588"/>
        <v>-87.987008004226666</v>
      </c>
      <c r="BN669">
        <f t="shared" si="577"/>
        <v>-108.87789753291557</v>
      </c>
      <c r="BQ669" s="66">
        <f t="shared" si="589"/>
        <v>9.1511145227532218</v>
      </c>
    </row>
    <row r="670" spans="1:69" ht="13" x14ac:dyDescent="0.3">
      <c r="A670">
        <f t="shared" si="563"/>
        <v>9400000</v>
      </c>
      <c r="B670">
        <f t="shared" si="578"/>
        <v>9400</v>
      </c>
      <c r="C670">
        <f t="shared" si="539"/>
        <v>3.1178169331878136</v>
      </c>
      <c r="D670">
        <f t="shared" si="540"/>
        <v>1.2442885790176574</v>
      </c>
      <c r="F670">
        <f t="shared" si="541"/>
        <v>8.4252029933957406E-7</v>
      </c>
      <c r="G670">
        <f t="shared" si="542"/>
        <v>2.8616252466110754E-4</v>
      </c>
      <c r="H670">
        <f t="shared" si="564"/>
        <v>-3.1413064874753389</v>
      </c>
      <c r="J670">
        <f t="shared" si="565"/>
        <v>15</v>
      </c>
      <c r="M670">
        <f t="shared" si="543"/>
        <v>1.1684870216712654E-4</v>
      </c>
      <c r="N670">
        <f t="shared" si="566"/>
        <v>-1.5707963250000001</v>
      </c>
      <c r="O670">
        <f t="shared" si="544"/>
        <v>3237.0670617313735</v>
      </c>
      <c r="P670">
        <f t="shared" si="567"/>
        <v>1.5704874051702176</v>
      </c>
      <c r="Q670">
        <f t="shared" si="545"/>
        <v>1243.3192455963958</v>
      </c>
      <c r="R670">
        <f t="shared" si="568"/>
        <v>1.5699920280507422</v>
      </c>
      <c r="S670">
        <f t="shared" si="546"/>
        <v>0.31452267848230636</v>
      </c>
      <c r="T670">
        <f t="shared" si="569"/>
        <v>-1.2508425553667177</v>
      </c>
      <c r="U670">
        <f t="shared" si="547"/>
        <v>2.1310752012731766E-2</v>
      </c>
      <c r="V670">
        <f t="shared" si="570"/>
        <v>-1.5494839614126523</v>
      </c>
      <c r="X670">
        <f t="shared" si="548"/>
        <v>-78.117375386550663</v>
      </c>
      <c r="Y670">
        <f t="shared" si="549"/>
        <v>-179.20179341611853</v>
      </c>
      <c r="Z670">
        <f t="shared" si="579"/>
        <v>0.79820658388146626</v>
      </c>
      <c r="AC670">
        <v>1</v>
      </c>
      <c r="AD670">
        <f t="shared" si="550"/>
        <v>3237.06690727056</v>
      </c>
      <c r="AE670">
        <f t="shared" si="551"/>
        <v>-19.118745734466117</v>
      </c>
      <c r="AF670">
        <f t="shared" si="552"/>
        <v>0.40752739855800002</v>
      </c>
      <c r="AG670">
        <f t="shared" si="553"/>
        <v>3.5551033979795919</v>
      </c>
      <c r="AH670">
        <f t="shared" si="554"/>
        <v>-169.23799030384089</v>
      </c>
      <c r="AJ670">
        <f t="shared" si="571"/>
        <v>21000</v>
      </c>
      <c r="AK670">
        <f t="shared" si="555"/>
        <v>63379.369767042001</v>
      </c>
      <c r="AL670">
        <v>45</v>
      </c>
      <c r="AM670">
        <f t="shared" si="556"/>
        <v>1243.3188434470021</v>
      </c>
      <c r="AN670">
        <f t="shared" si="557"/>
        <v>51.51978676394674</v>
      </c>
      <c r="AO670">
        <f t="shared" si="558"/>
        <v>-15.025598376542838</v>
      </c>
      <c r="AQ670">
        <f t="shared" si="559"/>
        <v>2.8293345325109367E-5</v>
      </c>
      <c r="AR670">
        <f t="shared" si="560"/>
        <v>-0.53191489211205611</v>
      </c>
      <c r="AT670">
        <f t="shared" si="561"/>
        <v>-90.020106767960613</v>
      </c>
      <c r="AU670">
        <f t="shared" si="562"/>
        <v>-1.8958007492853128</v>
      </c>
      <c r="AV670">
        <f t="shared" si="580"/>
        <v>-3.1205360183429165</v>
      </c>
      <c r="AW670">
        <f t="shared" si="581"/>
        <v>45.510845687419071</v>
      </c>
      <c r="AX670">
        <f t="shared" si="582"/>
        <v>-217.51650410878011</v>
      </c>
      <c r="AY670">
        <f t="shared" si="590"/>
        <v>-1.3645423073820568</v>
      </c>
      <c r="BA670">
        <f t="shared" si="572"/>
        <v>0.4051722999970479</v>
      </c>
      <c r="BB670">
        <f t="shared" si="583"/>
        <v>-7.8472050653289935</v>
      </c>
      <c r="BC670">
        <f t="shared" si="584"/>
        <v>-1.7559937109608597</v>
      </c>
      <c r="BD670">
        <f t="shared" si="573"/>
        <v>-280.61102860453752</v>
      </c>
      <c r="BF670">
        <f t="shared" si="574"/>
        <v>-95.936760188210542</v>
      </c>
      <c r="BG670">
        <f t="shared" si="575"/>
        <v>-209.30214854409508</v>
      </c>
      <c r="BH670">
        <f t="shared" si="585"/>
        <v>-29.302148544095076</v>
      </c>
      <c r="BI670">
        <f t="shared" si="586"/>
        <v>-29.302148544095076</v>
      </c>
      <c r="BJ670">
        <f t="shared" si="576"/>
        <v>0</v>
      </c>
      <c r="BK670">
        <f t="shared" si="587"/>
        <v>0</v>
      </c>
      <c r="BM670">
        <f t="shared" si="588"/>
        <v>-88.089555122881535</v>
      </c>
      <c r="BN670">
        <f t="shared" si="577"/>
        <v>-108.69111993955762</v>
      </c>
      <c r="BQ670" s="66">
        <f t="shared" si="589"/>
        <v>9.0547557349561423</v>
      </c>
    </row>
    <row r="671" spans="1:69" ht="13" x14ac:dyDescent="0.3">
      <c r="A671">
        <f t="shared" si="563"/>
        <v>9500000</v>
      </c>
      <c r="B671">
        <f t="shared" si="578"/>
        <v>9500</v>
      </c>
      <c r="C671">
        <f t="shared" si="539"/>
        <v>3.1475892285409413</v>
      </c>
      <c r="D671">
        <f t="shared" si="540"/>
        <v>1.2474898464184794</v>
      </c>
      <c r="F671">
        <f t="shared" si="541"/>
        <v>8.2487636995183154E-7</v>
      </c>
      <c r="G671">
        <f t="shared" si="542"/>
        <v>2.8315028268042515E-4</v>
      </c>
      <c r="H671">
        <f t="shared" si="564"/>
        <v>-3.1413094997173197</v>
      </c>
      <c r="J671">
        <f t="shared" si="565"/>
        <v>15</v>
      </c>
      <c r="M671">
        <f t="shared" si="543"/>
        <v>1.156187158285252E-4</v>
      </c>
      <c r="N671">
        <f t="shared" si="566"/>
        <v>-1.5707963250000001</v>
      </c>
      <c r="O671">
        <f t="shared" si="544"/>
        <v>3271.5039420977105</v>
      </c>
      <c r="P671">
        <f t="shared" si="567"/>
        <v>1.5704906569765895</v>
      </c>
      <c r="Q671">
        <f t="shared" si="545"/>
        <v>1256.5460375701289</v>
      </c>
      <c r="R671">
        <f t="shared" si="568"/>
        <v>1.5700004943497186</v>
      </c>
      <c r="S671">
        <f t="shared" si="546"/>
        <v>0.31153477785020334</v>
      </c>
      <c r="T671">
        <f t="shared" si="569"/>
        <v>-1.2539885645467961</v>
      </c>
      <c r="U671">
        <f t="shared" si="547"/>
        <v>2.1086528581318553E-2</v>
      </c>
      <c r="V671">
        <f t="shared" si="570"/>
        <v>-1.5497082352425493</v>
      </c>
      <c r="X671">
        <f t="shared" si="548"/>
        <v>-78.301524179427133</v>
      </c>
      <c r="Y671">
        <f t="shared" si="549"/>
        <v>-179.2109784879774</v>
      </c>
      <c r="Z671">
        <f t="shared" si="579"/>
        <v>0.78902151202260029</v>
      </c>
      <c r="AC671">
        <v>1</v>
      </c>
      <c r="AD671">
        <f t="shared" si="550"/>
        <v>3271.5037892628006</v>
      </c>
      <c r="AE671">
        <f t="shared" si="551"/>
        <v>-19.527691291710809</v>
      </c>
      <c r="AF671">
        <f t="shared" si="552"/>
        <v>0.41186279641500001</v>
      </c>
      <c r="AG671">
        <f t="shared" si="553"/>
        <v>3.4806861369267215</v>
      </c>
      <c r="AH671">
        <f t="shared" si="554"/>
        <v>-167.45810732501161</v>
      </c>
      <c r="AJ671">
        <f t="shared" si="571"/>
        <v>21000</v>
      </c>
      <c r="AK671">
        <f t="shared" si="555"/>
        <v>64053.618381585009</v>
      </c>
      <c r="AL671">
        <v>46</v>
      </c>
      <c r="AM671">
        <f t="shared" si="556"/>
        <v>1256.545639653885</v>
      </c>
      <c r="AN671">
        <f t="shared" si="557"/>
        <v>51.518730428978053</v>
      </c>
      <c r="AO671">
        <f t="shared" si="558"/>
        <v>-14.826471727201783</v>
      </c>
      <c r="AQ671">
        <f t="shared" si="559"/>
        <v>2.7700830948197144E-5</v>
      </c>
      <c r="AR671">
        <f t="shared" si="560"/>
        <v>-0.52631578801574574</v>
      </c>
      <c r="AT671">
        <f t="shared" si="561"/>
        <v>-88.135749298490552</v>
      </c>
      <c r="AU671">
        <f t="shared" si="562"/>
        <v>-1.8365787957139845</v>
      </c>
      <c r="AV671">
        <f t="shared" si="580"/>
        <v>-3.1207576002768542</v>
      </c>
      <c r="AW671">
        <f t="shared" si="581"/>
        <v>45.66177595165248</v>
      </c>
      <c r="AX671">
        <f t="shared" si="582"/>
        <v>-215.18600121711501</v>
      </c>
      <c r="AY671">
        <f t="shared" si="590"/>
        <v>-1.3617010737230297</v>
      </c>
      <c r="BA671">
        <f t="shared" si="572"/>
        <v>0.40074535984469051</v>
      </c>
      <c r="BB671">
        <f t="shared" si="583"/>
        <v>-7.9426299511800478</v>
      </c>
      <c r="BC671">
        <f t="shared" si="584"/>
        <v>-1.7590565265538245</v>
      </c>
      <c r="BD671">
        <f t="shared" si="573"/>
        <v>-280.78651501164177</v>
      </c>
      <c r="BF671">
        <f t="shared" si="574"/>
        <v>-96.133466508587091</v>
      </c>
      <c r="BG671">
        <f t="shared" si="575"/>
        <v>-209.29438842858241</v>
      </c>
      <c r="BH671">
        <f t="shared" si="585"/>
        <v>-29.294388428582408</v>
      </c>
      <c r="BI671">
        <f t="shared" si="586"/>
        <v>-29.294388428582408</v>
      </c>
      <c r="BJ671">
        <f t="shared" si="576"/>
        <v>0</v>
      </c>
      <c r="BK671">
        <f t="shared" si="587"/>
        <v>0</v>
      </c>
      <c r="BM671">
        <f t="shared" si="588"/>
        <v>-88.190836557407039</v>
      </c>
      <c r="BN671">
        <f t="shared" si="577"/>
        <v>-108.50787341694068</v>
      </c>
      <c r="BQ671" s="66">
        <f t="shared" si="589"/>
        <v>8.959330849105088</v>
      </c>
    </row>
    <row r="672" spans="1:69" ht="13" x14ac:dyDescent="0.3">
      <c r="A672">
        <f t="shared" si="563"/>
        <v>9600000</v>
      </c>
      <c r="B672">
        <f t="shared" si="578"/>
        <v>9600</v>
      </c>
      <c r="C672">
        <f t="shared" si="539"/>
        <v>3.1773931760575298</v>
      </c>
      <c r="D672">
        <f t="shared" si="540"/>
        <v>1.2506310897344957</v>
      </c>
      <c r="F672">
        <f t="shared" si="541"/>
        <v>8.0778093712973994E-7</v>
      </c>
      <c r="G672">
        <f t="shared" si="542"/>
        <v>2.8020079589110002E-4</v>
      </c>
      <c r="H672">
        <f t="shared" si="564"/>
        <v>-3.1413124492041091</v>
      </c>
      <c r="J672">
        <f t="shared" si="565"/>
        <v>15</v>
      </c>
      <c r="M672">
        <f t="shared" si="543"/>
        <v>1.144143542053114E-4</v>
      </c>
      <c r="N672">
        <f t="shared" si="566"/>
        <v>-1.5707963250000001</v>
      </c>
      <c r="O672">
        <f t="shared" si="544"/>
        <v>3305.9408224979206</v>
      </c>
      <c r="P672">
        <f t="shared" si="567"/>
        <v>1.5704938410370015</v>
      </c>
      <c r="Q672">
        <f t="shared" si="545"/>
        <v>1269.7728296320522</v>
      </c>
      <c r="R672">
        <f t="shared" si="568"/>
        <v>1.5700087842675767</v>
      </c>
      <c r="S672">
        <f t="shared" si="546"/>
        <v>0.30860014325318397</v>
      </c>
      <c r="T672">
        <f t="shared" si="569"/>
        <v>-1.2570753334519431</v>
      </c>
      <c r="U672">
        <f t="shared" si="547"/>
        <v>2.0866973388001801E-2</v>
      </c>
      <c r="V672">
        <f t="shared" si="570"/>
        <v>-1.5499278387570412</v>
      </c>
      <c r="X672">
        <f t="shared" si="548"/>
        <v>-78.483739562660872</v>
      </c>
      <c r="Y672">
        <f t="shared" si="549"/>
        <v>-179.21995127131569</v>
      </c>
      <c r="Z672">
        <f t="shared" si="579"/>
        <v>0.78004872868430652</v>
      </c>
      <c r="AC672">
        <v>1</v>
      </c>
      <c r="AD672">
        <f t="shared" si="550"/>
        <v>3305.9406712550399</v>
      </c>
      <c r="AE672">
        <f t="shared" si="551"/>
        <v>-19.94096431516973</v>
      </c>
      <c r="AF672">
        <f t="shared" si="552"/>
        <v>0.416198194272</v>
      </c>
      <c r="AG672">
        <f t="shared" si="553"/>
        <v>3.4085809315130859</v>
      </c>
      <c r="AH672">
        <f t="shared" si="554"/>
        <v>-165.71525698546378</v>
      </c>
      <c r="AJ672">
        <f t="shared" si="571"/>
        <v>21000</v>
      </c>
      <c r="AK672">
        <f t="shared" si="555"/>
        <v>64727.866996128003</v>
      </c>
      <c r="AL672">
        <v>47</v>
      </c>
      <c r="AM672">
        <f t="shared" si="556"/>
        <v>1269.7724358607679</v>
      </c>
      <c r="AN672">
        <f t="shared" si="557"/>
        <v>51.517536263575316</v>
      </c>
      <c r="AO672">
        <f t="shared" si="558"/>
        <v>-14.63150031526526</v>
      </c>
      <c r="AQ672">
        <f t="shared" si="559"/>
        <v>2.7126736037525129E-5</v>
      </c>
      <c r="AR672">
        <f t="shared" si="560"/>
        <v>-0.52083333192048253</v>
      </c>
      <c r="AT672">
        <f t="shared" si="561"/>
        <v>-86.309936982122935</v>
      </c>
      <c r="AU672">
        <f t="shared" si="562"/>
        <v>-1.7797978777142178</v>
      </c>
      <c r="AV672">
        <f t="shared" si="580"/>
        <v>-3.1209745679765466</v>
      </c>
      <c r="AW672">
        <f t="shared" si="581"/>
        <v>45.807567542113716</v>
      </c>
      <c r="AX672">
        <f t="shared" si="582"/>
        <v>-212.90394721283511</v>
      </c>
      <c r="AY672">
        <f t="shared" si="590"/>
        <v>-1.3588710376740418</v>
      </c>
      <c r="BA672">
        <f t="shared" si="572"/>
        <v>0.39640847125243989</v>
      </c>
      <c r="BB672">
        <f t="shared" si="583"/>
        <v>-8.037141464215626</v>
      </c>
      <c r="BC672">
        <f t="shared" si="584"/>
        <v>-1.7621035303025048</v>
      </c>
      <c r="BD672">
        <f t="shared" si="573"/>
        <v>-280.96109546680117</v>
      </c>
      <c r="BF672">
        <f t="shared" si="574"/>
        <v>-96.328025112964824</v>
      </c>
      <c r="BG672">
        <f t="shared" si="575"/>
        <v>-209.2891578922497</v>
      </c>
      <c r="BH672">
        <f t="shared" si="585"/>
        <v>-29.289157892249705</v>
      </c>
      <c r="BI672">
        <f t="shared" si="586"/>
        <v>-29.289157892249705</v>
      </c>
      <c r="BJ672">
        <f t="shared" si="576"/>
        <v>0</v>
      </c>
      <c r="BK672">
        <f t="shared" si="587"/>
        <v>0</v>
      </c>
      <c r="BM672">
        <f t="shared" si="588"/>
        <v>-88.290883648749201</v>
      </c>
      <c r="BN672">
        <f t="shared" si="577"/>
        <v>-108.32806242544858</v>
      </c>
      <c r="BQ672" s="66">
        <f t="shared" si="589"/>
        <v>8.8648193360695107</v>
      </c>
    </row>
    <row r="673" spans="1:69" ht="13" x14ac:dyDescent="0.3">
      <c r="A673">
        <f t="shared" si="563"/>
        <v>9700000</v>
      </c>
      <c r="B673">
        <f t="shared" si="578"/>
        <v>9700</v>
      </c>
      <c r="C673">
        <f t="shared" si="539"/>
        <v>3.2072278933313521</v>
      </c>
      <c r="D673">
        <f t="shared" si="540"/>
        <v>1.2537139211875303</v>
      </c>
      <c r="F673">
        <f t="shared" si="541"/>
        <v>7.9121149942829251E-7</v>
      </c>
      <c r="G673">
        <f t="shared" si="542"/>
        <v>2.7731212340483137E-4</v>
      </c>
      <c r="H673">
        <f t="shared" si="564"/>
        <v>-3.1413153378765952</v>
      </c>
      <c r="J673">
        <f t="shared" si="565"/>
        <v>15</v>
      </c>
      <c r="M673">
        <f t="shared" si="543"/>
        <v>1.1323482478051436E-4</v>
      </c>
      <c r="N673">
        <f t="shared" si="566"/>
        <v>-1.5707963250000001</v>
      </c>
      <c r="O673">
        <f t="shared" si="544"/>
        <v>3340.3777029309554</v>
      </c>
      <c r="P673">
        <f t="shared" si="567"/>
        <v>1.5704969594466895</v>
      </c>
      <c r="Q673">
        <f t="shared" si="545"/>
        <v>1282.9996217794385</v>
      </c>
      <c r="R673">
        <f t="shared" si="568"/>
        <v>1.5700169032593985</v>
      </c>
      <c r="S673">
        <f t="shared" si="546"/>
        <v>0.30571744892793618</v>
      </c>
      <c r="T673">
        <f t="shared" si="569"/>
        <v>-1.2601044625468694</v>
      </c>
      <c r="U673">
        <f t="shared" si="547"/>
        <v>2.0651942179404643E-2</v>
      </c>
      <c r="V673">
        <f t="shared" si="570"/>
        <v>-1.5501429163154317</v>
      </c>
      <c r="X673">
        <f t="shared" si="548"/>
        <v>-78.664061714504271</v>
      </c>
      <c r="Y673">
        <f t="shared" si="549"/>
        <v>-179.22871904228259</v>
      </c>
      <c r="Z673">
        <f t="shared" si="579"/>
        <v>0.77128095771740846</v>
      </c>
      <c r="AC673">
        <v>1</v>
      </c>
      <c r="AD673">
        <f t="shared" si="550"/>
        <v>3340.3775532472805</v>
      </c>
      <c r="AE673">
        <f t="shared" si="551"/>
        <v>-20.358564804842882</v>
      </c>
      <c r="AF673">
        <f t="shared" si="552"/>
        <v>0.42053359212900004</v>
      </c>
      <c r="AG673">
        <f t="shared" si="553"/>
        <v>3.3386930005575821</v>
      </c>
      <c r="AH673">
        <f t="shared" si="554"/>
        <v>-164.00829590367135</v>
      </c>
      <c r="AJ673">
        <f t="shared" si="571"/>
        <v>21000</v>
      </c>
      <c r="AK673">
        <f t="shared" si="555"/>
        <v>65402.115610671004</v>
      </c>
      <c r="AL673">
        <v>48</v>
      </c>
      <c r="AM673">
        <f t="shared" si="556"/>
        <v>1282.9992320676508</v>
      </c>
      <c r="AN673">
        <f t="shared" si="557"/>
        <v>51.516213437876196</v>
      </c>
      <c r="AO673">
        <f t="shared" si="558"/>
        <v>-14.440555607444843</v>
      </c>
      <c r="AQ673">
        <f t="shared" si="559"/>
        <v>2.65703049565036E-5</v>
      </c>
      <c r="AR673">
        <f t="shared" si="560"/>
        <v>-0.51546391615616982</v>
      </c>
      <c r="AT673">
        <f t="shared" si="561"/>
        <v>-84.540269778515167</v>
      </c>
      <c r="AU673">
        <f t="shared" si="562"/>
        <v>-1.7253335193481614</v>
      </c>
      <c r="AV673">
        <f t="shared" si="580"/>
        <v>-3.1211870640668282</v>
      </c>
      <c r="AW673">
        <f t="shared" si="581"/>
        <v>45.948440497811262</v>
      </c>
      <c r="AX673">
        <f t="shared" si="582"/>
        <v>-210.66885029816495</v>
      </c>
      <c r="AY673">
        <f t="shared" si="590"/>
        <v>-1.3560519400909552</v>
      </c>
      <c r="BA673">
        <f t="shared" si="572"/>
        <v>0.39215885483211382</v>
      </c>
      <c r="BB673">
        <f t="shared" si="583"/>
        <v>-8.1307594860188512</v>
      </c>
      <c r="BC673">
        <f t="shared" si="584"/>
        <v>-1.765135123975873</v>
      </c>
      <c r="BD673">
        <f t="shared" si="573"/>
        <v>-281.13479298968218</v>
      </c>
      <c r="BF673">
        <f t="shared" si="574"/>
        <v>-96.520486085369996</v>
      </c>
      <c r="BG673">
        <f t="shared" si="575"/>
        <v>-209.28638769246189</v>
      </c>
      <c r="BH673">
        <f t="shared" si="585"/>
        <v>-29.286387692461886</v>
      </c>
      <c r="BI673">
        <f t="shared" si="586"/>
        <v>-29.286387692461886</v>
      </c>
      <c r="BJ673">
        <f t="shared" si="576"/>
        <v>0</v>
      </c>
      <c r="BK673">
        <f t="shared" si="587"/>
        <v>0</v>
      </c>
      <c r="BM673">
        <f t="shared" si="588"/>
        <v>-88.38972659935115</v>
      </c>
      <c r="BN673">
        <f t="shared" si="577"/>
        <v>-108.1515947027797</v>
      </c>
      <c r="BQ673" s="66">
        <f t="shared" si="589"/>
        <v>8.7712013142662855</v>
      </c>
    </row>
    <row r="674" spans="1:69" ht="13" x14ac:dyDescent="0.3">
      <c r="A674">
        <f t="shared" si="563"/>
        <v>9800000</v>
      </c>
      <c r="B674">
        <f t="shared" si="578"/>
        <v>9800</v>
      </c>
      <c r="C674">
        <f t="shared" si="539"/>
        <v>3.2370925295925779</v>
      </c>
      <c r="D674">
        <f t="shared" si="540"/>
        <v>1.2567398980372031</v>
      </c>
      <c r="F674">
        <f t="shared" si="541"/>
        <v>7.7514669754913907E-7</v>
      </c>
      <c r="G674">
        <f t="shared" si="542"/>
        <v>2.7448240355355499E-4</v>
      </c>
      <c r="H674">
        <f t="shared" si="564"/>
        <v>-3.1413181675964466</v>
      </c>
      <c r="J674">
        <f t="shared" si="565"/>
        <v>15</v>
      </c>
      <c r="M674">
        <f t="shared" si="543"/>
        <v>1.1207936738479485E-4</v>
      </c>
      <c r="N674">
        <f t="shared" si="566"/>
        <v>-1.5707963250000001</v>
      </c>
      <c r="O674">
        <f t="shared" si="544"/>
        <v>3374.814583395811</v>
      </c>
      <c r="P674">
        <f t="shared" si="567"/>
        <v>1.5705000142153689</v>
      </c>
      <c r="Q674">
        <f t="shared" si="545"/>
        <v>1296.226414009672</v>
      </c>
      <c r="R674">
        <f t="shared" si="568"/>
        <v>1.5700248565576091</v>
      </c>
      <c r="S674">
        <f t="shared" si="546"/>
        <v>0.30288540934318864</v>
      </c>
      <c r="T674">
        <f t="shared" si="569"/>
        <v>-1.263077497311903</v>
      </c>
      <c r="U674">
        <f t="shared" si="547"/>
        <v>2.0441296583760961E-2</v>
      </c>
      <c r="V674">
        <f t="shared" si="570"/>
        <v>-1.5503536063889967</v>
      </c>
      <c r="X674">
        <f t="shared" si="548"/>
        <v>-78.842529574663672</v>
      </c>
      <c r="Y674">
        <f t="shared" si="549"/>
        <v>-179.23728875151579</v>
      </c>
      <c r="Z674">
        <f t="shared" si="579"/>
        <v>0.76271124848420868</v>
      </c>
      <c r="AC674">
        <v>1</v>
      </c>
      <c r="AD674">
        <f t="shared" si="550"/>
        <v>3374.8144352395207</v>
      </c>
      <c r="AE674">
        <f t="shared" si="551"/>
        <v>-20.780492760730262</v>
      </c>
      <c r="AF674">
        <f t="shared" si="552"/>
        <v>0.42486898998600003</v>
      </c>
      <c r="AG674">
        <f t="shared" si="553"/>
        <v>3.2709323697674266</v>
      </c>
      <c r="AH674">
        <f t="shared" si="554"/>
        <v>-162.33612726846223</v>
      </c>
      <c r="AJ674">
        <f t="shared" si="571"/>
        <v>21000</v>
      </c>
      <c r="AK674">
        <f t="shared" si="555"/>
        <v>66076.364225213998</v>
      </c>
      <c r="AL674">
        <v>49</v>
      </c>
      <c r="AM674">
        <f t="shared" si="556"/>
        <v>1296.2260282745342</v>
      </c>
      <c r="AN674">
        <f t="shared" si="557"/>
        <v>51.514770549156623</v>
      </c>
      <c r="AO674">
        <f t="shared" si="558"/>
        <v>-14.253514310066183</v>
      </c>
      <c r="AQ674">
        <f t="shared" si="559"/>
        <v>2.603082042370153E-5</v>
      </c>
      <c r="AR674">
        <f t="shared" si="560"/>
        <v>-0.51020408030455</v>
      </c>
      <c r="AT674">
        <f t="shared" si="561"/>
        <v>-82.824469368155022</v>
      </c>
      <c r="AU674">
        <f t="shared" si="562"/>
        <v>-1.6730687840327767</v>
      </c>
      <c r="AV674">
        <f t="shared" si="580"/>
        <v>-3.1213952253553017</v>
      </c>
      <c r="AW674">
        <f t="shared" si="581"/>
        <v>46.084603409289407</v>
      </c>
      <c r="AX674">
        <f t="shared" si="582"/>
        <v>-208.47927915894104</v>
      </c>
      <c r="AY674">
        <f t="shared" si="590"/>
        <v>-1.3532435333262571</v>
      </c>
      <c r="BA674">
        <f t="shared" si="572"/>
        <v>0.38799384498173589</v>
      </c>
      <c r="BB674">
        <f t="shared" si="583"/>
        <v>-8.2235032773772243</v>
      </c>
      <c r="BC674">
        <f t="shared" si="584"/>
        <v>-1.7681516920290445</v>
      </c>
      <c r="BD674">
        <f t="shared" si="573"/>
        <v>-281.30762960794038</v>
      </c>
      <c r="BF674">
        <f t="shared" si="574"/>
        <v>-96.710897803823102</v>
      </c>
      <c r="BG674">
        <f t="shared" si="575"/>
        <v>-209.28601073913632</v>
      </c>
      <c r="BH674">
        <f t="shared" si="585"/>
        <v>-29.286010739136316</v>
      </c>
      <c r="BI674">
        <f t="shared" si="586"/>
        <v>-29.286010739136316</v>
      </c>
      <c r="BJ674">
        <f t="shared" si="576"/>
        <v>0</v>
      </c>
      <c r="BK674">
        <f t="shared" si="587"/>
        <v>0</v>
      </c>
      <c r="BM674">
        <f t="shared" si="588"/>
        <v>-88.487394526445868</v>
      </c>
      <c r="BN674">
        <f t="shared" si="577"/>
        <v>-107.97838113119593</v>
      </c>
      <c r="BQ674" s="66">
        <f t="shared" si="589"/>
        <v>8.6784575229079124</v>
      </c>
    </row>
    <row r="675" spans="1:69" ht="13" x14ac:dyDescent="0.3">
      <c r="A675">
        <f t="shared" si="563"/>
        <v>9900000</v>
      </c>
      <c r="B675">
        <f t="shared" si="578"/>
        <v>9900</v>
      </c>
      <c r="C675">
        <f t="shared" si="539"/>
        <v>3.2669862643422913</v>
      </c>
      <c r="D675">
        <f t="shared" si="540"/>
        <v>1.2597105247967653</v>
      </c>
      <c r="F675">
        <f t="shared" si="541"/>
        <v>7.5956624547148528E-7</v>
      </c>
      <c r="G675">
        <f t="shared" si="542"/>
        <v>2.7170984988840355E-4</v>
      </c>
      <c r="H675">
        <f t="shared" si="564"/>
        <v>-3.1413209401501119</v>
      </c>
      <c r="J675">
        <f t="shared" si="565"/>
        <v>15</v>
      </c>
      <c r="M675">
        <f t="shared" si="543"/>
        <v>1.1094725256272622E-4</v>
      </c>
      <c r="N675">
        <f t="shared" si="566"/>
        <v>-1.5707963250000001</v>
      </c>
      <c r="O675">
        <f t="shared" si="544"/>
        <v>3409.2514638915231</v>
      </c>
      <c r="P675">
        <f t="shared" si="567"/>
        <v>1.5705030072715553</v>
      </c>
      <c r="Q675">
        <f t="shared" si="545"/>
        <v>1309.4532063202416</v>
      </c>
      <c r="R675">
        <f t="shared" si="568"/>
        <v>1.5700326491832233</v>
      </c>
      <c r="S675">
        <f t="shared" si="546"/>
        <v>0.30010277785916878</v>
      </c>
      <c r="T675">
        <f t="shared" si="569"/>
        <v>-1.2659959304826365</v>
      </c>
      <c r="U675">
        <f t="shared" si="547"/>
        <v>2.0234903814239043E-2</v>
      </c>
      <c r="V675">
        <f t="shared" si="570"/>
        <v>-1.5505600418581118</v>
      </c>
      <c r="X675">
        <f t="shared" si="548"/>
        <v>-79.019180894614223</v>
      </c>
      <c r="Y675">
        <f t="shared" si="549"/>
        <v>-179.24566704186708</v>
      </c>
      <c r="Z675">
        <f t="shared" si="579"/>
        <v>0.75433295813292034</v>
      </c>
      <c r="AC675">
        <v>1</v>
      </c>
      <c r="AD675">
        <f t="shared" si="550"/>
        <v>3409.2513172317604</v>
      </c>
      <c r="AE675">
        <f t="shared" si="551"/>
        <v>-21.206748182831873</v>
      </c>
      <c r="AF675">
        <f t="shared" si="552"/>
        <v>0.42920438784300002</v>
      </c>
      <c r="AG675">
        <f t="shared" si="553"/>
        <v>3.2052135821759915</v>
      </c>
      <c r="AH675">
        <f t="shared" si="554"/>
        <v>-160.69769849284086</v>
      </c>
      <c r="AJ675">
        <f t="shared" si="571"/>
        <v>21000</v>
      </c>
      <c r="AK675">
        <f t="shared" si="555"/>
        <v>66750.612839757014</v>
      </c>
      <c r="AL675">
        <v>50</v>
      </c>
      <c r="AM675">
        <f t="shared" si="556"/>
        <v>1309.4528244814171</v>
      </c>
      <c r="AN675">
        <f t="shared" si="557"/>
        <v>51.513215660692595</v>
      </c>
      <c r="AO675">
        <f t="shared" si="558"/>
        <v>-14.070258105145529</v>
      </c>
      <c r="AQ675">
        <f t="shared" si="559"/>
        <v>2.550760120011325E-5</v>
      </c>
      <c r="AR675">
        <f t="shared" si="560"/>
        <v>-0.50505050376224236</v>
      </c>
      <c r="AT675">
        <f t="shared" si="561"/>
        <v>-81.160371819932394</v>
      </c>
      <c r="AU675">
        <f t="shared" si="562"/>
        <v>-1.6228937471504974</v>
      </c>
      <c r="AV675">
        <f t="shared" si="580"/>
        <v>-3.1215991831258876</v>
      </c>
      <c r="AW675">
        <f t="shared" si="581"/>
        <v>46.216254119895069</v>
      </c>
      <c r="AX675">
        <f t="shared" si="582"/>
        <v>-206.33385993704607</v>
      </c>
      <c r="AY675">
        <f t="shared" si="590"/>
        <v>-1.3504455806384443</v>
      </c>
      <c r="BA675">
        <f t="shared" si="572"/>
        <v>0.38391088411787699</v>
      </c>
      <c r="BB675">
        <f t="shared" si="583"/>
        <v>-8.3153915036624131</v>
      </c>
      <c r="BC675">
        <f t="shared" si="584"/>
        <v>-1.7711536024874432</v>
      </c>
      <c r="BD675">
        <f t="shared" si="573"/>
        <v>-281.47962640787938</v>
      </c>
      <c r="BF675">
        <f t="shared" si="574"/>
        <v>-96.899307016010439</v>
      </c>
      <c r="BG675">
        <f t="shared" si="575"/>
        <v>-209.28796201867294</v>
      </c>
      <c r="BH675">
        <f t="shared" si="585"/>
        <v>-29.287962018672943</v>
      </c>
      <c r="BI675">
        <f t="shared" si="586"/>
        <v>-29.287962018672943</v>
      </c>
      <c r="BJ675">
        <f t="shared" si="576"/>
        <v>0</v>
      </c>
      <c r="BK675">
        <f t="shared" si="587"/>
        <v>0</v>
      </c>
      <c r="BM675">
        <f t="shared" si="588"/>
        <v>-88.583915512348028</v>
      </c>
      <c r="BN675">
        <f t="shared" si="577"/>
        <v>-107.80833561079358</v>
      </c>
      <c r="BQ675" s="66">
        <f t="shared" si="589"/>
        <v>8.5865692966227254</v>
      </c>
    </row>
    <row r="676" spans="1:69" ht="13" x14ac:dyDescent="0.3">
      <c r="A676">
        <f t="shared" si="563"/>
        <v>10000000</v>
      </c>
      <c r="B676">
        <f t="shared" si="578"/>
        <v>10000</v>
      </c>
      <c r="C676">
        <f t="shared" si="539"/>
        <v>3.2969083060549353</v>
      </c>
      <c r="D676">
        <f t="shared" si="540"/>
        <v>1.2626272553486519</v>
      </c>
      <c r="F676">
        <f t="shared" si="541"/>
        <v>7.4445086637952634E-7</v>
      </c>
      <c r="G676">
        <f t="shared" si="542"/>
        <v>2.6899274741872914E-4</v>
      </c>
      <c r="H676">
        <f t="shared" si="564"/>
        <v>-3.1413236572525816</v>
      </c>
      <c r="J676">
        <f t="shared" si="565"/>
        <v>15</v>
      </c>
      <c r="M676">
        <f t="shared" si="543"/>
        <v>1.0983778003709894E-4</v>
      </c>
      <c r="N676">
        <f t="shared" si="566"/>
        <v>-1.5707963250000001</v>
      </c>
      <c r="O676">
        <f t="shared" si="544"/>
        <v>3443.6883444171654</v>
      </c>
      <c r="P676">
        <f t="shared" si="567"/>
        <v>1.5705059404666231</v>
      </c>
      <c r="Q676">
        <f t="shared" si="545"/>
        <v>1322.6799987087375</v>
      </c>
      <c r="R676">
        <f t="shared" si="568"/>
        <v>1.5700402859564153</v>
      </c>
      <c r="S676">
        <f t="shared" si="546"/>
        <v>0.29736834542900764</v>
      </c>
      <c r="T676">
        <f t="shared" si="569"/>
        <v>-1.2688612041867633</v>
      </c>
      <c r="U676">
        <f t="shared" si="547"/>
        <v>2.0032636390040028E-2</v>
      </c>
      <c r="V676">
        <f t="shared" si="570"/>
        <v>-1.5507623502915657</v>
      </c>
      <c r="X676">
        <f t="shared" si="548"/>
        <v>-79.194052285390001</v>
      </c>
      <c r="Y676">
        <f t="shared" si="549"/>
        <v>-179.25386026500271</v>
      </c>
      <c r="Z676">
        <f t="shared" si="579"/>
        <v>0.74613973499728559</v>
      </c>
      <c r="AC676">
        <v>1</v>
      </c>
      <c r="AD676">
        <f t="shared" si="550"/>
        <v>3443.6881992240005</v>
      </c>
      <c r="AE676">
        <f t="shared" si="551"/>
        <v>-21.637331071147713</v>
      </c>
      <c r="AF676">
        <f t="shared" si="552"/>
        <v>0.43353978569999996</v>
      </c>
      <c r="AG676">
        <f t="shared" si="553"/>
        <v>3.1414554287255947</v>
      </c>
      <c r="AH676">
        <f t="shared" si="554"/>
        <v>-159.09199900817771</v>
      </c>
      <c r="AJ676">
        <f t="shared" si="571"/>
        <v>21000</v>
      </c>
      <c r="AK676">
        <f t="shared" si="555"/>
        <v>67424.8614543</v>
      </c>
      <c r="AL676">
        <v>51</v>
      </c>
      <c r="AM676">
        <f t="shared" si="556"/>
        <v>1322.6796206883</v>
      </c>
      <c r="AN676">
        <f t="shared" si="557"/>
        <v>51.511556337700839</v>
      </c>
      <c r="AO676">
        <f t="shared" si="558"/>
        <v>-13.890673402238033</v>
      </c>
      <c r="AQ676">
        <f t="shared" si="559"/>
        <v>2.4999999937500001E-5</v>
      </c>
      <c r="AR676">
        <f t="shared" si="560"/>
        <v>-0.49999999875000001</v>
      </c>
      <c r="AT676">
        <f t="shared" si="561"/>
        <v>-79.545920768838343</v>
      </c>
      <c r="AU676">
        <f t="shared" si="562"/>
        <v>-1.5747050104012392</v>
      </c>
      <c r="AV676">
        <f t="shared" si="580"/>
        <v>-3.1217990634147776</v>
      </c>
      <c r="AW676">
        <f t="shared" si="581"/>
        <v>46.34358037768758</v>
      </c>
      <c r="AX676">
        <f t="shared" si="582"/>
        <v>-204.23127338248111</v>
      </c>
      <c r="AY676">
        <f t="shared" si="590"/>
        <v>-1.3476578556368901</v>
      </c>
      <c r="BA676">
        <f t="shared" si="572"/>
        <v>0.37990751725563371</v>
      </c>
      <c r="BB676">
        <f t="shared" si="583"/>
        <v>-8.4064422589218548</v>
      </c>
      <c r="BC676">
        <f t="shared" si="584"/>
        <v>-1.7741412077778875</v>
      </c>
      <c r="BD676">
        <f t="shared" si="573"/>
        <v>-281.65080358206842</v>
      </c>
      <c r="BF676">
        <f t="shared" si="574"/>
        <v>-97.085758910861486</v>
      </c>
      <c r="BG676">
        <f t="shared" si="575"/>
        <v>-209.29217852057522</v>
      </c>
      <c r="BH676">
        <f t="shared" si="585"/>
        <v>-29.29217852057522</v>
      </c>
      <c r="BI676">
        <f t="shared" si="586"/>
        <v>-29.29217852057522</v>
      </c>
      <c r="BJ676">
        <f t="shared" si="576"/>
        <v>0</v>
      </c>
      <c r="BK676">
        <f t="shared" si="587"/>
        <v>0</v>
      </c>
      <c r="BM676">
        <f t="shared" si="588"/>
        <v>-88.679316651939629</v>
      </c>
      <c r="BN676">
        <f t="shared" si="577"/>
        <v>-107.64137493850684</v>
      </c>
      <c r="BQ676" s="66">
        <f t="shared" si="589"/>
        <v>8.4955185413632819</v>
      </c>
    </row>
    <row r="677" spans="1:69" x14ac:dyDescent="0.25">
      <c r="BD677">
        <f t="shared" si="573"/>
        <v>-180</v>
      </c>
    </row>
    <row r="678" spans="1:69" x14ac:dyDescent="0.25">
      <c r="BD678">
        <f t="shared" si="573"/>
        <v>-180</v>
      </c>
    </row>
    <row r="679" spans="1:69" ht="13" x14ac:dyDescent="0.3">
      <c r="C679" s="618" t="s">
        <v>46</v>
      </c>
      <c r="D679" s="618"/>
      <c r="E679" s="618"/>
      <c r="F679" s="618"/>
      <c r="G679" s="618"/>
      <c r="H679" s="618"/>
      <c r="J679" s="7" t="s">
        <v>76</v>
      </c>
      <c r="M679" s="7" t="s">
        <v>37</v>
      </c>
      <c r="N679" s="5"/>
      <c r="O679" s="5"/>
      <c r="P679" s="5"/>
      <c r="Q679" s="5"/>
      <c r="R679" s="5"/>
      <c r="S679" s="5"/>
      <c r="T679" s="5"/>
      <c r="U679" s="5"/>
      <c r="V679" s="5"/>
      <c r="X679" s="7" t="s">
        <v>105</v>
      </c>
      <c r="Y679" s="5"/>
      <c r="Z679" s="5"/>
      <c r="AD679" s="5"/>
      <c r="AE679" s="5"/>
      <c r="AF679" s="5"/>
      <c r="AG679" s="5"/>
      <c r="AH679" s="5"/>
      <c r="AJ679" s="7" t="s">
        <v>87</v>
      </c>
      <c r="AK679" s="5"/>
      <c r="AL679" s="5"/>
      <c r="AM679" s="5"/>
      <c r="AN679" s="5"/>
      <c r="AO679" s="5"/>
      <c r="AQ679" s="7" t="s">
        <v>438</v>
      </c>
      <c r="AR679" s="5"/>
      <c r="AT679" s="7" t="s">
        <v>108</v>
      </c>
      <c r="AU679" s="5"/>
      <c r="AV679" s="5"/>
      <c r="AW679" s="5"/>
      <c r="AX679" s="5"/>
      <c r="AY679" s="5"/>
      <c r="BA679" s="7" t="s">
        <v>109</v>
      </c>
      <c r="BB679" s="5"/>
      <c r="BC679" s="5"/>
      <c r="BF679" s="7" t="s">
        <v>110</v>
      </c>
      <c r="BG679" s="5"/>
      <c r="BH679" s="5"/>
      <c r="BJ679" t="s">
        <v>85</v>
      </c>
      <c r="BK679" s="4">
        <f>SUM(BK683:BK1300)</f>
        <v>0</v>
      </c>
    </row>
    <row r="680" spans="1:69" ht="13" x14ac:dyDescent="0.3">
      <c r="C680" s="2" t="s">
        <v>47</v>
      </c>
      <c r="D680" s="2"/>
      <c r="E680" s="2"/>
      <c r="F680" s="2" t="s">
        <v>48</v>
      </c>
      <c r="G680" s="2"/>
      <c r="H680" s="2"/>
      <c r="M680" s="2" t="s">
        <v>50</v>
      </c>
      <c r="N680" s="2"/>
      <c r="O680" s="2" t="s">
        <v>64</v>
      </c>
      <c r="P680" s="2"/>
      <c r="Q680" s="2" t="s">
        <v>65</v>
      </c>
      <c r="R680" s="2"/>
      <c r="S680" s="2" t="s">
        <v>66</v>
      </c>
      <c r="T680" s="2"/>
      <c r="U680" s="2" t="s">
        <v>67</v>
      </c>
      <c r="V680" s="2"/>
      <c r="AD680" s="2"/>
      <c r="AE680" s="2" t="s">
        <v>91</v>
      </c>
      <c r="AF680" s="2"/>
      <c r="AG680" s="2" t="s">
        <v>92</v>
      </c>
      <c r="AH680" s="2"/>
      <c r="AJ680" s="2" t="s">
        <v>90</v>
      </c>
      <c r="AK680" s="2"/>
      <c r="AL680" s="2" t="s">
        <v>91</v>
      </c>
      <c r="AM680" s="2"/>
      <c r="AN680" s="2" t="s">
        <v>92</v>
      </c>
      <c r="AO680" s="2"/>
      <c r="AQ680" s="2" t="s">
        <v>83</v>
      </c>
      <c r="AR680" s="2"/>
      <c r="AT680" s="2" t="s">
        <v>90</v>
      </c>
      <c r="AU680" s="2"/>
      <c r="AV680" s="2"/>
      <c r="AW680" s="2" t="s">
        <v>91</v>
      </c>
      <c r="AX680" s="2"/>
      <c r="AY680" s="2"/>
    </row>
    <row r="681" spans="1:69" ht="13" x14ac:dyDescent="0.3">
      <c r="A681" s="2" t="s">
        <v>44</v>
      </c>
      <c r="B681" s="2"/>
      <c r="C681" s="2" t="s">
        <v>68</v>
      </c>
      <c r="D681" s="2" t="s">
        <v>69</v>
      </c>
      <c r="E681" s="2"/>
      <c r="F681" s="2" t="s">
        <v>68</v>
      </c>
      <c r="G681" s="2"/>
      <c r="H681" s="2" t="s">
        <v>69</v>
      </c>
      <c r="J681" s="2" t="s">
        <v>68</v>
      </c>
      <c r="M681" s="2" t="s">
        <v>68</v>
      </c>
      <c r="N681" s="2" t="s">
        <v>69</v>
      </c>
      <c r="O681" s="2" t="s">
        <v>68</v>
      </c>
      <c r="P681" s="2" t="s">
        <v>69</v>
      </c>
      <c r="Q681" s="2" t="s">
        <v>68</v>
      </c>
      <c r="R681" s="2" t="s">
        <v>69</v>
      </c>
      <c r="S681" s="2" t="s">
        <v>68</v>
      </c>
      <c r="T681" s="2" t="s">
        <v>69</v>
      </c>
      <c r="U681" s="2" t="s">
        <v>68</v>
      </c>
      <c r="V681" s="2" t="s">
        <v>69</v>
      </c>
      <c r="X681" s="2" t="s">
        <v>71</v>
      </c>
      <c r="Y681" s="2" t="s">
        <v>72</v>
      </c>
      <c r="Z681" s="2" t="s">
        <v>73</v>
      </c>
      <c r="AC681" s="2" t="s">
        <v>88</v>
      </c>
      <c r="AD681" s="2" t="s">
        <v>89</v>
      </c>
      <c r="AE681" s="2" t="s">
        <v>88</v>
      </c>
      <c r="AF681" s="2" t="s">
        <v>89</v>
      </c>
      <c r="AG681" s="2" t="s">
        <v>97</v>
      </c>
      <c r="AH681" s="2" t="s">
        <v>98</v>
      </c>
      <c r="AJ681" s="2" t="s">
        <v>88</v>
      </c>
      <c r="AK681" s="2" t="s">
        <v>89</v>
      </c>
      <c r="AL681" s="2" t="s">
        <v>88</v>
      </c>
      <c r="AM681" s="2" t="s">
        <v>89</v>
      </c>
      <c r="AN681" s="2" t="s">
        <v>100</v>
      </c>
      <c r="AO681" s="2" t="s">
        <v>99</v>
      </c>
      <c r="AQ681" s="2" t="s">
        <v>88</v>
      </c>
      <c r="AR681" s="2" t="s">
        <v>89</v>
      </c>
      <c r="AT681" s="2" t="s">
        <v>88</v>
      </c>
      <c r="AU681" s="2" t="s">
        <v>89</v>
      </c>
      <c r="AV681" s="2" t="s">
        <v>69</v>
      </c>
      <c r="AW681" s="2" t="s">
        <v>88</v>
      </c>
      <c r="AX681" s="2" t="s">
        <v>89</v>
      </c>
      <c r="AY681" s="2" t="s">
        <v>69</v>
      </c>
      <c r="BA681" s="2" t="s">
        <v>437</v>
      </c>
      <c r="BB681" s="2" t="s">
        <v>435</v>
      </c>
      <c r="BC681" s="2" t="s">
        <v>436</v>
      </c>
      <c r="BF681" s="2" t="s">
        <v>71</v>
      </c>
      <c r="BG681" s="2" t="s">
        <v>72</v>
      </c>
      <c r="BH681" s="2" t="s">
        <v>104</v>
      </c>
    </row>
    <row r="682" spans="1:69" x14ac:dyDescent="0.25">
      <c r="A682">
        <f>Fesr</f>
        <v>3183098.8654751275</v>
      </c>
      <c r="B682">
        <f t="shared" ref="B682:B692" si="591">A682/1000</f>
        <v>3183.0988654751277</v>
      </c>
      <c r="C682">
        <f t="shared" ref="C682:C686" si="592">SQRT((A682/Fesr)^2+1)</f>
        <v>1.4142135623730951</v>
      </c>
      <c r="D682">
        <f t="shared" ref="D682:D686" si="593">ATAN(A682/Fesr)</f>
        <v>0.78539816339744828</v>
      </c>
      <c r="F682">
        <f t="shared" ref="F682:F687" si="594">(Ro/(Ro+Rdcr))/SQRT((A682/(Q*Fo))^2+(1-(A682^2/Fo^2))^2)</f>
        <v>7.347482124651987E-6</v>
      </c>
      <c r="G682">
        <f t="shared" ref="G682:G687" si="595">-ATAN(A682*Fo/(Q*(Fo^2-A682^2)))</f>
        <v>8.4507108762416506E-4</v>
      </c>
      <c r="H682">
        <f t="shared" ref="H682:H687" si="596">IF(G682&gt;0,G682-Pi,G682)</f>
        <v>-3.140747578912376</v>
      </c>
      <c r="J682">
        <f t="shared" ref="J682:J688" si="597">Vin/Vramp</f>
        <v>15</v>
      </c>
      <c r="M682">
        <f t="shared" ref="M682:M687" si="598">1/(2*Pi*_Rfb1*(Cc1ea_u+Cc2ea_u)*A682)</f>
        <v>3.4506556245686681E-4</v>
      </c>
      <c r="N682">
        <f t="shared" ref="N682:N688" si="599">-Pi/2</f>
        <v>-1.5707963250000001</v>
      </c>
      <c r="O682">
        <f t="shared" ref="O682:O687" si="600">SQRT(1+(A682/Fz1_u)^2)</f>
        <v>1096.1604561376953</v>
      </c>
      <c r="P682">
        <f t="shared" ref="P682:P687" si="601">ATAN(A682/Fz1_u)</f>
        <v>1.5698840514677688</v>
      </c>
      <c r="Q682">
        <f t="shared" ref="Q682:Q687" si="602">SQRT(1+(A682/Fz2_u)^2)</f>
        <v>421.02318758472205</v>
      </c>
      <c r="R682">
        <f t="shared" ref="R682:R687" si="603">ATAN(A682/Fz2_u)</f>
        <v>1.5684211584675303</v>
      </c>
      <c r="S682">
        <f t="shared" ref="S682:S687" si="604">1/SQRT(1+(A682/Fp1_u)^2)</f>
        <v>0.69937184055058965</v>
      </c>
      <c r="T682">
        <f t="shared" ref="T682:T687" si="605">-ATAN(A682/Fp1_u)</f>
        <v>-0.7962780506042807</v>
      </c>
      <c r="U682">
        <f t="shared" ref="U682:U687" si="606">1/SQRT(1+(A682/Fp2_u)^2)</f>
        <v>6.2822676096921312E-2</v>
      </c>
      <c r="V682">
        <f t="shared" ref="V682:V687" si="607">-ATAN(A682/Fp2_u)</f>
        <v>-1.5079322535437305</v>
      </c>
      <c r="X682">
        <f t="shared" ref="X682:X686" si="608">20*LOG(C682*J682*O682*Q682*F682*M682*S682*U682)</f>
        <v>-59.246977317891954</v>
      </c>
      <c r="Y682">
        <f t="shared" ref="Y682:Y686" si="609">(180/Pi)*(D682+H682+N682+P682+R682+T682+V682)</f>
        <v>-177.16146307223346</v>
      </c>
      <c r="Z682">
        <f t="shared" ref="Z682:Z687" si="610">Y682+180</f>
        <v>2.8385369277665404</v>
      </c>
      <c r="AC682">
        <v>1</v>
      </c>
      <c r="AD682">
        <f t="shared" ref="AD682:AD687" si="611">Rcea1_u*Cc1ea_u*A682*2*Pi</f>
        <v>1096.1600000000001</v>
      </c>
      <c r="AE682">
        <f t="shared" ref="AE682:AE687" si="612">-Rcea1_u*Cc1ea_u*Cc2ea_u*(A682*2*Pi)^2</f>
        <v>-2.19232</v>
      </c>
      <c r="AF682">
        <f t="shared" ref="AF682:AF687" si="613">(Cc2ea_u+Cc1ea_u)*A682*2*Pi</f>
        <v>0.13800000000000001</v>
      </c>
      <c r="AG682">
        <f t="shared" ref="AG682:AG687" si="614">AC682*AE682/(AE682^2+AF682^2)+AD682*AF682/(AE682^2+AF682^2)</f>
        <v>30.894953826551536</v>
      </c>
      <c r="AH682">
        <f t="shared" ref="AH682:AH687" si="615">AD682*AE682/(AE682^2+AF682^2)-AC682*AF682/(AE682^2+AF682^2)</f>
        <v>-498.055254876996</v>
      </c>
      <c r="AJ682">
        <f t="shared" ref="AJ682:AJ688" si="616">_Rfb1</f>
        <v>21000</v>
      </c>
      <c r="AK682">
        <f t="shared" ref="AK682:AK687" si="617">_Rfb1*Rcea2_u*Cc3ea_u*A682*2*Pi</f>
        <v>21462</v>
      </c>
      <c r="AL682">
        <v>1</v>
      </c>
      <c r="AM682">
        <f t="shared" ref="AM682:AM687" si="618">(_Rfb1+Rcea2_u)*Cc3ea_u*A682*2*Pi</f>
        <v>421.02199999999999</v>
      </c>
      <c r="AN682">
        <f t="shared" ref="AN682:AN687" si="619">AJ682*AL682/(AL682^2+AM682^2)+AK682*AM682/(AL682^2+AM682^2)</f>
        <v>51.094140617966552</v>
      </c>
      <c r="AO682">
        <f t="shared" ref="AO682:AO687" si="620">AK682*AL682/(AL682^2+AM682^2)-AJ682*AM682/(AL682^2+AM682^2)</f>
        <v>-49.757271257516322</v>
      </c>
      <c r="AQ682">
        <f t="shared" ref="AQ682:AQ687" si="621">Eadcg/(1+(Eadcg*A682/GBP)^2)</f>
        <v>2.4674010337528263E-4</v>
      </c>
      <c r="AR682">
        <f t="shared" ref="AR682:AR687" si="622">-(A682*Eadcg*Eadcg/GBP)/(1+(Eadcg*A682/GBP)^2)</f>
        <v>-1.5707962862421556</v>
      </c>
      <c r="AT682">
        <f t="shared" ref="AT682:AT687" si="623">-AR682*AH682+AG682*AQ682</f>
        <v>-782.3357216800747</v>
      </c>
      <c r="AU682">
        <f t="shared" ref="AU682:AU687" si="624">AQ682*AH682+AG682*AR682</f>
        <v>-48.652568939444983</v>
      </c>
      <c r="AV682">
        <f t="shared" ref="AV682:AV687" si="625">IF(AT682&lt;0,ATAN(AU682/AT682)+Pi,ATAN(AU682/AT682))</f>
        <v>3.2037015275552463</v>
      </c>
      <c r="AW682">
        <f t="shared" ref="AW682:AW687" si="626">AG682-AH682*AO682/_Rfb2+AG682*AN682/_Rfb2+AN682-AO682*AR682+AQ682*AN682</f>
        <v>-11.62571502209196</v>
      </c>
      <c r="AX682">
        <f t="shared" ref="AX682:AX687" si="627">AH682+AH682*AN682/_Rfb2+AG682*AO682/_Rfb2+AO682+AO682*AQ682+AN682*AR682</f>
        <v>-646.07325879769473</v>
      </c>
      <c r="AY682">
        <f t="shared" ref="AY682:AY687" si="628">IF(AW682&lt;0,ATAN(AX682/AW682)+Pi,ATAN(AX682/AW682))</f>
        <v>4.6943964963628</v>
      </c>
      <c r="BA682">
        <f t="shared" ref="BA682:BA687" si="629">SQRT(AT682^2+AU682^2)/SQRT(AW682^2+AX682^2)</f>
        <v>1.2130516181765953</v>
      </c>
      <c r="BB682">
        <f t="shared" ref="BB682:BB687" si="630">20*LOG(BA682)</f>
        <v>1.677585630065116</v>
      </c>
      <c r="BC682">
        <f t="shared" ref="BC682:BC687" si="631">AV682-AY682</f>
        <v>-1.4906949688075537</v>
      </c>
      <c r="BD682">
        <f t="shared" ref="BD682:BD687" si="632">BC682*180/Pi</f>
        <v>-85.410530351654486</v>
      </c>
      <c r="BF682">
        <f t="shared" ref="BF682:BF686" si="633">20*LOG(BA682*J682*F682*C682)</f>
        <v>-74.467518468760233</v>
      </c>
      <c r="BG682">
        <f t="shared" ref="BG682:BG686" si="634">(180/Pi)*(D682+H682+BC682)</f>
        <v>-220.36211129346975</v>
      </c>
      <c r="BH682">
        <f t="shared" ref="BH682:BH687" si="635">IF(BG682&gt;180,BG682-180,BG682+180)</f>
        <v>-40.362111293469752</v>
      </c>
      <c r="BI682">
        <f t="shared" ref="BI682:BI687" si="636">IF(BH682&gt;180,BH682-360,BH682)</f>
        <v>-40.362111293469752</v>
      </c>
    </row>
    <row r="683" spans="1:69" x14ac:dyDescent="0.25">
      <c r="A683">
        <f>Fo+1</f>
        <v>8667.8955466478619</v>
      </c>
      <c r="B683">
        <f t="shared" si="591"/>
        <v>8.6678955466478627</v>
      </c>
      <c r="C683">
        <f t="shared" si="592"/>
        <v>1.0000037076290986</v>
      </c>
      <c r="D683">
        <f t="shared" si="593"/>
        <v>2.7230929632200249E-3</v>
      </c>
      <c r="F683">
        <f t="shared" si="594"/>
        <v>3.1928732988965884</v>
      </c>
      <c r="G683">
        <f t="shared" si="595"/>
        <v>1.5700528548104529</v>
      </c>
      <c r="H683">
        <f t="shared" si="596"/>
        <v>-1.5715397951895473</v>
      </c>
      <c r="J683">
        <f t="shared" si="597"/>
        <v>15</v>
      </c>
      <c r="M683">
        <f t="shared" si="598"/>
        <v>0.12671793222009528</v>
      </c>
      <c r="N683">
        <f t="shared" si="599"/>
        <v>-1.5707963250000001</v>
      </c>
      <c r="O683">
        <f t="shared" si="600"/>
        <v>3.1480063813551769</v>
      </c>
      <c r="P683">
        <f t="shared" si="601"/>
        <v>1.2475342464078323</v>
      </c>
      <c r="Q683">
        <f t="shared" si="602"/>
        <v>1.5213242845127888</v>
      </c>
      <c r="R683">
        <f t="shared" si="603"/>
        <v>0.8535365921212994</v>
      </c>
      <c r="S683">
        <f t="shared" si="604"/>
        <v>0.99999612745604471</v>
      </c>
      <c r="T683">
        <f t="shared" si="605"/>
        <v>-2.7830007024117675E-3</v>
      </c>
      <c r="U683">
        <f t="shared" si="606"/>
        <v>0.99906558939263734</v>
      </c>
      <c r="V683">
        <f t="shared" si="607"/>
        <v>-4.3233231759012919E-2</v>
      </c>
      <c r="X683">
        <f t="shared" si="608"/>
        <v>29.259247054977262</v>
      </c>
      <c r="Y683">
        <f t="shared" si="609"/>
        <v>-62.140620238767006</v>
      </c>
      <c r="Z683">
        <f t="shared" si="610"/>
        <v>117.85937976123299</v>
      </c>
      <c r="AC683">
        <v>1</v>
      </c>
      <c r="AD683">
        <f t="shared" si="611"/>
        <v>2.9849529606097507</v>
      </c>
      <c r="AE683">
        <f t="shared" si="612"/>
        <v>-1.6256648987470655E-5</v>
      </c>
      <c r="AF683">
        <f t="shared" si="613"/>
        <v>3.7578775777636985E-4</v>
      </c>
      <c r="AG683">
        <f t="shared" si="614"/>
        <v>7813.4473053306365</v>
      </c>
      <c r="AH683">
        <f t="shared" si="615"/>
        <v>-2999.0877746888846</v>
      </c>
      <c r="AJ683">
        <f t="shared" si="616"/>
        <v>21000</v>
      </c>
      <c r="AK683">
        <f t="shared" si="617"/>
        <v>58.443165633307615</v>
      </c>
      <c r="AL683">
        <v>1</v>
      </c>
      <c r="AM683">
        <f t="shared" si="618"/>
        <v>1.1464848793806</v>
      </c>
      <c r="AN683">
        <f t="shared" si="619"/>
        <v>9102.4685326317631</v>
      </c>
      <c r="AO683">
        <f t="shared" si="620"/>
        <v>-10377.399372066726</v>
      </c>
      <c r="AQ683">
        <f t="shared" si="621"/>
        <v>33.164234118045243</v>
      </c>
      <c r="AR683">
        <f t="shared" si="622"/>
        <v>-574.92823443958287</v>
      </c>
      <c r="AT683">
        <f t="shared" si="623"/>
        <v>-1465133.2435282229</v>
      </c>
      <c r="AU683">
        <f t="shared" si="624"/>
        <v>-4591633.9132408081</v>
      </c>
      <c r="AV683">
        <f t="shared" si="625"/>
        <v>4.4035139400016892</v>
      </c>
      <c r="AW683">
        <f t="shared" si="626"/>
        <v>-5620801.6346582435</v>
      </c>
      <c r="AX683">
        <f t="shared" si="627"/>
        <v>-5663056.0621367535</v>
      </c>
      <c r="AY683">
        <f t="shared" si="628"/>
        <v>3.9307354751177228</v>
      </c>
      <c r="BA683">
        <f t="shared" si="629"/>
        <v>0.60405476660719948</v>
      </c>
      <c r="BB683">
        <f t="shared" si="630"/>
        <v>-4.3784736859534883</v>
      </c>
      <c r="BC683">
        <f t="shared" si="631"/>
        <v>0.47277846488396635</v>
      </c>
      <c r="BD683">
        <f t="shared" si="632"/>
        <v>27.088210713478066</v>
      </c>
      <c r="BF683">
        <f t="shared" si="633"/>
        <v>29.227017399217885</v>
      </c>
      <c r="BG683">
        <f t="shared" si="634"/>
        <v>-62.798365256432895</v>
      </c>
      <c r="BH683">
        <f t="shared" si="635"/>
        <v>117.2016347435671</v>
      </c>
      <c r="BI683">
        <f t="shared" si="636"/>
        <v>117.2016347435671</v>
      </c>
    </row>
    <row r="684" spans="1:69" x14ac:dyDescent="0.25">
      <c r="A684">
        <f>Fz1_u</f>
        <v>2903.8633643584217</v>
      </c>
      <c r="B684">
        <f t="shared" si="591"/>
        <v>2.9038633643584215</v>
      </c>
      <c r="C684">
        <f t="shared" si="592"/>
        <v>1.0000004161232805</v>
      </c>
      <c r="D684">
        <f t="shared" si="593"/>
        <v>9.1227532712793795E-4</v>
      </c>
      <c r="F684">
        <f t="shared" si="594"/>
        <v>1.1088261860847188</v>
      </c>
      <c r="G684">
        <f t="shared" si="595"/>
        <v>-0.11660813256305573</v>
      </c>
      <c r="H684">
        <f t="shared" si="596"/>
        <v>-0.11660813256305573</v>
      </c>
      <c r="J684">
        <f t="shared" si="597"/>
        <v>15</v>
      </c>
      <c r="M684">
        <f t="shared" si="598"/>
        <v>0.37824706694271909</v>
      </c>
      <c r="N684">
        <f t="shared" si="599"/>
        <v>-1.5707963250000001</v>
      </c>
      <c r="O684">
        <f t="shared" si="600"/>
        <v>1.4142135623730951</v>
      </c>
      <c r="P684">
        <f t="shared" si="601"/>
        <v>0.78539816339744828</v>
      </c>
      <c r="Q684">
        <f t="shared" si="602"/>
        <v>1.0712253079372187</v>
      </c>
      <c r="R684">
        <f t="shared" si="603"/>
        <v>0.36671440782125225</v>
      </c>
      <c r="S684">
        <f t="shared" si="604"/>
        <v>0.99999956536608448</v>
      </c>
      <c r="T684">
        <f t="shared" si="605"/>
        <v>-9.3234537281910209E-4</v>
      </c>
      <c r="U684">
        <f t="shared" si="606"/>
        <v>0.99989499658709968</v>
      </c>
      <c r="V684">
        <f t="shared" si="607"/>
        <v>-1.4491739065500022E-2</v>
      </c>
      <c r="X684">
        <f t="shared" si="608"/>
        <v>19.581610224519352</v>
      </c>
      <c r="Y684">
        <f t="shared" si="609"/>
        <v>-31.501431346294485</v>
      </c>
      <c r="Z684">
        <f t="shared" si="610"/>
        <v>148.49856865370552</v>
      </c>
      <c r="AC684">
        <v>1</v>
      </c>
      <c r="AD684">
        <f t="shared" si="611"/>
        <v>1</v>
      </c>
      <c r="AE684">
        <f t="shared" si="612"/>
        <v>-1.8245511604145381E-6</v>
      </c>
      <c r="AF684">
        <f t="shared" si="613"/>
        <v>1.2589403006860314E-4</v>
      </c>
      <c r="AG684">
        <f t="shared" si="614"/>
        <v>7826.4258714825701</v>
      </c>
      <c r="AH684">
        <f t="shared" si="615"/>
        <v>-8056.6148677026449</v>
      </c>
      <c r="AJ684">
        <f t="shared" si="616"/>
        <v>21000</v>
      </c>
      <c r="AK684">
        <f t="shared" si="617"/>
        <v>19.579258502408408</v>
      </c>
      <c r="AL684">
        <v>1</v>
      </c>
      <c r="AM684">
        <f t="shared" si="618"/>
        <v>0.38408808933002481</v>
      </c>
      <c r="AN684">
        <f t="shared" si="619"/>
        <v>18306.829641580753</v>
      </c>
      <c r="AO684">
        <f t="shared" si="620"/>
        <v>-7011.855960222606</v>
      </c>
      <c r="AQ684">
        <f t="shared" si="621"/>
        <v>287.93807461035976</v>
      </c>
      <c r="AR684">
        <f t="shared" si="622"/>
        <v>-1672.2656521298511</v>
      </c>
      <c r="AT684">
        <f t="shared" si="623"/>
        <v>-11219274.319182418</v>
      </c>
      <c r="AU684">
        <f t="shared" si="624"/>
        <v>-15407669.336704236</v>
      </c>
      <c r="AV684">
        <f t="shared" si="625"/>
        <v>4.0830115160279172</v>
      </c>
      <c r="AW684">
        <f t="shared" si="626"/>
        <v>-6370462.5304643027</v>
      </c>
      <c r="AX684">
        <f t="shared" si="627"/>
        <v>-32782843.748977762</v>
      </c>
      <c r="AY684">
        <f t="shared" si="628"/>
        <v>4.5204579239548242</v>
      </c>
      <c r="BA684">
        <f t="shared" si="629"/>
        <v>0.57071385239832639</v>
      </c>
      <c r="BB684">
        <f t="shared" si="630"/>
        <v>-4.8716317220664616</v>
      </c>
      <c r="BC684">
        <f t="shared" si="631"/>
        <v>-0.43744640792690692</v>
      </c>
      <c r="BD684">
        <f t="shared" si="632"/>
        <v>-25.063832966009528</v>
      </c>
      <c r="BF684">
        <f t="shared" si="633"/>
        <v>19.547466547550286</v>
      </c>
      <c r="BG684">
        <f t="shared" si="634"/>
        <v>-31.692717300350903</v>
      </c>
      <c r="BH684">
        <f t="shared" si="635"/>
        <v>148.30728269964911</v>
      </c>
      <c r="BI684">
        <f t="shared" si="636"/>
        <v>148.30728269964911</v>
      </c>
    </row>
    <row r="685" spans="1:69" x14ac:dyDescent="0.25">
      <c r="A685">
        <f>Fz2_u</f>
        <v>7560.4098253182192</v>
      </c>
      <c r="B685">
        <f t="shared" si="591"/>
        <v>7.560409825318219</v>
      </c>
      <c r="C685">
        <f t="shared" si="592"/>
        <v>1.000002820718922</v>
      </c>
      <c r="D685">
        <f t="shared" si="593"/>
        <v>2.3751683273663411E-3</v>
      </c>
      <c r="F685">
        <f t="shared" si="594"/>
        <v>2.744111579637428</v>
      </c>
      <c r="G685">
        <f t="shared" si="595"/>
        <v>-0.84751505199919575</v>
      </c>
      <c r="H685">
        <f t="shared" si="596"/>
        <v>-0.84751505199919575</v>
      </c>
      <c r="J685">
        <f t="shared" si="597"/>
        <v>15</v>
      </c>
      <c r="M685">
        <f t="shared" si="598"/>
        <v>0.14528019323671498</v>
      </c>
      <c r="N685">
        <f t="shared" si="599"/>
        <v>-1.5707963250000001</v>
      </c>
      <c r="O685">
        <f t="shared" si="600"/>
        <v>2.7890094426145464</v>
      </c>
      <c r="P685">
        <f t="shared" si="601"/>
        <v>1.2040819189736445</v>
      </c>
      <c r="Q685">
        <f t="shared" si="602"/>
        <v>1.4142135623730951</v>
      </c>
      <c r="R685">
        <f t="shared" si="603"/>
        <v>0.78539816339744828</v>
      </c>
      <c r="S685">
        <f t="shared" si="604"/>
        <v>0.99999705381308235</v>
      </c>
      <c r="T685">
        <f t="shared" si="605"/>
        <v>-2.4274218275122739E-3</v>
      </c>
      <c r="U685">
        <f t="shared" si="606"/>
        <v>0.99928887377693332</v>
      </c>
      <c r="V685">
        <f t="shared" si="607"/>
        <v>-3.7714997612909092E-2</v>
      </c>
      <c r="X685">
        <f t="shared" si="608"/>
        <v>27.447108285106474</v>
      </c>
      <c r="Y685">
        <f t="shared" si="609"/>
        <v>-26.734127428458443</v>
      </c>
      <c r="Z685">
        <f t="shared" si="610"/>
        <v>153.26587257154156</v>
      </c>
      <c r="AC685">
        <v>1</v>
      </c>
      <c r="AD685">
        <f t="shared" si="611"/>
        <v>2.6035694096745536</v>
      </c>
      <c r="AE685">
        <f t="shared" si="612"/>
        <v>-1.2367854457365904E-5</v>
      </c>
      <c r="AF685">
        <f t="shared" si="613"/>
        <v>3.2777384554726356E-4</v>
      </c>
      <c r="AG685">
        <f t="shared" si="614"/>
        <v>7816.9402005815173</v>
      </c>
      <c r="AH685">
        <f t="shared" si="615"/>
        <v>-3345.8398026592654</v>
      </c>
      <c r="AJ685">
        <f t="shared" si="616"/>
        <v>21000</v>
      </c>
      <c r="AK685">
        <f t="shared" si="617"/>
        <v>50.975958500980937</v>
      </c>
      <c r="AL685">
        <v>1</v>
      </c>
      <c r="AM685">
        <f t="shared" si="618"/>
        <v>0.99999999999999978</v>
      </c>
      <c r="AN685">
        <f t="shared" si="619"/>
        <v>10525.487979250493</v>
      </c>
      <c r="AO685">
        <f t="shared" si="620"/>
        <v>-10474.512020749509</v>
      </c>
      <c r="AQ685">
        <f t="shared" si="621"/>
        <v>43.546574670840698</v>
      </c>
      <c r="AR685">
        <f t="shared" si="622"/>
        <v>-658.45990200075505</v>
      </c>
      <c r="AT685">
        <f t="shared" si="623"/>
        <v>-1862700.378427126</v>
      </c>
      <c r="AU685">
        <f t="shared" si="624"/>
        <v>-5292841.5412238408</v>
      </c>
      <c r="AV685">
        <f t="shared" si="625"/>
        <v>4.3739973878195437</v>
      </c>
      <c r="AW685">
        <f t="shared" si="626"/>
        <v>-6388867.4016842972</v>
      </c>
      <c r="AX685">
        <f t="shared" si="627"/>
        <v>-7478624.7421495728</v>
      </c>
      <c r="AY685">
        <f t="shared" si="628"/>
        <v>4.0054132406202658</v>
      </c>
      <c r="BA685">
        <f t="shared" si="629"/>
        <v>0.57045838203913235</v>
      </c>
      <c r="BB685">
        <f t="shared" si="630"/>
        <v>-4.8755206834622307</v>
      </c>
      <c r="BC685">
        <f t="shared" si="631"/>
        <v>0.3685841471992779</v>
      </c>
      <c r="BD685">
        <f t="shared" si="632"/>
        <v>21.118316054078502</v>
      </c>
      <c r="BF685">
        <f t="shared" si="633"/>
        <v>27.414364327070636</v>
      </c>
      <c r="BG685">
        <f t="shared" si="634"/>
        <v>-27.304632433825962</v>
      </c>
      <c r="BH685">
        <f t="shared" si="635"/>
        <v>152.69536756617404</v>
      </c>
      <c r="BI685">
        <f t="shared" si="636"/>
        <v>152.69536756617404</v>
      </c>
    </row>
    <row r="686" spans="1:69" x14ac:dyDescent="0.25">
      <c r="A686">
        <f>Fp1_u</f>
        <v>3114578.1462574629</v>
      </c>
      <c r="B686">
        <f t="shared" si="591"/>
        <v>3114.5781462574628</v>
      </c>
      <c r="C686">
        <f t="shared" si="592"/>
        <v>1.39907489046598</v>
      </c>
      <c r="D686">
        <f t="shared" si="593"/>
        <v>0.77451827619061586</v>
      </c>
      <c r="F686">
        <f t="shared" si="594"/>
        <v>7.6743299284805198E-6</v>
      </c>
      <c r="G686">
        <f t="shared" si="595"/>
        <v>8.636629272311964E-4</v>
      </c>
      <c r="H686">
        <f t="shared" si="596"/>
        <v>-3.140728987072769</v>
      </c>
      <c r="J686">
        <f t="shared" si="597"/>
        <v>15</v>
      </c>
      <c r="M686">
        <f t="shared" si="598"/>
        <v>3.5265700483091793E-4</v>
      </c>
      <c r="N686">
        <f t="shared" si="599"/>
        <v>-1.5707963250000001</v>
      </c>
      <c r="O686">
        <f t="shared" si="600"/>
        <v>1072.5640669554989</v>
      </c>
      <c r="P686">
        <f t="shared" si="601"/>
        <v>1.5698639814220776</v>
      </c>
      <c r="Q686">
        <f t="shared" si="602"/>
        <v>411.96011782109878</v>
      </c>
      <c r="R686">
        <f t="shared" si="603"/>
        <v>1.5683689049673843</v>
      </c>
      <c r="S686">
        <f t="shared" si="604"/>
        <v>0.70710678118654746</v>
      </c>
      <c r="T686">
        <f t="shared" si="605"/>
        <v>-0.78539816339744828</v>
      </c>
      <c r="U686">
        <f t="shared" si="606"/>
        <v>6.419913967354661E-2</v>
      </c>
      <c r="V686">
        <f t="shared" si="607"/>
        <v>-1.5065530053537453</v>
      </c>
      <c r="X686">
        <f t="shared" si="608"/>
        <v>-58.86764341515299</v>
      </c>
      <c r="Y686">
        <f t="shared" si="609"/>
        <v>-177.08551657195255</v>
      </c>
      <c r="Z686">
        <f t="shared" si="610"/>
        <v>2.914483428047447</v>
      </c>
      <c r="AC686">
        <v>1</v>
      </c>
      <c r="AD686">
        <f t="shared" si="611"/>
        <v>1072.5636007827786</v>
      </c>
      <c r="AE686">
        <f t="shared" si="612"/>
        <v>-2.0989502950739314</v>
      </c>
      <c r="AF686">
        <f t="shared" si="613"/>
        <v>0.13502935420743636</v>
      </c>
      <c r="AG686">
        <f t="shared" si="614"/>
        <v>32.263620606245311</v>
      </c>
      <c r="AH686">
        <f t="shared" si="615"/>
        <v>-508.92442161918763</v>
      </c>
      <c r="AJ686">
        <f t="shared" si="616"/>
        <v>21000</v>
      </c>
      <c r="AK686">
        <f t="shared" si="617"/>
        <v>20999.999999999996</v>
      </c>
      <c r="AL686">
        <v>1</v>
      </c>
      <c r="AM686">
        <f t="shared" si="618"/>
        <v>411.95890410958896</v>
      </c>
      <c r="AN686">
        <f t="shared" si="619"/>
        <v>51.099397800281125</v>
      </c>
      <c r="AO686">
        <f t="shared" si="620"/>
        <v>-50.851918463757514</v>
      </c>
      <c r="AQ686">
        <f t="shared" si="621"/>
        <v>2.5771608985095985E-4</v>
      </c>
      <c r="AR686">
        <f t="shared" si="622"/>
        <v>-1.6053538027774485</v>
      </c>
      <c r="AT686">
        <f t="shared" si="623"/>
        <v>-816.99544071852927</v>
      </c>
      <c r="AU686">
        <f t="shared" si="624"/>
        <v>-51.925684043574122</v>
      </c>
      <c r="AV686">
        <f t="shared" si="625"/>
        <v>3.2050641614513684</v>
      </c>
      <c r="AW686">
        <f t="shared" si="626"/>
        <v>-14.413220879839264</v>
      </c>
      <c r="AX686">
        <f t="shared" si="627"/>
        <v>-660.25299033552608</v>
      </c>
      <c r="AY686">
        <f t="shared" si="628"/>
        <v>4.6905625977512502</v>
      </c>
      <c r="BA686">
        <f t="shared" si="629"/>
        <v>1.2395989378322516</v>
      </c>
      <c r="BB686">
        <f t="shared" si="630"/>
        <v>1.8656239087216488</v>
      </c>
      <c r="BC686">
        <f t="shared" si="631"/>
        <v>-1.4854984362998818</v>
      </c>
      <c r="BD686">
        <f t="shared" si="632"/>
        <v>-85.112790970522141</v>
      </c>
      <c r="BF686">
        <f t="shared" si="633"/>
        <v>-73.994922342811705</v>
      </c>
      <c r="BG686">
        <f t="shared" si="634"/>
        <v>-220.6866782976355</v>
      </c>
      <c r="BH686">
        <f t="shared" si="635"/>
        <v>-40.686678297635495</v>
      </c>
      <c r="BI686">
        <f t="shared" si="636"/>
        <v>-40.686678297635495</v>
      </c>
    </row>
    <row r="687" spans="1:69" x14ac:dyDescent="0.25">
      <c r="A687">
        <f>Fp2_u</f>
        <v>200366.57214073109</v>
      </c>
      <c r="B687">
        <f t="shared" si="591"/>
        <v>200.36657214073108</v>
      </c>
      <c r="C687">
        <f>SQRT((A687/Fesr)^2+1)</f>
        <v>1.0019792047251921</v>
      </c>
      <c r="D687">
        <f>ATAN(A687/Fesr)</f>
        <v>6.2864073251166025E-2</v>
      </c>
      <c r="F687">
        <f t="shared" si="594"/>
        <v>1.8576301181230934E-3</v>
      </c>
      <c r="G687">
        <f t="shared" si="595"/>
        <v>1.3449375868376025E-2</v>
      </c>
      <c r="H687">
        <f t="shared" si="596"/>
        <v>-3.1281432741316242</v>
      </c>
      <c r="J687">
        <f t="shared" si="597"/>
        <v>15</v>
      </c>
      <c r="M687">
        <f t="shared" si="598"/>
        <v>5.4818415498944801E-3</v>
      </c>
      <c r="N687">
        <f t="shared" si="599"/>
        <v>-1.5707963250000001</v>
      </c>
      <c r="O687">
        <f t="shared" si="600"/>
        <v>69.007245996344466</v>
      </c>
      <c r="P687">
        <f t="shared" si="601"/>
        <v>1.5563045877293966</v>
      </c>
      <c r="Q687">
        <f t="shared" si="602"/>
        <v>26.520937898171429</v>
      </c>
      <c r="R687">
        <f t="shared" si="603"/>
        <v>1.5330813291819876</v>
      </c>
      <c r="S687">
        <f t="shared" si="604"/>
        <v>0.99793710746979247</v>
      </c>
      <c r="T687">
        <f t="shared" si="605"/>
        <v>-6.424332144115133E-2</v>
      </c>
      <c r="U687">
        <f t="shared" si="606"/>
        <v>0.70710678118654746</v>
      </c>
      <c r="V687">
        <f t="shared" si="607"/>
        <v>-0.78539816339744828</v>
      </c>
      <c r="X687">
        <f>20*LOG(C687*J687*O687*Q687*F687*M687*S687*U687)</f>
        <v>-14.081851251980845</v>
      </c>
      <c r="Y687">
        <f>(180/Pi)*(D687+H687+N687+P687+R687+T687+V687)</f>
        <v>-137.29965814803558</v>
      </c>
      <c r="Z687">
        <f t="shared" si="610"/>
        <v>42.700341851964424</v>
      </c>
      <c r="AC687">
        <v>1</v>
      </c>
      <c r="AD687">
        <f t="shared" si="611"/>
        <v>69</v>
      </c>
      <c r="AE687">
        <f t="shared" si="612"/>
        <v>-8.6866880747336131E-3</v>
      </c>
      <c r="AF687">
        <f t="shared" si="613"/>
        <v>8.6866880747336148E-3</v>
      </c>
      <c r="AG687">
        <f t="shared" si="614"/>
        <v>3914.0348666246596</v>
      </c>
      <c r="AH687">
        <f t="shared" si="615"/>
        <v>-4029.1535391724424</v>
      </c>
      <c r="AJ687">
        <f t="shared" si="616"/>
        <v>21000</v>
      </c>
      <c r="AK687">
        <f t="shared" si="617"/>
        <v>1350.9688366661801</v>
      </c>
      <c r="AL687">
        <v>1</v>
      </c>
      <c r="AM687">
        <f t="shared" si="618"/>
        <v>26.50207816377171</v>
      </c>
      <c r="AN687">
        <f t="shared" si="619"/>
        <v>80.760165256071346</v>
      </c>
      <c r="AO687">
        <f t="shared" si="620"/>
        <v>-789.34337546934307</v>
      </c>
      <c r="AQ687">
        <f t="shared" si="621"/>
        <v>6.2271132987871118E-2</v>
      </c>
      <c r="AR687">
        <f t="shared" si="622"/>
        <v>-24.954106920198679</v>
      </c>
      <c r="AT687">
        <f t="shared" si="623"/>
        <v>-100300.1968287073</v>
      </c>
      <c r="AU687">
        <f t="shared" si="624"/>
        <v>-97922.144507003701</v>
      </c>
      <c r="AV687">
        <f t="shared" si="625"/>
        <v>3.9149944953834903</v>
      </c>
      <c r="AW687">
        <f t="shared" si="626"/>
        <v>-17607.059964173</v>
      </c>
      <c r="AX687">
        <f t="shared" si="627"/>
        <v>-9159.5564189695579</v>
      </c>
      <c r="AY687">
        <f t="shared" si="628"/>
        <v>3.6212856224785748</v>
      </c>
      <c r="BA687">
        <f t="shared" si="629"/>
        <v>7.0627289191066698</v>
      </c>
      <c r="BB687">
        <f t="shared" si="630"/>
        <v>16.979450750549546</v>
      </c>
      <c r="BC687">
        <f t="shared" si="631"/>
        <v>0.29370887290491554</v>
      </c>
      <c r="BD687">
        <f t="shared" si="632"/>
        <v>16.828278842225071</v>
      </c>
      <c r="BF687">
        <f>20*LOG(BA687*J687*F687*C687)</f>
        <v>-14.102365029443426</v>
      </c>
      <c r="BG687">
        <f>(180/Pi)*(D687+H687+BC687)</f>
        <v>-158.79928259814258</v>
      </c>
      <c r="BH687">
        <f t="shared" si="635"/>
        <v>21.200717401857418</v>
      </c>
      <c r="BI687">
        <f t="shared" si="636"/>
        <v>21.200717401857418</v>
      </c>
    </row>
    <row r="688" spans="1:69" x14ac:dyDescent="0.25">
      <c r="A688">
        <f>'Bode Plots Calculations'!BK5*1000</f>
        <v>55500</v>
      </c>
      <c r="B688">
        <f t="shared" si="591"/>
        <v>55.5</v>
      </c>
      <c r="C688">
        <f>SQRT((A688/Fesr)^2+1)</f>
        <v>1.0001519926935454</v>
      </c>
      <c r="D688">
        <f>ATAN(A688/Fesr)</f>
        <v>1.7434072648674918E-2</v>
      </c>
      <c r="F688">
        <f t="shared" ref="F688" si="637">(Ro/(Ro+Rdcr))/SQRT((A688/(Q*Fo))^2+(1-(A688^2/Fo^2))^2)</f>
        <v>2.4742096867993769E-2</v>
      </c>
      <c r="G688">
        <f t="shared" ref="G688" si="638">-ATAN(A688*Fo/(Q*(Fo^2-A688^2)))</f>
        <v>4.9637782318395177E-2</v>
      </c>
      <c r="H688">
        <f t="shared" ref="H688" si="639">IF(G688&gt;0,G688-Pi,G688)</f>
        <v>-3.0919548676816051</v>
      </c>
      <c r="J688">
        <f t="shared" si="597"/>
        <v>15</v>
      </c>
      <c r="M688">
        <f t="shared" ref="M688" si="640">1/(2*Pi*_Rfb1*(Cc1ea_u+Cc2ea_u)*A688)</f>
        <v>1.9790590997675488E-2</v>
      </c>
      <c r="N688">
        <f t="shared" si="599"/>
        <v>-1.5707963250000001</v>
      </c>
      <c r="O688">
        <f t="shared" ref="O688" si="641">SQRT(1+(A688/Fz1_u)^2)</f>
        <v>19.138612556976344</v>
      </c>
      <c r="P688">
        <f t="shared" ref="P688" si="642">ATAN(A688/Fz1_u)</f>
        <v>1.5185221311509898</v>
      </c>
      <c r="Q688">
        <f t="shared" ref="Q688" si="643">SQRT(1+(A688/Fz2_u)^2)</f>
        <v>7.4086706078863527</v>
      </c>
      <c r="R688">
        <f t="shared" ref="R688" si="644">ATAN(A688/Fz2_u)</f>
        <v>1.4354060948569412</v>
      </c>
      <c r="S688">
        <f t="shared" ref="S688" si="645">1/SQRT(1+(A688/Fp1_u)^2)</f>
        <v>0.9998412717987184</v>
      </c>
      <c r="T688">
        <f t="shared" ref="T688" si="646">-ATAN(A688/Fp1_u)</f>
        <v>-1.7817541949800793E-2</v>
      </c>
      <c r="U688">
        <f t="shared" ref="U688" si="647">1/SQRT(1+(A688/Fp2_u)^2)</f>
        <v>0.96371285891862468</v>
      </c>
      <c r="V688">
        <f t="shared" ref="V688" si="648">-ATAN(A688/Fp2_u)</f>
        <v>-0.2702175021130131</v>
      </c>
      <c r="X688">
        <f>20*LOG(C688*J688*O688*Q688*F688*M688*S688*U688)</f>
        <v>3.1639612491384084E-2</v>
      </c>
      <c r="Y688">
        <f>(180/Pi)*(D688+H688+N688+P688+R688+T688+V688)</f>
        <v>-113.41263764918932</v>
      </c>
      <c r="Z688">
        <f t="shared" ref="Z688" si="649">Y688+180</f>
        <v>66.587362350810679</v>
      </c>
      <c r="AC688">
        <v>1</v>
      </c>
      <c r="AD688">
        <f t="shared" ref="AD688" si="650">Rcea1_u*Cc1ea_u*A688*2*Pi</f>
        <v>19.112469505693202</v>
      </c>
      <c r="AE688">
        <f t="shared" ref="AE688" si="651">-Rcea1_u*Cc1ea_u*Cc2ea_u*(A688*2*Pi)^2</f>
        <v>-6.6648389031902743E-4</v>
      </c>
      <c r="AF688">
        <f t="shared" ref="AF688" si="652">(Cc2ea_u+Cc1ea_u)*A688*2*Pi</f>
        <v>2.4061458106350003E-3</v>
      </c>
      <c r="AG688">
        <f t="shared" ref="AG688" si="653">AC688*AE688/(AE688^2+AF688^2)+AD688*AF688/(AE688^2+AF688^2)</f>
        <v>7270.2608541868376</v>
      </c>
      <c r="AH688">
        <f t="shared" ref="AH688" si="654">AD688*AE688/(AE688^2+AF688^2)-AC688*AF688/(AE688^2+AF688^2)</f>
        <v>-2429.4087714451116</v>
      </c>
      <c r="AJ688">
        <f t="shared" si="616"/>
        <v>21000</v>
      </c>
      <c r="AK688">
        <f t="shared" ref="AK688" si="655">_Rfb1*Rcea2_u*Cc3ea_u*A688*2*Pi</f>
        <v>374.20798107136505</v>
      </c>
      <c r="AL688">
        <v>1</v>
      </c>
      <c r="AM688">
        <f t="shared" ref="AM688" si="656">(_Rfb1+Rcea2_u)*Cc3ea_u*A688*2*Pi</f>
        <v>7.3408718948200651</v>
      </c>
      <c r="AN688">
        <f t="shared" ref="AN688" si="657">AJ688*AL688/(AL688^2+AM688^2)+AK688*AM688/(AL688^2+AM688^2)</f>
        <v>432.64173805121578</v>
      </c>
      <c r="AO688">
        <f t="shared" ref="AO688" si="658">AK688*AL688/(AL688^2+AM688^2)-AJ688*AM688/(AL688^2+AM688^2)</f>
        <v>-2801.7595943149095</v>
      </c>
      <c r="AQ688">
        <f t="shared" ref="AQ688" si="659">Eadcg/(1+(Eadcg*A688/GBP)^2)</f>
        <v>0.81155656549261479</v>
      </c>
      <c r="AR688">
        <f t="shared" ref="AR688" si="660">-(A688*Eadcg*Eadcg/GBP)/(1+(Eadcg*A688/GBP)^2)</f>
        <v>-90.082778769680246</v>
      </c>
      <c r="AT688">
        <f t="shared" ref="AT688" si="661">-AR688*AH688+AG688*AQ688</f>
        <v>-212947.66497015141</v>
      </c>
      <c r="AU688">
        <f t="shared" ref="AU688" si="662">AQ688*AH688+AG688*AR688</f>
        <v>-656896.90276431106</v>
      </c>
      <c r="AV688">
        <f t="shared" ref="AV688" si="663">IF(AT688&lt;0,ATAN(AU688/AT688)+Pi,ATAN(AU688/AT688))</f>
        <v>4.3989060443283936</v>
      </c>
      <c r="AW688">
        <f t="shared" ref="AW688" si="664">AG688-AH688*AO688/_Rfb2+AG688*AN688/_Rfb2+AN688-AO688*AR688+AQ688*AN688</f>
        <v>-246777.07455981811</v>
      </c>
      <c r="AX688">
        <f t="shared" ref="AX688" si="665">AH688+AH688*AN688/_Rfb2+AG688*AO688/_Rfb2+AO688+AO688*AQ688+AN688*AR688</f>
        <v>-60758.915891325807</v>
      </c>
      <c r="AY688">
        <f t="shared" ref="AY688" si="666">IF(AW688&lt;0,ATAN(AX688/AW688)+Pi,ATAN(AX688/AW688))</f>
        <v>3.3830008272436483</v>
      </c>
      <c r="BA688">
        <f t="shared" ref="BA688" si="667">SQRT(AT688^2+AU688^2)/SQRT(AW688^2+AX688^2)</f>
        <v>2.7171336482562394</v>
      </c>
      <c r="BB688">
        <f t="shared" ref="BB688" si="668">20*LOG(BA688)</f>
        <v>8.6822200136481928</v>
      </c>
      <c r="BC688">
        <f t="shared" ref="BC688" si="669">AV688-AY688</f>
        <v>1.0159052170847453</v>
      </c>
      <c r="BD688">
        <f t="shared" ref="BD688" si="670">BC688*180/Pi</f>
        <v>58.207081390788886</v>
      </c>
      <c r="BF688">
        <v>0</v>
      </c>
      <c r="BG688">
        <f>(180/Pi)*(D688+H688+BC688)</f>
        <v>-117.94998439109324</v>
      </c>
      <c r="BH688">
        <f t="shared" ref="BH688:BH690" si="671">IF(BG688&gt;180,BG688-180,BG688+180)</f>
        <v>62.050015608906762</v>
      </c>
      <c r="BI688">
        <f t="shared" ref="BI688:BI690" si="672">IF(BH688&gt;180,BH688-360,BH688)</f>
        <v>62.050015608906762</v>
      </c>
    </row>
    <row r="689" spans="1:61" x14ac:dyDescent="0.25">
      <c r="A689">
        <v>1000000</v>
      </c>
      <c r="B689">
        <f t="shared" si="591"/>
        <v>1000</v>
      </c>
      <c r="BG689">
        <f>BG688</f>
        <v>-117.94998439109324</v>
      </c>
      <c r="BH689">
        <f t="shared" si="671"/>
        <v>62.050015608906762</v>
      </c>
      <c r="BI689">
        <f t="shared" si="672"/>
        <v>62.050015608906762</v>
      </c>
    </row>
    <row r="690" spans="1:61" x14ac:dyDescent="0.25">
      <c r="A690">
        <f>'Bode Plots Calculations'!BK5*1000</f>
        <v>55500</v>
      </c>
      <c r="B690">
        <f t="shared" si="591"/>
        <v>55.5</v>
      </c>
      <c r="BG690">
        <f>BG688</f>
        <v>-117.94998439109324</v>
      </c>
      <c r="BH690">
        <f t="shared" si="671"/>
        <v>62.050015608906762</v>
      </c>
      <c r="BI690">
        <f t="shared" si="672"/>
        <v>62.050015608906762</v>
      </c>
    </row>
    <row r="691" spans="1:61" x14ac:dyDescent="0.25">
      <c r="A691">
        <f>'Bode Plots Calculations'!BK5*1000</f>
        <v>55500</v>
      </c>
      <c r="B691">
        <f t="shared" si="591"/>
        <v>55.5</v>
      </c>
      <c r="BG691">
        <v>-90</v>
      </c>
    </row>
    <row r="692" spans="1:61" x14ac:dyDescent="0.25">
      <c r="A692">
        <f>'Bode Plots Calculations'!BK5*1000</f>
        <v>55500</v>
      </c>
      <c r="B692">
        <f t="shared" si="591"/>
        <v>55.5</v>
      </c>
      <c r="BG692">
        <v>-80</v>
      </c>
    </row>
  </sheetData>
  <mergeCells count="8">
    <mergeCell ref="A1:G1"/>
    <mergeCell ref="C6:H6"/>
    <mergeCell ref="C679:H679"/>
    <mergeCell ref="O7:P7"/>
    <mergeCell ref="U7:V7"/>
    <mergeCell ref="S7:T7"/>
    <mergeCell ref="Q7:R7"/>
    <mergeCell ref="M7:N7"/>
  </mergeCells>
  <phoneticPr fontId="5" type="noConversion"/>
  <pageMargins left="0.75" right="0.75" top="1" bottom="1" header="0.5" footer="0.5"/>
  <pageSetup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1"/>
  <dimension ref="A2:C9"/>
  <sheetViews>
    <sheetView zoomScaleNormal="100" workbookViewId="0">
      <selection activeCell="B2" sqref="B2"/>
    </sheetView>
  </sheetViews>
  <sheetFormatPr defaultColWidth="9.1796875" defaultRowHeight="12.5" x14ac:dyDescent="0.25"/>
  <cols>
    <col min="1" max="1" width="10.54296875" style="439" customWidth="1"/>
    <col min="2" max="2" width="133.7265625" style="439" customWidth="1"/>
    <col min="3" max="16384" width="9.1796875" style="439"/>
  </cols>
  <sheetData>
    <row r="2" spans="1:3" x14ac:dyDescent="0.25">
      <c r="A2" s="439" t="str">
        <f>IF(RDSON_sense=1, "SCH_RDSON", "SCH_SHUNT")</f>
        <v>SCH_RDSON</v>
      </c>
    </row>
    <row r="5" spans="1:3" ht="403.5" customHeight="1" x14ac:dyDescent="0.25">
      <c r="B5" s="440"/>
    </row>
    <row r="6" spans="1:3" ht="12" customHeight="1" x14ac:dyDescent="0.25">
      <c r="B6" s="440"/>
    </row>
    <row r="7" spans="1:3" ht="34.5" customHeight="1" x14ac:dyDescent="0.25"/>
    <row r="8" spans="1:3" ht="404.15" customHeight="1" x14ac:dyDescent="0.25">
      <c r="B8" s="440"/>
      <c r="C8" s="441"/>
    </row>
    <row r="9" spans="1:3" x14ac:dyDescent="0.25">
      <c r="B9" s="440"/>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BQ209"/>
  <sheetViews>
    <sheetView topLeftCell="A28" workbookViewId="0">
      <selection activeCell="B34" sqref="B34"/>
    </sheetView>
  </sheetViews>
  <sheetFormatPr defaultRowHeight="12.5" x14ac:dyDescent="0.25"/>
  <cols>
    <col min="1" max="1" width="19.81640625" customWidth="1"/>
    <col min="2" max="2" width="13.1796875" bestFit="1" customWidth="1"/>
    <col min="4" max="4" width="61.54296875" customWidth="1"/>
    <col min="8" max="8" width="11" bestFit="1" customWidth="1"/>
    <col min="10" max="10" width="12.453125" bestFit="1" customWidth="1"/>
    <col min="11" max="11" width="12.453125" customWidth="1"/>
    <col min="12" max="12" width="10" customWidth="1"/>
    <col min="13" max="13" width="11" customWidth="1"/>
    <col min="14" max="14" width="11.453125" customWidth="1"/>
    <col min="15" max="15" width="10.26953125" bestFit="1" customWidth="1"/>
    <col min="16" max="16" width="8" customWidth="1"/>
    <col min="17" max="17" width="11.81640625" style="45" customWidth="1"/>
    <col min="18" max="18" width="10.26953125" style="9" customWidth="1"/>
    <col min="19" max="19" width="9.453125" bestFit="1" customWidth="1"/>
    <col min="20" max="20" width="11.54296875" customWidth="1"/>
    <col min="21" max="21" width="12.54296875" bestFit="1" customWidth="1"/>
    <col min="22" max="22" width="12.26953125" bestFit="1" customWidth="1"/>
    <col min="23" max="23" width="10.54296875" bestFit="1" customWidth="1"/>
    <col min="24" max="25" width="10.26953125" customWidth="1"/>
    <col min="26" max="27" width="12.453125" customWidth="1"/>
    <col min="28" max="28" width="11.1796875" bestFit="1" customWidth="1"/>
    <col min="29" max="29" width="11.81640625" customWidth="1"/>
    <col min="30" max="30" width="12.453125" customWidth="1"/>
    <col min="31" max="31" width="9.54296875" bestFit="1" customWidth="1"/>
    <col min="32" max="32" width="11.54296875" customWidth="1"/>
    <col min="33" max="34" width="12.7265625" customWidth="1"/>
    <col min="35" max="35" width="14.26953125" customWidth="1"/>
    <col min="36" max="36" width="10.81640625" bestFit="1" customWidth="1"/>
    <col min="37" max="37" width="10" customWidth="1"/>
    <col min="38" max="38" width="11.26953125" customWidth="1"/>
    <col min="39" max="39" width="10.7265625" customWidth="1"/>
    <col min="41" max="41" width="10" style="4" bestFit="1" customWidth="1"/>
    <col min="42" max="42" width="15" style="100" customWidth="1"/>
    <col min="43" max="43" width="14.81640625" style="10" customWidth="1"/>
    <col min="55" max="55" width="28.453125" customWidth="1"/>
    <col min="58" max="58" width="12.453125" bestFit="1" customWidth="1"/>
  </cols>
  <sheetData>
    <row r="1" spans="1:69" ht="12.75" customHeight="1" x14ac:dyDescent="0.25">
      <c r="A1" s="619" t="s">
        <v>195</v>
      </c>
      <c r="B1" s="619"/>
      <c r="C1" s="619"/>
      <c r="D1" s="619"/>
    </row>
    <row r="2" spans="1:69" ht="12.75" customHeight="1" x14ac:dyDescent="0.25">
      <c r="A2" s="619"/>
      <c r="B2" s="619"/>
      <c r="C2" s="619"/>
      <c r="D2" s="619"/>
    </row>
    <row r="3" spans="1:69" ht="12.75" customHeight="1" x14ac:dyDescent="0.25">
      <c r="A3" s="619"/>
      <c r="B3" s="619"/>
      <c r="C3" s="619"/>
      <c r="D3" s="619"/>
      <c r="AG3">
        <f>VsdBot</f>
        <v>0.9</v>
      </c>
    </row>
    <row r="4" spans="1:69" ht="12.75" customHeight="1" x14ac:dyDescent="0.25">
      <c r="A4" s="619"/>
      <c r="B4" s="619"/>
      <c r="C4" s="619"/>
      <c r="D4" s="619"/>
    </row>
    <row r="5" spans="1:69" ht="13" x14ac:dyDescent="0.3">
      <c r="A5" s="11"/>
      <c r="B5" s="12"/>
      <c r="C5" s="6"/>
      <c r="D5" s="6"/>
    </row>
    <row r="6" spans="1:69" ht="13.5" customHeight="1" thickBot="1" x14ac:dyDescent="0.3">
      <c r="A6" s="620" t="s">
        <v>198</v>
      </c>
      <c r="B6" s="620"/>
      <c r="C6" s="620"/>
      <c r="D6" s="620"/>
      <c r="I6" s="13"/>
      <c r="J6" s="13"/>
      <c r="K6" s="13"/>
      <c r="L6" s="13"/>
      <c r="M6" s="13"/>
      <c r="AJ6" s="13"/>
      <c r="AK6" s="13"/>
      <c r="AM6" s="13"/>
      <c r="AN6" s="13"/>
      <c r="AO6" s="14"/>
      <c r="BH6">
        <v>80</v>
      </c>
      <c r="BI6">
        <v>100</v>
      </c>
      <c r="BJ6">
        <v>120</v>
      </c>
      <c r="BK6">
        <v>140</v>
      </c>
      <c r="BL6">
        <v>160</v>
      </c>
      <c r="BM6">
        <v>180</v>
      </c>
      <c r="BN6">
        <v>20</v>
      </c>
      <c r="BO6">
        <v>30</v>
      </c>
      <c r="BP6">
        <v>40</v>
      </c>
      <c r="BQ6">
        <v>50</v>
      </c>
    </row>
    <row r="7" spans="1:69" ht="13.5" thickBot="1" x14ac:dyDescent="0.35">
      <c r="A7" s="620"/>
      <c r="B7" s="620"/>
      <c r="C7" s="620"/>
      <c r="D7" s="620"/>
      <c r="G7" s="15" t="s">
        <v>118</v>
      </c>
      <c r="H7" s="16"/>
      <c r="I7" s="17"/>
      <c r="J7" s="17"/>
      <c r="K7" s="563"/>
      <c r="L7" s="563"/>
      <c r="M7" s="563"/>
      <c r="N7" s="15" t="s">
        <v>143</v>
      </c>
      <c r="O7" s="16"/>
      <c r="P7" s="16"/>
      <c r="Q7" s="18"/>
      <c r="R7" s="82" t="s">
        <v>36</v>
      </c>
      <c r="S7" s="19"/>
      <c r="T7" s="17"/>
      <c r="U7" s="20" t="s">
        <v>127</v>
      </c>
      <c r="V7" s="21"/>
      <c r="W7" s="17"/>
      <c r="X7" s="15" t="s">
        <v>256</v>
      </c>
      <c r="Y7" s="16"/>
      <c r="Z7" s="16"/>
      <c r="AA7" s="544"/>
      <c r="AB7" s="16"/>
      <c r="AC7" s="17"/>
      <c r="AD7" s="20" t="s">
        <v>255</v>
      </c>
      <c r="AE7" s="21"/>
      <c r="AF7" s="83"/>
      <c r="AG7" s="17"/>
      <c r="AH7" s="471" t="s">
        <v>620</v>
      </c>
      <c r="AI7" s="84" t="s">
        <v>372</v>
      </c>
      <c r="AJ7" s="16" t="s">
        <v>371</v>
      </c>
      <c r="AK7" s="85" t="s">
        <v>237</v>
      </c>
      <c r="AL7" s="86"/>
      <c r="AM7" s="87"/>
      <c r="AN7" s="88"/>
      <c r="AO7" s="15" t="s">
        <v>254</v>
      </c>
      <c r="AP7" s="101"/>
      <c r="AQ7" s="16"/>
      <c r="AR7" s="16"/>
      <c r="AS7" s="16"/>
    </row>
    <row r="8" spans="1:69" ht="65.5" thickBot="1" x14ac:dyDescent="0.65">
      <c r="A8" s="22" t="s">
        <v>189</v>
      </c>
      <c r="B8" s="22"/>
      <c r="C8" s="22"/>
      <c r="D8" s="6"/>
      <c r="G8" s="23" t="s">
        <v>120</v>
      </c>
      <c r="H8" s="24" t="s">
        <v>6</v>
      </c>
      <c r="I8" s="24" t="s">
        <v>247</v>
      </c>
      <c r="J8" s="25" t="s">
        <v>248</v>
      </c>
      <c r="K8" s="564" t="s">
        <v>743</v>
      </c>
      <c r="L8" s="564" t="s">
        <v>744</v>
      </c>
      <c r="M8" s="564" t="s">
        <v>742</v>
      </c>
      <c r="N8" s="23" t="s">
        <v>252</v>
      </c>
      <c r="O8" s="24" t="s">
        <v>165</v>
      </c>
      <c r="P8" s="24" t="s">
        <v>121</v>
      </c>
      <c r="Q8" s="89" t="s">
        <v>373</v>
      </c>
      <c r="R8" s="90" t="s">
        <v>157</v>
      </c>
      <c r="S8" s="26" t="s">
        <v>164</v>
      </c>
      <c r="T8" s="89" t="s">
        <v>374</v>
      </c>
      <c r="U8" s="23" t="s">
        <v>157</v>
      </c>
      <c r="V8" s="24" t="s">
        <v>163</v>
      </c>
      <c r="W8" s="89" t="s">
        <v>375</v>
      </c>
      <c r="X8" s="23" t="s">
        <v>157</v>
      </c>
      <c r="Y8" s="24" t="s">
        <v>162</v>
      </c>
      <c r="Z8" s="24" t="s">
        <v>745</v>
      </c>
      <c r="AA8" s="565" t="s">
        <v>732</v>
      </c>
      <c r="AB8" s="91" t="s">
        <v>377</v>
      </c>
      <c r="AC8" s="89" t="s">
        <v>376</v>
      </c>
      <c r="AD8" s="23" t="s">
        <v>157</v>
      </c>
      <c r="AE8" s="24" t="s">
        <v>162</v>
      </c>
      <c r="AF8" s="24" t="s">
        <v>172</v>
      </c>
      <c r="AG8" s="92" t="s">
        <v>747</v>
      </c>
      <c r="AH8" s="92" t="s">
        <v>621</v>
      </c>
      <c r="AI8" s="89" t="s">
        <v>172</v>
      </c>
      <c r="AJ8" s="93" t="s">
        <v>171</v>
      </c>
      <c r="AK8" s="94" t="s">
        <v>197</v>
      </c>
      <c r="AL8" s="95" t="s">
        <v>270</v>
      </c>
      <c r="AM8" s="96" t="s">
        <v>379</v>
      </c>
      <c r="AN8" s="97" t="s">
        <v>253</v>
      </c>
      <c r="AO8" s="98" t="s">
        <v>122</v>
      </c>
      <c r="AP8" s="102" t="s">
        <v>123</v>
      </c>
      <c r="AQ8" s="99" t="s">
        <v>124</v>
      </c>
      <c r="AR8" s="24" t="s">
        <v>257</v>
      </c>
      <c r="AS8" s="24" t="s">
        <v>258</v>
      </c>
      <c r="BF8" t="s">
        <v>220</v>
      </c>
      <c r="BH8" t="s">
        <v>212</v>
      </c>
      <c r="BI8" t="s">
        <v>213</v>
      </c>
      <c r="BJ8" t="s">
        <v>214</v>
      </c>
      <c r="BK8" t="s">
        <v>215</v>
      </c>
      <c r="BL8" t="s">
        <v>216</v>
      </c>
      <c r="BM8" t="s">
        <v>217</v>
      </c>
      <c r="BN8" t="s">
        <v>221</v>
      </c>
      <c r="BO8" t="s">
        <v>222</v>
      </c>
      <c r="BP8" t="s">
        <v>223</v>
      </c>
      <c r="BQ8" t="s">
        <v>224</v>
      </c>
    </row>
    <row r="9" spans="1:69" ht="13" x14ac:dyDescent="0.3">
      <c r="A9" s="27" t="s">
        <v>125</v>
      </c>
      <c r="B9" s="28" t="s">
        <v>201</v>
      </c>
      <c r="C9" s="29" t="s">
        <v>148</v>
      </c>
      <c r="D9" s="30" t="s">
        <v>188</v>
      </c>
      <c r="G9">
        <v>0</v>
      </c>
      <c r="H9">
        <f t="shared" ref="H9:H72" si="0">Iout*(G9/200)</f>
        <v>0</v>
      </c>
      <c r="I9" s="463">
        <f t="shared" ref="I9:I73" si="1">(Vout+Rdcr*H9+RdsonBot*H9)/(Vin-RdsonTop*H9+RdsonBot*H9)</f>
        <v>0.5</v>
      </c>
      <c r="J9" s="464">
        <f t="shared" ref="J9:J72" si="2">(Vin-Vout)*I9/(Fsw*Lout2)</f>
        <v>2.2058823529411762</v>
      </c>
      <c r="K9" s="464">
        <f>H9+J9/2</f>
        <v>1.1029411764705881</v>
      </c>
      <c r="L9" s="464">
        <f>H9-J9/2</f>
        <v>-1.1029411764705881</v>
      </c>
      <c r="M9" s="77">
        <f t="shared" ref="M9:M72" si="3">IF(MIN(Vin, -L9/(CossTop+CossBot)*0.00000002)&lt;0, 0, MIN(Vin, -L9/(CossTop+CossBot)*0.00000002))</f>
        <v>24</v>
      </c>
      <c r="N9" s="463">
        <f t="shared" ref="N9:N40" si="4">SQRT(H9^2+(J9^2)/12)</f>
        <v>0.6367833851356165</v>
      </c>
      <c r="O9" s="463">
        <f t="shared" ref="O9:O73" si="5">(N9^2*Rdcr*(1+Ltc*Ta-Ltc*25))/(1-N9^2*Rdcr*Ltc*ThetaCa)</f>
        <v>4.8678118644801148E-3</v>
      </c>
      <c r="P9">
        <f t="shared" ref="P9:P72" si="6">Core_Loss</f>
        <v>0.4</v>
      </c>
      <c r="Q9" s="463">
        <f>O9+P9</f>
        <v>0.40486781186448012</v>
      </c>
      <c r="R9" s="9">
        <f>J9/(2*SQRT(3))</f>
        <v>0.63678338513561661</v>
      </c>
      <c r="S9" s="9">
        <f t="shared" ref="S9:S73" si="7">RCoutEsr*R9^2</f>
        <v>4.0549307958477506E-4</v>
      </c>
      <c r="T9" s="9">
        <f>S9</f>
        <v>4.0549307958477506E-4</v>
      </c>
      <c r="U9" s="463">
        <f t="shared" ref="U9:U40" si="8">SQRT(I9)*SQRT(H9^2+(J9^2)/12)</f>
        <v>0.4502738497763194</v>
      </c>
      <c r="V9" s="465">
        <f t="shared" ref="V9:V73" si="9">RCinEsr*U9^2</f>
        <v>2.0274653979238748E-4</v>
      </c>
      <c r="W9" s="463">
        <f>V9</f>
        <v>2.0274653979238748E-4</v>
      </c>
      <c r="X9" s="463">
        <f t="shared" ref="X9:X40" si="10">SQRT(I9)*SQRT(H9^2+(J9^2)/12)</f>
        <v>0.4502738497763194</v>
      </c>
      <c r="Y9" s="463">
        <f t="shared" ref="Y9:Y73" si="11">RdsonTop*X9^2</f>
        <v>4.460423875432524E-3</v>
      </c>
      <c r="Z9" s="463">
        <f t="shared" ref="Z9:Z72" si="12">IF(L9&lt;0, (Vin*K9*Tf/2)*Fsw, (Vin*L9*Tr/2+Vin*K9*Tf/2)*Fsw)</f>
        <v>1.2429667519181583E-2</v>
      </c>
      <c r="AA9" s="463">
        <f t="shared" ref="AA9:AA72" si="13">(0.5*CossTop*(Vin-M9)^2-0.5*CossBot*(Vin-M9)^2+(QossBot*(Vin-M9)/Vin)*Vin)*Fsw</f>
        <v>0</v>
      </c>
      <c r="AB9" s="463">
        <f t="shared" ref="AB9:AB72" si="14">IF(L9&gt;0,0,-L9*VsdTop*Deadtime*Fsw)</f>
        <v>1.0588235294117645E-2</v>
      </c>
      <c r="AC9" s="463">
        <f t="shared" ref="AC9:AC40" si="15">(AB9+AA9+Z9+Y9*(1+RdsonTopTc*Ta-RdsonTopTc*25))/(1-Y9*RdsonTopTc*ThetaJaTop)</f>
        <v>2.749893304751411E-2</v>
      </c>
      <c r="AD9" s="463">
        <f t="shared" ref="AD9:AD40" si="16">SQRT(1-I9)*SQRT(H9^2+(J9^2)/12)</f>
        <v>0.4502738497763194</v>
      </c>
      <c r="AE9" s="463">
        <f t="shared" ref="AE9:AE73" si="17">RdsonBot*AD9^2</f>
        <v>2.0274653979238748E-3</v>
      </c>
      <c r="AF9" s="463">
        <f t="shared" ref="AF9:AF72" si="18">IF(L9&lt;0, Deadtime*Fsw*IF(VfdSky&gt;0,0,VsdBot)*K9, Deadtime*Fsw*IF(VfdSky&gt;0,0,VsdBot)*(K9+L9))</f>
        <v>1.1911764705882351E-2</v>
      </c>
      <c r="AG9" s="463">
        <f t="shared" ref="AG9:AG40" si="19">(AF9+AE9*(1+RdsonBotTc*Ta-RdsonBotTc*25))/(1-AE9*RdsonBotTc*ThetaJaBot)</f>
        <v>1.3943753380205514E-2</v>
      </c>
      <c r="AH9" s="463">
        <f t="shared" ref="AH9:AH40" si="20">IF(RDSON_sense=1, 0, AD9^2*Rshunt)</f>
        <v>0</v>
      </c>
      <c r="AI9">
        <f t="shared" ref="AI9:AI72" si="21">2*Deadtime*Fsw*IF(VfdSky&gt;0,VfdSky,0)*H9</f>
        <v>0</v>
      </c>
      <c r="AJ9" s="464">
        <f t="shared" ref="AJ9:AJ72" si="22">IF(QrrSky&gt;0,QrrSky,QrrBot)*Fsw*(Vin-H9*RdsonTop)</f>
        <v>0.48</v>
      </c>
      <c r="AK9">
        <f t="shared" ref="AK9:AK73" si="23">Iq*Vin</f>
        <v>7.2000000000000008E-2</v>
      </c>
      <c r="AL9" s="464">
        <f t="shared" ref="AL9:AL73" si="24">Vin*(QgTop+QgBot)*Fsw</f>
        <v>0.22559999999999999</v>
      </c>
      <c r="AM9" s="464">
        <f t="shared" ref="AM9:AM73" si="25">(Vin-Vdd)*Fsw*(QgTop+QgBot)+(RdsonDRT+RdsonDRT2)*Fsw*QgTop*Vdd/(RdsonDRT+2*RGateTop+RdsonDRT2)+(RdsonDRB+RdsonDRB2)*Fsw*QgBot*Vdd/(RdsonDRB+2*RGateBot+RdsonDRB2)</f>
        <v>0.18424406779661015</v>
      </c>
      <c r="AN9" s="464">
        <f>SUM(AK9:AL9)</f>
        <v>0.29759999999999998</v>
      </c>
      <c r="AO9" s="464">
        <f t="shared" ref="AO9:AO40" si="26">SUM(Q9,T9,W9,AC9,AJ9,AI9,AG9,AN9, AH9)</f>
        <v>1.2245187379115769</v>
      </c>
      <c r="AP9" s="100">
        <f t="shared" ref="AP9:AP72" si="27">Vout*H9</f>
        <v>0</v>
      </c>
      <c r="AQ9" s="10">
        <f>AP9/(AP9+AO9)</f>
        <v>0</v>
      </c>
      <c r="AR9" s="77">
        <f t="shared" ref="AR9:AR40" si="28">ThetaJaTop*AC9</f>
        <v>1.1549551879955926</v>
      </c>
      <c r="AS9" s="77">
        <f>AG9*ThetaJaBot</f>
        <v>0.55775013520822059</v>
      </c>
      <c r="AU9">
        <f>AQ9*100</f>
        <v>0</v>
      </c>
      <c r="BC9" t="s">
        <v>225</v>
      </c>
      <c r="BD9" s="31">
        <v>70</v>
      </c>
      <c r="BE9" s="31">
        <v>70</v>
      </c>
      <c r="BF9" s="31">
        <v>70</v>
      </c>
      <c r="BG9" s="32">
        <f>250000*(5-Vdd)*BF9/1000000000+((250000*BF9/1000000000*Vdd)*2.5/(2*4))</f>
        <v>-2.7343749999999972E-3</v>
      </c>
      <c r="BH9">
        <f t="shared" ref="BH9:BQ17" si="29">BH$6*$BG9</f>
        <v>-0.21874999999999978</v>
      </c>
      <c r="BI9">
        <f t="shared" si="29"/>
        <v>-0.27343749999999972</v>
      </c>
      <c r="BJ9">
        <f t="shared" si="29"/>
        <v>-0.32812499999999967</v>
      </c>
      <c r="BK9">
        <f t="shared" si="29"/>
        <v>-0.38281249999999961</v>
      </c>
      <c r="BL9">
        <f t="shared" si="29"/>
        <v>-0.43749999999999956</v>
      </c>
      <c r="BM9">
        <f t="shared" si="29"/>
        <v>-0.4921874999999995</v>
      </c>
      <c r="BN9">
        <f t="shared" si="29"/>
        <v>-5.4687499999999944E-2</v>
      </c>
      <c r="BO9">
        <f t="shared" si="29"/>
        <v>-8.2031249999999917E-2</v>
      </c>
      <c r="BP9">
        <f t="shared" si="29"/>
        <v>-0.10937499999999989</v>
      </c>
      <c r="BQ9">
        <f t="shared" si="29"/>
        <v>-0.13671874999999986</v>
      </c>
    </row>
    <row r="10" spans="1:69" ht="13" x14ac:dyDescent="0.3">
      <c r="A10" s="409"/>
      <c r="B10" s="410"/>
      <c r="C10" s="29"/>
      <c r="D10" s="30"/>
      <c r="G10">
        <v>1</v>
      </c>
      <c r="H10">
        <f t="shared" si="0"/>
        <v>4.4999999999999998E-2</v>
      </c>
      <c r="I10" s="463">
        <f t="shared" ref="I10" si="30">(Vout+Rdcr*H10+RdsonBot*H10)/(Vin-RdsonTop*H10+RdsonBot*H10)</f>
        <v>0.50005250118127664</v>
      </c>
      <c r="J10" s="464">
        <f t="shared" si="2"/>
        <v>2.2061139757997497</v>
      </c>
      <c r="K10" s="464">
        <f t="shared" ref="K10:K73" si="31">H10+J10/2</f>
        <v>1.1480569878998748</v>
      </c>
      <c r="L10" s="464">
        <f t="shared" ref="L10:L73" si="32">H10-J10/2</f>
        <v>-1.0580569878998749</v>
      </c>
      <c r="M10" s="77">
        <f t="shared" si="3"/>
        <v>23.992221947842971</v>
      </c>
      <c r="N10" s="463">
        <f t="shared" si="4"/>
        <v>0.63843812505069597</v>
      </c>
      <c r="O10" s="463">
        <f t="shared" ref="O10" si="33">(N10^2*Rdcr*(1+Ltc*Ta-Ltc*25))/(1-N10^2*Rdcr*Ltc*ThetaCa)</f>
        <v>4.8931535608521268E-3</v>
      </c>
      <c r="P10">
        <f t="shared" si="6"/>
        <v>0.4</v>
      </c>
      <c r="Q10" s="463">
        <f t="shared" ref="Q10:Q73" si="34">O10+P10</f>
        <v>0.40489315356085215</v>
      </c>
      <c r="R10" s="9">
        <f>J10/(2*SQRT(3))</f>
        <v>0.63685024889549058</v>
      </c>
      <c r="S10" s="9">
        <f t="shared" ref="S10" si="35">RCoutEsr*R10^2</f>
        <v>4.0557823951824831E-4</v>
      </c>
      <c r="T10" s="9">
        <f>S10</f>
        <v>4.0557823951824831E-4</v>
      </c>
      <c r="U10" s="463">
        <f t="shared" si="8"/>
        <v>0.4514676283087094</v>
      </c>
      <c r="V10" s="465">
        <f t="shared" ref="V10" si="36">RCinEsr*U10^2</f>
        <v>2.0382301941069097E-4</v>
      </c>
      <c r="W10" s="463">
        <f>V10</f>
        <v>2.0382301941069097E-4</v>
      </c>
      <c r="X10" s="463">
        <f t="shared" si="10"/>
        <v>0.4514676283087094</v>
      </c>
      <c r="Y10" s="463">
        <f t="shared" ref="Y10" si="37">RdsonTop*X10^2</f>
        <v>4.4841064270352013E-3</v>
      </c>
      <c r="Z10" s="463">
        <f t="shared" si="12"/>
        <v>1.2938103098419458E-2</v>
      </c>
      <c r="AA10" s="463">
        <f t="shared" si="13"/>
        <v>6.2221053562129978E-5</v>
      </c>
      <c r="AB10" s="463">
        <f t="shared" si="14"/>
        <v>1.0157347083838799E-2</v>
      </c>
      <c r="AC10" s="463">
        <f t="shared" si="15"/>
        <v>2.7662616738596622E-2</v>
      </c>
      <c r="AD10" s="463">
        <f t="shared" si="16"/>
        <v>0.45142022562968659</v>
      </c>
      <c r="AE10" s="463">
        <f t="shared" ref="AE10" si="38">RdsonBot*AD10^2</f>
        <v>2.0378022010755716E-3</v>
      </c>
      <c r="AF10" s="463">
        <f t="shared" si="18"/>
        <v>1.2399015469318646E-2</v>
      </c>
      <c r="AG10" s="463">
        <f t="shared" si="19"/>
        <v>1.444152630624922E-2</v>
      </c>
      <c r="AH10" s="463">
        <f t="shared" si="20"/>
        <v>0</v>
      </c>
      <c r="AI10">
        <f t="shared" si="21"/>
        <v>0</v>
      </c>
      <c r="AJ10" s="464">
        <f t="shared" si="22"/>
        <v>0.47998019999999997</v>
      </c>
      <c r="AK10">
        <f t="shared" si="23"/>
        <v>7.2000000000000008E-2</v>
      </c>
      <c r="AL10" s="464">
        <f t="shared" si="24"/>
        <v>0.22559999999999999</v>
      </c>
      <c r="AM10" s="464">
        <f t="shared" si="25"/>
        <v>0.18424406779661015</v>
      </c>
      <c r="AN10" s="464">
        <f>SUM(AK10:AL10)</f>
        <v>0.29759999999999998</v>
      </c>
      <c r="AO10" s="464">
        <f t="shared" si="26"/>
        <v>1.225186897864627</v>
      </c>
      <c r="AP10" s="100">
        <f t="shared" si="27"/>
        <v>0.54</v>
      </c>
      <c r="AQ10" s="10">
        <f>AP10/(AP10+AO10)</f>
        <v>0.30591661463907655</v>
      </c>
      <c r="AR10" s="77">
        <f t="shared" si="28"/>
        <v>1.1618299030210582</v>
      </c>
      <c r="AS10" s="77">
        <f>AG10*ThetaJaBot</f>
        <v>0.57766105224996878</v>
      </c>
      <c r="AU10">
        <f>AQ10*100</f>
        <v>30.591661463907656</v>
      </c>
      <c r="BD10" s="31"/>
      <c r="BE10" s="31"/>
      <c r="BF10" s="31"/>
      <c r="BG10" s="32"/>
    </row>
    <row r="11" spans="1:69" x14ac:dyDescent="0.25">
      <c r="A11" s="33" t="s">
        <v>4</v>
      </c>
      <c r="B11" s="5">
        <f>Vin</f>
        <v>24</v>
      </c>
      <c r="C11" s="473" t="s">
        <v>0</v>
      </c>
      <c r="D11" s="34" t="s">
        <v>4</v>
      </c>
      <c r="G11">
        <v>2</v>
      </c>
      <c r="H11">
        <f t="shared" si="0"/>
        <v>0.09</v>
      </c>
      <c r="I11" s="463">
        <f t="shared" si="1"/>
        <v>0.50010500472521258</v>
      </c>
      <c r="J11" s="464">
        <f t="shared" si="2"/>
        <v>2.2063456090818199</v>
      </c>
      <c r="K11" s="464">
        <f t="shared" si="31"/>
        <v>1.19317280454091</v>
      </c>
      <c r="L11" s="464">
        <f t="shared" si="32"/>
        <v>-1.0131728045409099</v>
      </c>
      <c r="M11" s="77">
        <f t="shared" si="3"/>
        <v>22.974440012265529</v>
      </c>
      <c r="N11" s="463">
        <f t="shared" si="4"/>
        <v>0.64324444204844777</v>
      </c>
      <c r="O11" s="463">
        <f t="shared" si="5"/>
        <v>4.9671339562775713E-3</v>
      </c>
      <c r="P11">
        <f t="shared" si="6"/>
        <v>0.4</v>
      </c>
      <c r="Q11" s="463">
        <f t="shared" si="34"/>
        <v>0.40496713395627759</v>
      </c>
      <c r="R11" s="9">
        <f t="shared" ref="R11:R74" si="39">J11/(2*SQRT(3))</f>
        <v>0.63691711566436882</v>
      </c>
      <c r="S11" s="9">
        <f t="shared" si="7"/>
        <v>4.0566341222621899E-4</v>
      </c>
      <c r="T11" s="9">
        <f t="shared" ref="T11:T74" si="40">S11</f>
        <v>4.0566341222621899E-4</v>
      </c>
      <c r="U11" s="463">
        <f t="shared" si="8"/>
        <v>0.45489026503818841</v>
      </c>
      <c r="V11" s="465">
        <f t="shared" si="9"/>
        <v>2.0692515322651332E-4</v>
      </c>
      <c r="W11" s="463">
        <f t="shared" ref="W11:W74" si="41">V11</f>
        <v>2.0692515322651332E-4</v>
      </c>
      <c r="X11" s="463">
        <f t="shared" si="10"/>
        <v>0.45489026503818841</v>
      </c>
      <c r="Y11" s="463">
        <f t="shared" si="11"/>
        <v>4.5523533709832921E-3</v>
      </c>
      <c r="Z11" s="463">
        <f t="shared" si="12"/>
        <v>1.3446538736391471E-2</v>
      </c>
      <c r="AA11" s="463">
        <f t="shared" si="13"/>
        <v>8.1460013070383998E-3</v>
      </c>
      <c r="AB11" s="463">
        <f t="shared" si="14"/>
        <v>9.7264589235927356E-3</v>
      </c>
      <c r="AC11" s="463">
        <f t="shared" si="15"/>
        <v>3.589880757969946E-2</v>
      </c>
      <c r="AD11" s="463">
        <f t="shared" si="16"/>
        <v>0.45479474381275076</v>
      </c>
      <c r="AE11" s="463">
        <f t="shared" si="17"/>
        <v>2.0683825899970561E-3</v>
      </c>
      <c r="AF11" s="463">
        <f t="shared" si="18"/>
        <v>1.2886266289041827E-2</v>
      </c>
      <c r="AG11" s="463">
        <f t="shared" si="19"/>
        <v>1.4959599627106411E-2</v>
      </c>
      <c r="AH11" s="463">
        <f t="shared" si="20"/>
        <v>0</v>
      </c>
      <c r="AI11">
        <f t="shared" si="21"/>
        <v>0</v>
      </c>
      <c r="AJ11" s="464">
        <f t="shared" si="22"/>
        <v>0.47996040000000001</v>
      </c>
      <c r="AK11">
        <f t="shared" si="23"/>
        <v>7.2000000000000008E-2</v>
      </c>
      <c r="AL11" s="464">
        <f t="shared" si="24"/>
        <v>0.22559999999999999</v>
      </c>
      <c r="AM11" s="464">
        <f t="shared" si="25"/>
        <v>0.18424406779661015</v>
      </c>
      <c r="AN11" s="464">
        <f t="shared" ref="AN11:AN74" si="42">SUM(AK11:AL11)</f>
        <v>0.29759999999999998</v>
      </c>
      <c r="AO11" s="464">
        <f t="shared" si="26"/>
        <v>1.2339985297285363</v>
      </c>
      <c r="AP11" s="100">
        <f t="shared" si="27"/>
        <v>1.08</v>
      </c>
      <c r="AQ11" s="10">
        <f t="shared" ref="AQ11:AQ74" si="43">AP11/(AP11+AO11)</f>
        <v>0.46672458349690432</v>
      </c>
      <c r="AR11" s="77">
        <f t="shared" si="28"/>
        <v>1.5077499183473773</v>
      </c>
      <c r="AS11" s="77">
        <f t="shared" ref="AS11:AS74" si="44">AG11*ThetaJaBot</f>
        <v>0.59838398508425639</v>
      </c>
      <c r="AT11" s="10"/>
      <c r="AU11">
        <f t="shared" ref="AU11:AU74" si="45">AQ11*100</f>
        <v>46.67245834969043</v>
      </c>
      <c r="BC11" t="s">
        <v>226</v>
      </c>
      <c r="BD11" s="31">
        <v>90</v>
      </c>
      <c r="BE11" s="31">
        <v>90</v>
      </c>
      <c r="BF11" s="31">
        <v>90</v>
      </c>
      <c r="BG11" s="32">
        <f>250000*(12-Vdd)*BF11/1000000000+((250000*BF9/1000000000*Vdd)*2.5/(2*4))</f>
        <v>0.14226562500000001</v>
      </c>
      <c r="BH11">
        <f t="shared" si="29"/>
        <v>11.381250000000001</v>
      </c>
      <c r="BI11">
        <f t="shared" si="29"/>
        <v>14.2265625</v>
      </c>
      <c r="BJ11">
        <f t="shared" si="29"/>
        <v>17.071875000000002</v>
      </c>
      <c r="BK11">
        <f t="shared" si="29"/>
        <v>19.917187500000001</v>
      </c>
      <c r="BL11">
        <f t="shared" si="29"/>
        <v>22.762500000000003</v>
      </c>
      <c r="BM11">
        <f t="shared" si="29"/>
        <v>25.607812500000001</v>
      </c>
      <c r="BN11">
        <f t="shared" si="29"/>
        <v>2.8453125000000004</v>
      </c>
      <c r="BO11">
        <f t="shared" si="29"/>
        <v>4.2679687500000005</v>
      </c>
      <c r="BP11">
        <f t="shared" si="29"/>
        <v>5.6906250000000007</v>
      </c>
      <c r="BQ11">
        <f t="shared" si="29"/>
        <v>7.11328125</v>
      </c>
    </row>
    <row r="12" spans="1:69" x14ac:dyDescent="0.25">
      <c r="A12" s="35" t="s">
        <v>5</v>
      </c>
      <c r="B12" s="5">
        <f>Vout</f>
        <v>12</v>
      </c>
      <c r="C12" s="473" t="s">
        <v>0</v>
      </c>
      <c r="D12" s="34" t="s">
        <v>5</v>
      </c>
      <c r="G12">
        <v>3</v>
      </c>
      <c r="H12">
        <f t="shared" si="0"/>
        <v>0.13500000000000001</v>
      </c>
      <c r="I12" s="463">
        <f t="shared" si="1"/>
        <v>0.50015751063196778</v>
      </c>
      <c r="J12" s="464">
        <f t="shared" si="2"/>
        <v>2.2065772527880929</v>
      </c>
      <c r="K12" s="464">
        <f t="shared" si="31"/>
        <v>1.2382886263940465</v>
      </c>
      <c r="L12" s="464">
        <f t="shared" si="32"/>
        <v>-0.96828862639404645</v>
      </c>
      <c r="M12" s="77">
        <f t="shared" si="3"/>
        <v>21.956658194876336</v>
      </c>
      <c r="N12" s="463">
        <f t="shared" si="4"/>
        <v>0.65113255003121595</v>
      </c>
      <c r="O12" s="463">
        <f t="shared" si="5"/>
        <v>5.0897547773004663E-3</v>
      </c>
      <c r="P12">
        <f t="shared" si="6"/>
        <v>0.4</v>
      </c>
      <c r="Q12" s="463">
        <f t="shared" si="34"/>
        <v>0.40508975477730047</v>
      </c>
      <c r="R12" s="9">
        <f t="shared" si="39"/>
        <v>0.63698398544245516</v>
      </c>
      <c r="S12" s="9">
        <f t="shared" si="7"/>
        <v>4.0574859771015393E-4</v>
      </c>
      <c r="T12" s="9">
        <f t="shared" si="40"/>
        <v>4.0574859771015393E-4</v>
      </c>
      <c r="U12" s="463">
        <f t="shared" si="8"/>
        <v>0.46049275695106212</v>
      </c>
      <c r="V12" s="465">
        <f t="shared" si="9"/>
        <v>2.1205357920438999E-4</v>
      </c>
      <c r="W12" s="463">
        <f t="shared" si="41"/>
        <v>2.1205357920438999E-4</v>
      </c>
      <c r="X12" s="463">
        <f t="shared" si="10"/>
        <v>0.46049275695106212</v>
      </c>
      <c r="Y12" s="463">
        <f t="shared" si="11"/>
        <v>4.6651787424965788E-3</v>
      </c>
      <c r="Z12" s="463">
        <f t="shared" si="12"/>
        <v>1.39549744331016E-2</v>
      </c>
      <c r="AA12" s="463">
        <f t="shared" si="13"/>
        <v>1.6114590778258636E-2</v>
      </c>
      <c r="AB12" s="463">
        <f t="shared" si="14"/>
        <v>9.2955708133828467E-3</v>
      </c>
      <c r="AC12" s="463">
        <f t="shared" si="15"/>
        <v>4.4064850595160014E-2</v>
      </c>
      <c r="AD12" s="463">
        <f t="shared" si="16"/>
        <v>0.46034771478281933</v>
      </c>
      <c r="AE12" s="463">
        <f t="shared" si="17"/>
        <v>2.1192001850576397E-3</v>
      </c>
      <c r="AF12" s="463">
        <f t="shared" si="18"/>
        <v>1.33735171650557E-2</v>
      </c>
      <c r="AG12" s="463">
        <f t="shared" si="19"/>
        <v>1.5497972279028818E-2</v>
      </c>
      <c r="AH12" s="463">
        <f t="shared" si="20"/>
        <v>0</v>
      </c>
      <c r="AI12">
        <f t="shared" si="21"/>
        <v>0</v>
      </c>
      <c r="AJ12" s="464">
        <f t="shared" si="22"/>
        <v>0.47994059999999999</v>
      </c>
      <c r="AK12">
        <f t="shared" si="23"/>
        <v>7.2000000000000008E-2</v>
      </c>
      <c r="AL12" s="464">
        <f t="shared" si="24"/>
        <v>0.22559999999999999</v>
      </c>
      <c r="AM12" s="464">
        <f t="shared" si="25"/>
        <v>0.18424406779661015</v>
      </c>
      <c r="AN12" s="464">
        <f t="shared" si="42"/>
        <v>0.29759999999999998</v>
      </c>
      <c r="AO12" s="464">
        <f t="shared" si="26"/>
        <v>1.2428109798284037</v>
      </c>
      <c r="AP12" s="100">
        <f t="shared" si="27"/>
        <v>1.62</v>
      </c>
      <c r="AQ12" s="10">
        <f t="shared" si="43"/>
        <v>0.56587738813866872</v>
      </c>
      <c r="AR12" s="77">
        <f t="shared" si="28"/>
        <v>1.8507237249967206</v>
      </c>
      <c r="AS12" s="77">
        <f t="shared" si="44"/>
        <v>0.61991889116115273</v>
      </c>
      <c r="AT12" s="10"/>
      <c r="AU12">
        <f t="shared" si="45"/>
        <v>56.587738813866871</v>
      </c>
      <c r="BC12" t="s">
        <v>231</v>
      </c>
      <c r="BD12" s="31">
        <v>60</v>
      </c>
      <c r="BE12" s="31">
        <v>60</v>
      </c>
      <c r="BF12" s="31">
        <v>60</v>
      </c>
      <c r="BG12" s="32">
        <f>250000*(18-Vdd)*BF12/1000000000+((250000*BF9/1000000000*Vdd)*2.5/(2*4))</f>
        <v>0.198515625</v>
      </c>
      <c r="BH12">
        <f t="shared" si="29"/>
        <v>15.88125</v>
      </c>
      <c r="BI12">
        <f t="shared" si="29"/>
        <v>19.8515625</v>
      </c>
      <c r="BJ12">
        <f t="shared" si="29"/>
        <v>23.821874999999999</v>
      </c>
      <c r="BK12">
        <f t="shared" si="29"/>
        <v>27.792187500000001</v>
      </c>
      <c r="BL12">
        <f t="shared" si="29"/>
        <v>31.762499999999999</v>
      </c>
      <c r="BM12">
        <f t="shared" si="29"/>
        <v>35.732812500000001</v>
      </c>
      <c r="BN12">
        <f t="shared" si="29"/>
        <v>3.9703124999999999</v>
      </c>
      <c r="BO12">
        <f t="shared" si="29"/>
        <v>5.9554687499999996</v>
      </c>
      <c r="BP12">
        <f t="shared" si="29"/>
        <v>7.9406249999999998</v>
      </c>
      <c r="BQ12">
        <f t="shared" si="29"/>
        <v>9.92578125</v>
      </c>
    </row>
    <row r="13" spans="1:69" x14ac:dyDescent="0.25">
      <c r="A13" s="35" t="s">
        <v>7</v>
      </c>
      <c r="B13" s="5">
        <f>Fsw/1000</f>
        <v>400</v>
      </c>
      <c r="C13" s="473" t="s">
        <v>3</v>
      </c>
      <c r="D13" s="34" t="s">
        <v>173</v>
      </c>
      <c r="G13">
        <v>4</v>
      </c>
      <c r="H13">
        <f t="shared" si="0"/>
        <v>0.18</v>
      </c>
      <c r="I13" s="463">
        <f t="shared" si="1"/>
        <v>0.50021001890170114</v>
      </c>
      <c r="J13" s="464">
        <f t="shared" si="2"/>
        <v>2.2068089069192696</v>
      </c>
      <c r="K13" s="464">
        <f t="shared" si="31"/>
        <v>1.2834044534596347</v>
      </c>
      <c r="L13" s="464">
        <f t="shared" si="32"/>
        <v>-0.92340445345963484</v>
      </c>
      <c r="M13" s="77">
        <f t="shared" si="3"/>
        <v>20.938876495683331</v>
      </c>
      <c r="N13" s="463">
        <f t="shared" si="4"/>
        <v>0.66199229298498519</v>
      </c>
      <c r="O13" s="463">
        <f t="shared" si="5"/>
        <v>5.2610188856840948E-3</v>
      </c>
      <c r="P13">
        <f t="shared" si="6"/>
        <v>0.4</v>
      </c>
      <c r="Q13" s="463">
        <f t="shared" si="34"/>
        <v>0.40526101888568411</v>
      </c>
      <c r="R13" s="9">
        <f t="shared" si="39"/>
        <v>0.63705085822995211</v>
      </c>
      <c r="S13" s="9">
        <f t="shared" si="7"/>
        <v>4.0583379597151854E-4</v>
      </c>
      <c r="T13" s="9">
        <f t="shared" si="40"/>
        <v>4.0583379597151854E-4</v>
      </c>
      <c r="U13" s="463">
        <f t="shared" si="8"/>
        <v>0.46819753882979515</v>
      </c>
      <c r="V13" s="465">
        <f t="shared" si="9"/>
        <v>2.1920893536627752E-4</v>
      </c>
      <c r="W13" s="463">
        <f t="shared" si="41"/>
        <v>2.1920893536627752E-4</v>
      </c>
      <c r="X13" s="463">
        <f t="shared" si="10"/>
        <v>0.46819753882979515</v>
      </c>
      <c r="Y13" s="463">
        <f t="shared" si="11"/>
        <v>4.822596578058105E-3</v>
      </c>
      <c r="Z13" s="463">
        <f t="shared" si="12"/>
        <v>1.4463410188553795E-2</v>
      </c>
      <c r="AA13" s="463">
        <f t="shared" si="13"/>
        <v>2.3967989507290743E-2</v>
      </c>
      <c r="AB13" s="463">
        <f t="shared" si="14"/>
        <v>8.8646827532124946E-3</v>
      </c>
      <c r="AC13" s="463">
        <f t="shared" si="15"/>
        <v>5.216093962349648E-2</v>
      </c>
      <c r="AD13" s="463">
        <f t="shared" si="16"/>
        <v>0.46800091944914063</v>
      </c>
      <c r="AE13" s="463">
        <f t="shared" si="17"/>
        <v>2.1902486060524102E-3</v>
      </c>
      <c r="AF13" s="463">
        <f t="shared" si="18"/>
        <v>1.3860768097364053E-2</v>
      </c>
      <c r="AG13" s="463">
        <f t="shared" si="19"/>
        <v>1.6056643590015011E-2</v>
      </c>
      <c r="AH13" s="463">
        <f t="shared" si="20"/>
        <v>0</v>
      </c>
      <c r="AI13">
        <f t="shared" si="21"/>
        <v>0</v>
      </c>
      <c r="AJ13" s="464">
        <f t="shared" si="22"/>
        <v>0.47992080000000004</v>
      </c>
      <c r="AK13">
        <f t="shared" si="23"/>
        <v>7.2000000000000008E-2</v>
      </c>
      <c r="AL13" s="464">
        <f t="shared" si="24"/>
        <v>0.22559999999999999</v>
      </c>
      <c r="AM13" s="464">
        <f t="shared" si="25"/>
        <v>0.18424406779661015</v>
      </c>
      <c r="AN13" s="464">
        <f t="shared" si="42"/>
        <v>0.29759999999999998</v>
      </c>
      <c r="AO13" s="464">
        <f t="shared" si="26"/>
        <v>1.2516244448305334</v>
      </c>
      <c r="AP13" s="100">
        <f t="shared" si="27"/>
        <v>2.16</v>
      </c>
      <c r="AQ13" s="10">
        <f t="shared" si="43"/>
        <v>0.6331294768604856</v>
      </c>
      <c r="AR13" s="77">
        <f t="shared" si="28"/>
        <v>2.190759464186852</v>
      </c>
      <c r="AS13" s="77">
        <f t="shared" si="44"/>
        <v>0.64226574360060051</v>
      </c>
      <c r="AT13" s="10"/>
      <c r="AU13">
        <f t="shared" si="45"/>
        <v>63.31294768604856</v>
      </c>
      <c r="BC13" t="s">
        <v>227</v>
      </c>
      <c r="BD13" s="31">
        <v>30</v>
      </c>
      <c r="BE13" s="31">
        <v>30</v>
      </c>
      <c r="BF13" s="31">
        <v>30</v>
      </c>
      <c r="BG13" s="32">
        <f>500000*(5-Vdd)*BF13/1000000000+((500000*BF9/1000000000*Vdd)*2.5/(2*4))</f>
        <v>4.4531250000000001E-2</v>
      </c>
      <c r="BH13">
        <f t="shared" si="29"/>
        <v>3.5625</v>
      </c>
      <c r="BI13">
        <f t="shared" si="29"/>
        <v>4.453125</v>
      </c>
      <c r="BJ13">
        <f t="shared" si="29"/>
        <v>5.34375</v>
      </c>
      <c r="BK13">
        <f t="shared" si="29"/>
        <v>6.234375</v>
      </c>
      <c r="BL13">
        <f t="shared" si="29"/>
        <v>7.125</v>
      </c>
      <c r="BM13">
        <f t="shared" si="29"/>
        <v>8.015625</v>
      </c>
      <c r="BN13">
        <f t="shared" si="29"/>
        <v>0.890625</v>
      </c>
      <c r="BO13">
        <f t="shared" si="29"/>
        <v>1.3359375</v>
      </c>
      <c r="BP13">
        <f t="shared" si="29"/>
        <v>1.78125</v>
      </c>
      <c r="BQ13">
        <f t="shared" si="29"/>
        <v>2.2265625</v>
      </c>
    </row>
    <row r="14" spans="1:69" x14ac:dyDescent="0.25">
      <c r="A14" s="35" t="s">
        <v>6</v>
      </c>
      <c r="B14" s="5">
        <f>Iout</f>
        <v>9</v>
      </c>
      <c r="C14" s="473" t="s">
        <v>2</v>
      </c>
      <c r="D14" s="34" t="s">
        <v>174</v>
      </c>
      <c r="G14">
        <v>5</v>
      </c>
      <c r="H14">
        <f t="shared" si="0"/>
        <v>0.22500000000000001</v>
      </c>
      <c r="I14" s="463">
        <f t="shared" si="1"/>
        <v>0.50026252953457273</v>
      </c>
      <c r="J14" s="464">
        <f t="shared" si="2"/>
        <v>2.2070405714760559</v>
      </c>
      <c r="K14" s="464">
        <f t="shared" si="31"/>
        <v>1.3285202857380281</v>
      </c>
      <c r="L14" s="464">
        <f t="shared" si="32"/>
        <v>-0.87852028573802798</v>
      </c>
      <c r="M14" s="77">
        <f t="shared" si="3"/>
        <v>19.921094914694514</v>
      </c>
      <c r="N14" s="463">
        <f t="shared" si="4"/>
        <v>0.67568040301001742</v>
      </c>
      <c r="O14" s="463">
        <f t="shared" si="5"/>
        <v>5.4809302785780271E-3</v>
      </c>
      <c r="P14">
        <f t="shared" si="6"/>
        <v>0.4</v>
      </c>
      <c r="Q14" s="463">
        <f t="shared" si="34"/>
        <v>0.40548093027857807</v>
      </c>
      <c r="R14" s="9">
        <f t="shared" si="39"/>
        <v>0.63711773402706318</v>
      </c>
      <c r="S14" s="9">
        <f t="shared" si="7"/>
        <v>4.0591900701177964E-4</v>
      </c>
      <c r="T14" s="9">
        <f t="shared" si="40"/>
        <v>4.0591900701177964E-4</v>
      </c>
      <c r="U14" s="463">
        <f t="shared" si="8"/>
        <v>0.47790360931003917</v>
      </c>
      <c r="V14" s="465">
        <f t="shared" si="9"/>
        <v>2.2839185979156256E-4</v>
      </c>
      <c r="W14" s="463">
        <f t="shared" si="41"/>
        <v>2.2839185979156256E-4</v>
      </c>
      <c r="X14" s="463">
        <f t="shared" si="10"/>
        <v>0.47790360931003917</v>
      </c>
      <c r="Y14" s="463">
        <f t="shared" si="11"/>
        <v>5.0246209154143759E-3</v>
      </c>
      <c r="Z14" s="463">
        <f t="shared" si="12"/>
        <v>1.4971846002752035E-2</v>
      </c>
      <c r="AA14" s="463">
        <f t="shared" si="13"/>
        <v>3.1706197534205727E-2</v>
      </c>
      <c r="AB14" s="463">
        <f t="shared" si="14"/>
        <v>8.4337947430850688E-3</v>
      </c>
      <c r="AC14" s="463">
        <f t="shared" si="15"/>
        <v>6.0187265451852816E-2</v>
      </c>
      <c r="AD14" s="463">
        <f t="shared" si="16"/>
        <v>0.47765274752713088</v>
      </c>
      <c r="AE14" s="463">
        <f t="shared" si="17"/>
        <v>2.2815214722021705E-3</v>
      </c>
      <c r="AF14" s="463">
        <f t="shared" si="18"/>
        <v>1.4348019085970701E-2</v>
      </c>
      <c r="AG14" s="463">
        <f t="shared" si="19"/>
        <v>1.6635613279596975E-2</v>
      </c>
      <c r="AH14" s="463">
        <f t="shared" si="20"/>
        <v>0</v>
      </c>
      <c r="AI14">
        <f t="shared" si="21"/>
        <v>0</v>
      </c>
      <c r="AJ14" s="464">
        <f t="shared" si="22"/>
        <v>0.47990099999999997</v>
      </c>
      <c r="AK14">
        <f t="shared" si="23"/>
        <v>7.2000000000000008E-2</v>
      </c>
      <c r="AL14" s="464">
        <f t="shared" si="24"/>
        <v>0.22559999999999999</v>
      </c>
      <c r="AM14" s="464">
        <f t="shared" si="25"/>
        <v>0.18424406779661015</v>
      </c>
      <c r="AN14" s="464">
        <f t="shared" si="42"/>
        <v>0.29759999999999998</v>
      </c>
      <c r="AO14" s="464">
        <f t="shared" si="26"/>
        <v>1.260439119876831</v>
      </c>
      <c r="AP14" s="100">
        <f t="shared" si="27"/>
        <v>2.7</v>
      </c>
      <c r="AQ14" s="10">
        <f t="shared" si="43"/>
        <v>0.68174258416172029</v>
      </c>
      <c r="AR14" s="77">
        <f t="shared" si="28"/>
        <v>2.5278651489778183</v>
      </c>
      <c r="AS14" s="77">
        <f t="shared" si="44"/>
        <v>0.66542453118387901</v>
      </c>
      <c r="AT14" s="10"/>
      <c r="AU14">
        <f t="shared" si="45"/>
        <v>68.174258416172023</v>
      </c>
      <c r="BC14" t="s">
        <v>230</v>
      </c>
      <c r="BD14" s="31">
        <v>45</v>
      </c>
      <c r="BE14" s="31">
        <v>45</v>
      </c>
      <c r="BF14" s="31">
        <v>45</v>
      </c>
      <c r="BG14" s="32">
        <f>500000*(12-Vdd)*BF14/1000000000+((500000*BF9/1000000000*Vdd)*2.5/(2*4))</f>
        <v>0.18328125000000001</v>
      </c>
      <c r="BH14">
        <f t="shared" si="29"/>
        <v>14.662500000000001</v>
      </c>
      <c r="BI14">
        <f t="shared" si="29"/>
        <v>18.328125</v>
      </c>
      <c r="BJ14">
        <f t="shared" si="29"/>
        <v>21.993750000000002</v>
      </c>
      <c r="BK14">
        <f t="shared" si="29"/>
        <v>25.659375000000001</v>
      </c>
      <c r="BL14">
        <f t="shared" si="29"/>
        <v>29.325000000000003</v>
      </c>
      <c r="BM14">
        <f t="shared" si="29"/>
        <v>32.990625000000001</v>
      </c>
      <c r="BN14">
        <f t="shared" si="29"/>
        <v>3.6656250000000004</v>
      </c>
      <c r="BO14">
        <f t="shared" si="29"/>
        <v>5.4984375000000005</v>
      </c>
      <c r="BP14">
        <f t="shared" si="29"/>
        <v>7.3312500000000007</v>
      </c>
      <c r="BQ14">
        <f t="shared" si="29"/>
        <v>9.1640625</v>
      </c>
    </row>
    <row r="15" spans="1:69" x14ac:dyDescent="0.25">
      <c r="A15" s="36" t="s">
        <v>156</v>
      </c>
      <c r="B15" s="5">
        <f>Ta</f>
        <v>25</v>
      </c>
      <c r="C15" s="473" t="s">
        <v>720</v>
      </c>
      <c r="D15" s="34" t="s">
        <v>175</v>
      </c>
      <c r="G15">
        <v>6</v>
      </c>
      <c r="H15">
        <f t="shared" si="0"/>
        <v>0.27</v>
      </c>
      <c r="I15" s="463">
        <f t="shared" si="1"/>
        <v>0.50031504253074166</v>
      </c>
      <c r="J15" s="464">
        <f t="shared" si="2"/>
        <v>2.2072722464591541</v>
      </c>
      <c r="K15" s="464">
        <f t="shared" si="31"/>
        <v>1.3736361232295771</v>
      </c>
      <c r="L15" s="464">
        <f t="shared" si="32"/>
        <v>-0.83363612322957703</v>
      </c>
      <c r="M15" s="77">
        <f t="shared" si="3"/>
        <v>18.90331345191785</v>
      </c>
      <c r="N15" s="463">
        <f t="shared" si="4"/>
        <v>0.69202906791001451</v>
      </c>
      <c r="O15" s="463">
        <f t="shared" si="5"/>
        <v>5.7494940887513205E-3</v>
      </c>
      <c r="P15">
        <f t="shared" si="6"/>
        <v>0.4</v>
      </c>
      <c r="Q15" s="463">
        <f t="shared" si="34"/>
        <v>0.40574949408875133</v>
      </c>
      <c r="R15" s="9">
        <f t="shared" si="39"/>
        <v>0.6371846128339913</v>
      </c>
      <c r="S15" s="9">
        <f t="shared" si="7"/>
        <v>4.0600423083240339E-4</v>
      </c>
      <c r="T15" s="9">
        <f t="shared" si="40"/>
        <v>4.0600423083240339E-4</v>
      </c>
      <c r="U15" s="463">
        <f t="shared" si="8"/>
        <v>0.48949258484380137</v>
      </c>
      <c r="V15" s="465">
        <f t="shared" si="9"/>
        <v>2.3960299061706608E-4</v>
      </c>
      <c r="W15" s="463">
        <f t="shared" si="41"/>
        <v>2.3960299061706608E-4</v>
      </c>
      <c r="X15" s="463">
        <f t="shared" si="10"/>
        <v>0.48949258484380137</v>
      </c>
      <c r="Y15" s="463">
        <f t="shared" si="11"/>
        <v>5.2712657935754534E-3</v>
      </c>
      <c r="Z15" s="463">
        <f t="shared" si="12"/>
        <v>1.5480281875700276E-2</v>
      </c>
      <c r="AA15" s="463">
        <f t="shared" si="13"/>
        <v>3.932921489907848E-2</v>
      </c>
      <c r="AB15" s="463">
        <f t="shared" si="14"/>
        <v>8.0029067830039383E-3</v>
      </c>
      <c r="AC15" s="463">
        <f t="shared" si="15"/>
        <v>6.8144015828263113E-2</v>
      </c>
      <c r="AD15" s="463">
        <f t="shared" si="16"/>
        <v>0.48918425998322701</v>
      </c>
      <c r="AE15" s="463">
        <f t="shared" si="17"/>
        <v>2.3930124021533743E-3</v>
      </c>
      <c r="AF15" s="463">
        <f t="shared" si="18"/>
        <v>1.483527013087943E-2</v>
      </c>
      <c r="AG15" s="463">
        <f t="shared" si="19"/>
        <v>1.7234881458645632E-2</v>
      </c>
      <c r="AH15" s="463">
        <f t="shared" si="20"/>
        <v>0</v>
      </c>
      <c r="AI15">
        <f t="shared" si="21"/>
        <v>0</v>
      </c>
      <c r="AJ15" s="464">
        <f t="shared" si="22"/>
        <v>0.47988120000000001</v>
      </c>
      <c r="AK15">
        <f t="shared" si="23"/>
        <v>7.2000000000000008E-2</v>
      </c>
      <c r="AL15" s="464">
        <f t="shared" si="24"/>
        <v>0.22559999999999999</v>
      </c>
      <c r="AM15" s="464">
        <f t="shared" si="25"/>
        <v>0.18424406779661015</v>
      </c>
      <c r="AN15" s="464">
        <f t="shared" si="42"/>
        <v>0.29759999999999998</v>
      </c>
      <c r="AO15" s="464">
        <f t="shared" si="26"/>
        <v>1.2692551985971097</v>
      </c>
      <c r="AP15" s="100">
        <f t="shared" si="27"/>
        <v>3.24</v>
      </c>
      <c r="AQ15" s="10">
        <f t="shared" si="43"/>
        <v>0.71852220761601782</v>
      </c>
      <c r="AR15" s="77">
        <f t="shared" si="28"/>
        <v>2.8620486647870509</v>
      </c>
      <c r="AS15" s="77">
        <f t="shared" si="44"/>
        <v>0.68939525834582527</v>
      </c>
      <c r="AT15" s="10"/>
      <c r="AU15">
        <f t="shared" si="45"/>
        <v>71.852220761601785</v>
      </c>
      <c r="BC15" t="s">
        <v>228</v>
      </c>
      <c r="BD15" s="31">
        <v>20</v>
      </c>
      <c r="BE15" s="31">
        <v>20</v>
      </c>
      <c r="BF15" s="31">
        <v>20</v>
      </c>
      <c r="BG15" s="32">
        <f>1000000*(5-Vdd)*BF15/1000000000+((1000000*BF9/1000000000*Vdd)*2.5/(2*4))</f>
        <v>0.1140625</v>
      </c>
      <c r="BH15">
        <f t="shared" si="29"/>
        <v>9.125</v>
      </c>
      <c r="BI15">
        <f t="shared" si="29"/>
        <v>11.40625</v>
      </c>
      <c r="BJ15">
        <f t="shared" si="29"/>
        <v>13.6875</v>
      </c>
      <c r="BK15">
        <f t="shared" si="29"/>
        <v>15.96875</v>
      </c>
      <c r="BL15">
        <f t="shared" si="29"/>
        <v>18.25</v>
      </c>
      <c r="BM15">
        <f t="shared" si="29"/>
        <v>20.53125</v>
      </c>
      <c r="BN15">
        <f t="shared" si="29"/>
        <v>2.28125</v>
      </c>
      <c r="BO15">
        <f t="shared" si="29"/>
        <v>3.421875</v>
      </c>
      <c r="BP15">
        <f t="shared" si="29"/>
        <v>4.5625</v>
      </c>
      <c r="BQ15">
        <f t="shared" si="29"/>
        <v>5.703125</v>
      </c>
    </row>
    <row r="16" spans="1:69" x14ac:dyDescent="0.25">
      <c r="A16" s="462" t="s">
        <v>619</v>
      </c>
      <c r="B16" s="5">
        <v>7.5</v>
      </c>
      <c r="C16" s="473" t="s">
        <v>0</v>
      </c>
      <c r="D16" s="474" t="s">
        <v>624</v>
      </c>
      <c r="G16">
        <v>7</v>
      </c>
      <c r="H16">
        <f t="shared" si="0"/>
        <v>0.31500000000000006</v>
      </c>
      <c r="I16" s="463">
        <f t="shared" si="1"/>
        <v>0.50036755789036769</v>
      </c>
      <c r="J16" s="464">
        <f t="shared" si="2"/>
        <v>2.2075039318692689</v>
      </c>
      <c r="K16" s="464">
        <f t="shared" si="31"/>
        <v>1.4187519659346344</v>
      </c>
      <c r="L16" s="464">
        <f t="shared" si="32"/>
        <v>-0.78875196593463437</v>
      </c>
      <c r="M16" s="77">
        <f t="shared" si="3"/>
        <v>17.885532107361325</v>
      </c>
      <c r="N16" s="463">
        <f t="shared" si="4"/>
        <v>0.71085474425852768</v>
      </c>
      <c r="O16" s="463">
        <f t="shared" si="5"/>
        <v>6.0667165848920478E-3</v>
      </c>
      <c r="P16">
        <f t="shared" si="6"/>
        <v>0.4</v>
      </c>
      <c r="Q16" s="463">
        <f t="shared" si="34"/>
        <v>0.40606671658489207</v>
      </c>
      <c r="R16" s="9">
        <f t="shared" si="39"/>
        <v>0.63725149465093989</v>
      </c>
      <c r="S16" s="9">
        <f t="shared" si="7"/>
        <v>4.0608946743485687E-4</v>
      </c>
      <c r="T16" s="9">
        <f t="shared" si="40"/>
        <v>4.0608946743485687E-4</v>
      </c>
      <c r="U16" s="463">
        <f t="shared" si="8"/>
        <v>0.502834929213406</v>
      </c>
      <c r="V16" s="465">
        <f t="shared" si="9"/>
        <v>2.5284296603705106E-4</v>
      </c>
      <c r="W16" s="463">
        <f t="shared" si="41"/>
        <v>2.5284296603705106E-4</v>
      </c>
      <c r="X16" s="463">
        <f t="shared" si="10"/>
        <v>0.502834929213406</v>
      </c>
      <c r="Y16" s="463">
        <f t="shared" si="11"/>
        <v>5.5625452528151225E-3</v>
      </c>
      <c r="Z16" s="463">
        <f t="shared" si="12"/>
        <v>1.5988717807402492E-2</v>
      </c>
      <c r="AA16" s="463">
        <f t="shared" si="13"/>
        <v>4.6837041641987334E-2</v>
      </c>
      <c r="AB16" s="463">
        <f t="shared" si="14"/>
        <v>7.5720188729724892E-3</v>
      </c>
      <c r="AC16" s="463">
        <f t="shared" si="15"/>
        <v>7.6031375473583962E-2</v>
      </c>
      <c r="AD16" s="463">
        <f t="shared" si="16"/>
        <v>0.50246542308680886</v>
      </c>
      <c r="AE16" s="463">
        <f t="shared" si="17"/>
        <v>2.5247150139780582E-3</v>
      </c>
      <c r="AF16" s="463">
        <f t="shared" si="18"/>
        <v>1.5322521232094049E-2</v>
      </c>
      <c r="AG16" s="463">
        <f t="shared" si="19"/>
        <v>1.7854448629195375E-2</v>
      </c>
      <c r="AH16" s="463">
        <f t="shared" si="20"/>
        <v>0</v>
      </c>
      <c r="AI16">
        <f t="shared" si="21"/>
        <v>0</v>
      </c>
      <c r="AJ16" s="464">
        <f t="shared" si="22"/>
        <v>0.47986139999999999</v>
      </c>
      <c r="AK16">
        <f t="shared" si="23"/>
        <v>7.2000000000000008E-2</v>
      </c>
      <c r="AL16" s="464">
        <f t="shared" si="24"/>
        <v>0.22559999999999999</v>
      </c>
      <c r="AM16" s="464">
        <f t="shared" si="25"/>
        <v>0.18424406779661015</v>
      </c>
      <c r="AN16" s="464">
        <f t="shared" si="42"/>
        <v>0.29759999999999998</v>
      </c>
      <c r="AO16" s="464">
        <f t="shared" si="26"/>
        <v>1.2780728731211433</v>
      </c>
      <c r="AP16" s="100">
        <f t="shared" si="27"/>
        <v>3.7800000000000007</v>
      </c>
      <c r="AQ16" s="10">
        <f t="shared" si="43"/>
        <v>0.74732019384044712</v>
      </c>
      <c r="AR16" s="77">
        <f t="shared" si="28"/>
        <v>3.1933177698905264</v>
      </c>
      <c r="AS16" s="77">
        <f t="shared" si="44"/>
        <v>0.71417794516781496</v>
      </c>
      <c r="AT16" s="10"/>
      <c r="AU16">
        <f t="shared" si="45"/>
        <v>74.732019384044719</v>
      </c>
      <c r="BC16" t="s">
        <v>229</v>
      </c>
      <c r="BD16" s="31">
        <v>25</v>
      </c>
      <c r="BE16" s="31">
        <v>25</v>
      </c>
      <c r="BF16" s="31">
        <v>25</v>
      </c>
      <c r="BG16" s="32">
        <f>1000000*(12-Vdd)*BF16/1000000000+((1000000*BF9/1000000000*Vdd)*2.5/(2*4))</f>
        <v>0.27656249999999999</v>
      </c>
      <c r="BH16">
        <f t="shared" si="29"/>
        <v>22.125</v>
      </c>
      <c r="BI16">
        <f t="shared" si="29"/>
        <v>27.65625</v>
      </c>
      <c r="BJ16">
        <f t="shared" si="29"/>
        <v>33.1875</v>
      </c>
      <c r="BK16">
        <f t="shared" si="29"/>
        <v>38.71875</v>
      </c>
      <c r="BL16">
        <f t="shared" si="29"/>
        <v>44.25</v>
      </c>
      <c r="BM16">
        <f t="shared" si="29"/>
        <v>49.78125</v>
      </c>
      <c r="BN16">
        <f t="shared" si="29"/>
        <v>5.53125</v>
      </c>
      <c r="BO16">
        <f t="shared" si="29"/>
        <v>8.296875</v>
      </c>
      <c r="BP16">
        <f t="shared" si="29"/>
        <v>11.0625</v>
      </c>
      <c r="BQ16">
        <f t="shared" si="29"/>
        <v>13.828125</v>
      </c>
    </row>
    <row r="17" spans="1:69" ht="13" x14ac:dyDescent="0.3">
      <c r="A17" s="37" t="s">
        <v>128</v>
      </c>
      <c r="B17" s="29" t="s">
        <v>201</v>
      </c>
      <c r="C17" s="37" t="s">
        <v>148</v>
      </c>
      <c r="D17" s="30" t="s">
        <v>188</v>
      </c>
      <c r="G17">
        <v>8</v>
      </c>
      <c r="H17">
        <f t="shared" si="0"/>
        <v>0.36</v>
      </c>
      <c r="I17" s="463">
        <f t="shared" si="1"/>
        <v>0.50042007561361046</v>
      </c>
      <c r="J17" s="464">
        <f t="shared" si="2"/>
        <v>2.2077356277071045</v>
      </c>
      <c r="K17" s="464">
        <f t="shared" si="31"/>
        <v>1.4638678138535521</v>
      </c>
      <c r="L17" s="464">
        <f t="shared" si="32"/>
        <v>-0.74386781385355227</v>
      </c>
      <c r="M17" s="77">
        <f t="shared" si="3"/>
        <v>16.867750881032933</v>
      </c>
      <c r="N17" s="463">
        <f t="shared" si="4"/>
        <v>0.73196633585200277</v>
      </c>
      <c r="O17" s="463">
        <f t="shared" si="5"/>
        <v>6.4326051719731389E-3</v>
      </c>
      <c r="P17">
        <f t="shared" si="6"/>
        <v>0.4</v>
      </c>
      <c r="Q17" s="463">
        <f t="shared" si="34"/>
        <v>0.40643260517197316</v>
      </c>
      <c r="R17" s="9">
        <f t="shared" si="39"/>
        <v>0.6373183794781121</v>
      </c>
      <c r="S17" s="9">
        <f t="shared" si="7"/>
        <v>4.0617471682060692E-4</v>
      </c>
      <c r="T17" s="9">
        <f t="shared" si="40"/>
        <v>4.0617471682060692E-4</v>
      </c>
      <c r="U17" s="463">
        <f t="shared" si="8"/>
        <v>0.51779573608057916</v>
      </c>
      <c r="V17" s="465">
        <f t="shared" si="9"/>
        <v>2.6811242430322882E-4</v>
      </c>
      <c r="W17" s="463">
        <f t="shared" si="41"/>
        <v>2.6811242430322882E-4</v>
      </c>
      <c r="X17" s="463">
        <f t="shared" si="10"/>
        <v>0.51779573608057916</v>
      </c>
      <c r="Y17" s="463">
        <f t="shared" si="11"/>
        <v>5.8984733346710326E-3</v>
      </c>
      <c r="Z17" s="463">
        <f t="shared" si="12"/>
        <v>1.6497153797862638E-2</v>
      </c>
      <c r="AA17" s="463">
        <f t="shared" si="13"/>
        <v>5.422967780301418E-2</v>
      </c>
      <c r="AB17" s="463">
        <f t="shared" si="14"/>
        <v>7.1411310129941008E-3</v>
      </c>
      <c r="AC17" s="463">
        <f t="shared" si="15"/>
        <v>8.3849526093097815E-2</v>
      </c>
      <c r="AD17" s="463">
        <f t="shared" si="16"/>
        <v>0.51736089194814305</v>
      </c>
      <c r="AE17" s="463">
        <f t="shared" si="17"/>
        <v>2.6766229251737818E-3</v>
      </c>
      <c r="AF17" s="463">
        <f t="shared" si="18"/>
        <v>1.5809772389618362E-2</v>
      </c>
      <c r="AG17" s="463">
        <f t="shared" si="19"/>
        <v>1.8494315684287499E-2</v>
      </c>
      <c r="AH17" s="463">
        <f t="shared" si="20"/>
        <v>0</v>
      </c>
      <c r="AI17">
        <f t="shared" si="21"/>
        <v>0</v>
      </c>
      <c r="AJ17" s="464">
        <f t="shared" si="22"/>
        <v>0.47984160000000003</v>
      </c>
      <c r="AK17">
        <f t="shared" si="23"/>
        <v>7.2000000000000008E-2</v>
      </c>
      <c r="AL17" s="464">
        <f t="shared" si="24"/>
        <v>0.22559999999999999</v>
      </c>
      <c r="AM17" s="464">
        <f t="shared" si="25"/>
        <v>0.18424406779661015</v>
      </c>
      <c r="AN17" s="464">
        <f t="shared" si="42"/>
        <v>0.29759999999999998</v>
      </c>
      <c r="AO17" s="464">
        <f t="shared" si="26"/>
        <v>1.2868923340904823</v>
      </c>
      <c r="AP17" s="100">
        <f t="shared" si="27"/>
        <v>4.32</v>
      </c>
      <c r="AQ17" s="10">
        <f t="shared" si="43"/>
        <v>0.77048028436964189</v>
      </c>
      <c r="AR17" s="77">
        <f t="shared" si="28"/>
        <v>3.5216800959101082</v>
      </c>
      <c r="AS17" s="77">
        <f t="shared" si="44"/>
        <v>0.73977262737149996</v>
      </c>
      <c r="AT17" s="10"/>
      <c r="AU17">
        <f t="shared" si="45"/>
        <v>77.048028436964188</v>
      </c>
      <c r="BC17" t="s">
        <v>232</v>
      </c>
      <c r="BD17" s="31">
        <v>50</v>
      </c>
      <c r="BE17" s="31">
        <v>50</v>
      </c>
      <c r="BF17" s="31">
        <v>50</v>
      </c>
      <c r="BG17" s="32">
        <f>500000*(18-Vdd)*BF17/1000000000+((500000*BF15/1000000000*Vdd)*2.5/(2*4))</f>
        <v>0.28593750000000001</v>
      </c>
      <c r="BH17">
        <f t="shared" si="29"/>
        <v>22.875</v>
      </c>
      <c r="BI17">
        <f t="shared" si="29"/>
        <v>28.59375</v>
      </c>
      <c r="BJ17">
        <f t="shared" si="29"/>
        <v>34.3125</v>
      </c>
      <c r="BK17">
        <f t="shared" si="29"/>
        <v>40.03125</v>
      </c>
      <c r="BL17">
        <f t="shared" si="29"/>
        <v>45.75</v>
      </c>
      <c r="BM17">
        <f t="shared" si="29"/>
        <v>51.46875</v>
      </c>
      <c r="BN17">
        <f t="shared" si="29"/>
        <v>5.71875</v>
      </c>
      <c r="BO17">
        <f t="shared" si="29"/>
        <v>8.578125</v>
      </c>
      <c r="BP17">
        <f t="shared" si="29"/>
        <v>11.4375</v>
      </c>
      <c r="BQ17">
        <f t="shared" si="29"/>
        <v>14.296875</v>
      </c>
    </row>
    <row r="18" spans="1:69" x14ac:dyDescent="0.25">
      <c r="A18" s="54" t="s">
        <v>126</v>
      </c>
      <c r="B18" s="57">
        <f>Lout2*1000000</f>
        <v>6.8</v>
      </c>
      <c r="C18" s="476" t="s">
        <v>11</v>
      </c>
      <c r="D18" s="34" t="s">
        <v>190</v>
      </c>
      <c r="G18">
        <v>9</v>
      </c>
      <c r="H18">
        <f t="shared" si="0"/>
        <v>0.40499999999999997</v>
      </c>
      <c r="I18" s="463">
        <f t="shared" si="1"/>
        <v>0.50047259570062941</v>
      </c>
      <c r="J18" s="464">
        <f t="shared" si="2"/>
        <v>2.2079673339733645</v>
      </c>
      <c r="K18" s="464">
        <f t="shared" si="31"/>
        <v>1.5089836669866823</v>
      </c>
      <c r="L18" s="464">
        <f t="shared" si="32"/>
        <v>-0.69898366698668224</v>
      </c>
      <c r="M18" s="77">
        <f t="shared" si="3"/>
        <v>15.849969772940641</v>
      </c>
      <c r="N18" s="463">
        <f t="shared" si="4"/>
        <v>0.75517215189062725</v>
      </c>
      <c r="O18" s="463">
        <f t="shared" si="5"/>
        <v>6.8471683916845518E-3</v>
      </c>
      <c r="P18">
        <f t="shared" si="6"/>
        <v>0.4</v>
      </c>
      <c r="Q18" s="463">
        <f t="shared" si="34"/>
        <v>0.40684716839168455</v>
      </c>
      <c r="R18" s="9">
        <f t="shared" si="39"/>
        <v>0.63738526731571121</v>
      </c>
      <c r="S18" s="9">
        <f t="shared" si="7"/>
        <v>4.0625997899112066E-4</v>
      </c>
      <c r="T18" s="9">
        <f t="shared" si="40"/>
        <v>4.0625997899112066E-4</v>
      </c>
      <c r="U18" s="463">
        <f t="shared" si="8"/>
        <v>0.53423965008670504</v>
      </c>
      <c r="V18" s="465">
        <f t="shared" si="9"/>
        <v>2.8541200372476504E-4</v>
      </c>
      <c r="W18" s="463">
        <f t="shared" si="41"/>
        <v>2.8541200372476504E-4</v>
      </c>
      <c r="X18" s="463">
        <f t="shared" si="10"/>
        <v>0.53423965008670504</v>
      </c>
      <c r="Y18" s="463">
        <f t="shared" si="11"/>
        <v>6.2790640819448311E-3</v>
      </c>
      <c r="Z18" s="463">
        <f t="shared" si="12"/>
        <v>1.7005589847084696E-2</v>
      </c>
      <c r="AA18" s="463">
        <f t="shared" si="13"/>
        <v>6.1507123422244715E-2</v>
      </c>
      <c r="AB18" s="463">
        <f t="shared" si="14"/>
        <v>6.7102432030721497E-3</v>
      </c>
      <c r="AC18" s="463">
        <f t="shared" si="15"/>
        <v>9.1598646387788432E-2</v>
      </c>
      <c r="AD18" s="463">
        <f t="shared" si="16"/>
        <v>0.53373492977915127</v>
      </c>
      <c r="AE18" s="463">
        <f t="shared" si="17"/>
        <v>2.8487297526635551E-3</v>
      </c>
      <c r="AF18" s="463">
        <f t="shared" si="18"/>
        <v>1.6297023603456168E-2</v>
      </c>
      <c r="AG18" s="463">
        <f t="shared" si="19"/>
        <v>1.9154483907832549E-2</v>
      </c>
      <c r="AH18" s="463">
        <f t="shared" si="20"/>
        <v>0</v>
      </c>
      <c r="AI18">
        <f t="shared" si="21"/>
        <v>0</v>
      </c>
      <c r="AJ18" s="464">
        <f t="shared" si="22"/>
        <v>0.47982180000000002</v>
      </c>
      <c r="AK18">
        <f t="shared" si="23"/>
        <v>7.2000000000000008E-2</v>
      </c>
      <c r="AL18" s="464">
        <f t="shared" si="24"/>
        <v>0.22559999999999999</v>
      </c>
      <c r="AM18" s="464">
        <f t="shared" si="25"/>
        <v>0.18424406779661015</v>
      </c>
      <c r="AN18" s="464">
        <f t="shared" si="42"/>
        <v>0.29759999999999998</v>
      </c>
      <c r="AO18" s="464">
        <f t="shared" si="26"/>
        <v>1.2957137706700215</v>
      </c>
      <c r="AP18" s="100">
        <f t="shared" si="27"/>
        <v>4.8599999999999994</v>
      </c>
      <c r="AQ18" s="10">
        <f t="shared" si="43"/>
        <v>0.78951039327986994</v>
      </c>
      <c r="AR18" s="77">
        <f t="shared" si="28"/>
        <v>3.8471431482871141</v>
      </c>
      <c r="AS18" s="77">
        <f t="shared" si="44"/>
        <v>0.76617935631330192</v>
      </c>
      <c r="AT18" s="10"/>
      <c r="AU18">
        <f t="shared" si="45"/>
        <v>78.95103932798699</v>
      </c>
      <c r="BC18" t="s">
        <v>233</v>
      </c>
      <c r="BE18" s="31"/>
      <c r="BF18" s="32"/>
    </row>
    <row r="19" spans="1:69" x14ac:dyDescent="0.25">
      <c r="A19" s="54" t="s">
        <v>12</v>
      </c>
      <c r="B19" s="58">
        <f>Rdcr*1000</f>
        <v>12</v>
      </c>
      <c r="C19" s="473" t="s">
        <v>622</v>
      </c>
      <c r="D19" s="34" t="s">
        <v>191</v>
      </c>
      <c r="G19">
        <v>10</v>
      </c>
      <c r="H19">
        <f t="shared" si="0"/>
        <v>0.45</v>
      </c>
      <c r="I19" s="463">
        <f t="shared" si="1"/>
        <v>0.50052511815158407</v>
      </c>
      <c r="J19" s="464">
        <f t="shared" si="2"/>
        <v>2.2081990506687528</v>
      </c>
      <c r="K19" s="464">
        <f t="shared" si="31"/>
        <v>1.5540995253343763</v>
      </c>
      <c r="L19" s="464">
        <f t="shared" si="32"/>
        <v>-0.65409952533437643</v>
      </c>
      <c r="M19" s="77">
        <f t="shared" si="3"/>
        <v>14.832188783092437</v>
      </c>
      <c r="N19" s="463">
        <f t="shared" si="4"/>
        <v>0.78028536699586071</v>
      </c>
      <c r="O19" s="463">
        <f t="shared" si="5"/>
        <v>7.31041592293188E-3</v>
      </c>
      <c r="P19">
        <f t="shared" si="6"/>
        <v>0.4</v>
      </c>
      <c r="Q19" s="463">
        <f t="shared" si="34"/>
        <v>0.40731041592293188</v>
      </c>
      <c r="R19" s="9">
        <f t="shared" si="39"/>
        <v>0.6374521581639403</v>
      </c>
      <c r="S19" s="9">
        <f t="shared" si="7"/>
        <v>4.0634525394786514E-4</v>
      </c>
      <c r="T19" s="9">
        <f t="shared" si="40"/>
        <v>4.0634525394786514E-4</v>
      </c>
      <c r="U19" s="463">
        <f t="shared" si="8"/>
        <v>0.55203472958527378</v>
      </c>
      <c r="V19" s="465">
        <f t="shared" si="9"/>
        <v>3.0474234266828631E-4</v>
      </c>
      <c r="W19" s="463">
        <f t="shared" si="41"/>
        <v>3.0474234266828631E-4</v>
      </c>
      <c r="X19" s="463">
        <f t="shared" si="10"/>
        <v>0.55203472958527378</v>
      </c>
      <c r="Y19" s="463">
        <f t="shared" si="11"/>
        <v>6.7043315387022989E-3</v>
      </c>
      <c r="Z19" s="463">
        <f t="shared" si="12"/>
        <v>1.7514025955072624E-2</v>
      </c>
      <c r="AA19" s="463">
        <f t="shared" si="13"/>
        <v>6.8669378539768108E-2</v>
      </c>
      <c r="AB19" s="463">
        <f t="shared" si="14"/>
        <v>6.2793554432100142E-3</v>
      </c>
      <c r="AC19" s="463">
        <f t="shared" si="15"/>
        <v>9.9278912065289313E-2</v>
      </c>
      <c r="AD19" s="463">
        <f t="shared" si="16"/>
        <v>0.55145526679829493</v>
      </c>
      <c r="AE19" s="463">
        <f t="shared" si="17"/>
        <v>3.0410291127957868E-3</v>
      </c>
      <c r="AF19" s="463">
        <f t="shared" si="18"/>
        <v>1.6784274873611262E-2</v>
      </c>
      <c r="AG19" s="463">
        <f t="shared" si="19"/>
        <v>1.9834954974491597E-2</v>
      </c>
      <c r="AH19" s="463">
        <f t="shared" si="20"/>
        <v>0</v>
      </c>
      <c r="AI19">
        <f t="shared" si="21"/>
        <v>0</v>
      </c>
      <c r="AJ19" s="464">
        <f t="shared" si="22"/>
        <v>0.47980200000000006</v>
      </c>
      <c r="AK19">
        <f t="shared" si="23"/>
        <v>7.2000000000000008E-2</v>
      </c>
      <c r="AL19" s="464">
        <f t="shared" si="24"/>
        <v>0.22559999999999999</v>
      </c>
      <c r="AM19" s="464">
        <f t="shared" si="25"/>
        <v>0.18424406779661015</v>
      </c>
      <c r="AN19" s="464">
        <f t="shared" si="42"/>
        <v>0.29759999999999998</v>
      </c>
      <c r="AO19" s="464">
        <f t="shared" si="26"/>
        <v>1.3045373705593288</v>
      </c>
      <c r="AP19" s="100">
        <f t="shared" si="27"/>
        <v>5.4</v>
      </c>
      <c r="AQ19" s="10">
        <f t="shared" si="43"/>
        <v>0.80542469995204202</v>
      </c>
      <c r="AR19" s="77">
        <f t="shared" si="28"/>
        <v>4.1697143067421507</v>
      </c>
      <c r="AS19" s="77">
        <f t="shared" si="44"/>
        <v>0.7933981989796639</v>
      </c>
      <c r="AT19" s="10"/>
      <c r="AU19">
        <f t="shared" si="45"/>
        <v>80.5424699952042</v>
      </c>
      <c r="BC19" t="s">
        <v>234</v>
      </c>
      <c r="BE19" s="31"/>
      <c r="BF19" s="32"/>
    </row>
    <row r="20" spans="1:69" x14ac:dyDescent="0.25">
      <c r="A20" s="54" t="s">
        <v>155</v>
      </c>
      <c r="B20" s="58">
        <f>Ltc*1000000</f>
        <v>4000</v>
      </c>
      <c r="C20" s="476" t="s">
        <v>154</v>
      </c>
      <c r="D20" s="34" t="s">
        <v>176</v>
      </c>
      <c r="G20">
        <v>11</v>
      </c>
      <c r="H20">
        <f t="shared" si="0"/>
        <v>0.495</v>
      </c>
      <c r="I20" s="463">
        <f t="shared" si="1"/>
        <v>0.50057764296663421</v>
      </c>
      <c r="J20" s="464">
        <f t="shared" si="2"/>
        <v>2.2084307777939745</v>
      </c>
      <c r="K20" s="464">
        <f t="shared" si="31"/>
        <v>1.5992153888969871</v>
      </c>
      <c r="L20" s="464">
        <f t="shared" si="32"/>
        <v>-0.60921538889698723</v>
      </c>
      <c r="M20" s="77">
        <f t="shared" si="3"/>
        <v>13.814407911496311</v>
      </c>
      <c r="N20" s="463">
        <f t="shared" si="4"/>
        <v>0.80712795868580112</v>
      </c>
      <c r="O20" s="463">
        <f t="shared" si="5"/>
        <v>7.8223585824014046E-3</v>
      </c>
      <c r="P20">
        <f t="shared" si="6"/>
        <v>0.4</v>
      </c>
      <c r="Q20" s="463">
        <f t="shared" si="34"/>
        <v>0.4078223585824014</v>
      </c>
      <c r="R20" s="9">
        <f t="shared" si="39"/>
        <v>0.63751905202300296</v>
      </c>
      <c r="S20" s="9">
        <f t="shared" si="7"/>
        <v>4.0643054169230836E-4</v>
      </c>
      <c r="T20" s="9">
        <f t="shared" si="40"/>
        <v>4.0643054169230836E-4</v>
      </c>
      <c r="U20" s="463">
        <f t="shared" si="8"/>
        <v>0.57105523336879382</v>
      </c>
      <c r="V20" s="465">
        <f t="shared" si="9"/>
        <v>3.2610407955788759E-4</v>
      </c>
      <c r="W20" s="463">
        <f t="shared" si="41"/>
        <v>3.2610407955788759E-4</v>
      </c>
      <c r="X20" s="463">
        <f t="shared" si="10"/>
        <v>0.57105523336879382</v>
      </c>
      <c r="Y20" s="463">
        <f t="shared" si="11"/>
        <v>7.174289750273526E-3</v>
      </c>
      <c r="Z20" s="463">
        <f t="shared" si="12"/>
        <v>1.8022462121830393E-2</v>
      </c>
      <c r="AA20" s="463">
        <f t="shared" si="13"/>
        <v>7.5716443195677094E-2</v>
      </c>
      <c r="AB20" s="463">
        <f t="shared" si="14"/>
        <v>5.8484677334110771E-3</v>
      </c>
      <c r="AC20" s="463">
        <f t="shared" si="15"/>
        <v>0.10689049585050746</v>
      </c>
      <c r="AD20" s="463">
        <f t="shared" si="16"/>
        <v>0.57039588194027202</v>
      </c>
      <c r="AE20" s="463">
        <f t="shared" si="17"/>
        <v>3.2535146213442073E-3</v>
      </c>
      <c r="AF20" s="463">
        <f t="shared" si="18"/>
        <v>1.7271526200087459E-2</v>
      </c>
      <c r="AG20" s="463">
        <f t="shared" si="19"/>
        <v>2.0535730949576378E-2</v>
      </c>
      <c r="AH20" s="463">
        <f t="shared" si="20"/>
        <v>0</v>
      </c>
      <c r="AI20">
        <f t="shared" si="21"/>
        <v>0</v>
      </c>
      <c r="AJ20" s="464">
        <f t="shared" si="22"/>
        <v>0.47978219999999999</v>
      </c>
      <c r="AK20">
        <f t="shared" si="23"/>
        <v>7.2000000000000008E-2</v>
      </c>
      <c r="AL20" s="464">
        <f t="shared" si="24"/>
        <v>0.22559999999999999</v>
      </c>
      <c r="AM20" s="464">
        <f t="shared" si="25"/>
        <v>0.18424406779661015</v>
      </c>
      <c r="AN20" s="464">
        <f t="shared" si="42"/>
        <v>0.29759999999999998</v>
      </c>
      <c r="AO20" s="464">
        <f t="shared" si="26"/>
        <v>1.3133633200037353</v>
      </c>
      <c r="AP20" s="100">
        <f t="shared" si="27"/>
        <v>5.9399999999999995</v>
      </c>
      <c r="AQ20" s="10">
        <f t="shared" si="43"/>
        <v>0.81893043791399944</v>
      </c>
      <c r="AR20" s="77">
        <f t="shared" si="28"/>
        <v>4.4894008257213134</v>
      </c>
      <c r="AS20" s="77">
        <f t="shared" si="44"/>
        <v>0.82142923798305512</v>
      </c>
      <c r="AT20" s="10"/>
      <c r="AU20">
        <f t="shared" si="45"/>
        <v>81.893043791399947</v>
      </c>
      <c r="BE20" s="31"/>
      <c r="BF20" s="32"/>
    </row>
    <row r="21" spans="1:69" x14ac:dyDescent="0.25">
      <c r="A21" s="38" t="s">
        <v>250</v>
      </c>
      <c r="B21" s="58">
        <f>ThetaCa</f>
        <v>20</v>
      </c>
      <c r="C21" s="477" t="s">
        <v>721</v>
      </c>
      <c r="D21" s="40" t="s">
        <v>251</v>
      </c>
      <c r="G21">
        <v>12</v>
      </c>
      <c r="H21">
        <f t="shared" si="0"/>
        <v>0.54</v>
      </c>
      <c r="I21" s="463">
        <f t="shared" si="1"/>
        <v>0.50063017014593936</v>
      </c>
      <c r="J21" s="464">
        <f t="shared" si="2"/>
        <v>2.2086625153497326</v>
      </c>
      <c r="K21" s="464">
        <f t="shared" si="31"/>
        <v>1.6443312576748663</v>
      </c>
      <c r="L21" s="464">
        <f t="shared" si="32"/>
        <v>-0.56433125767486625</v>
      </c>
      <c r="M21" s="77">
        <f t="shared" si="3"/>
        <v>12.796627158160234</v>
      </c>
      <c r="N21" s="463">
        <f t="shared" si="4"/>
        <v>0.83553326817423457</v>
      </c>
      <c r="O21" s="463">
        <f t="shared" si="5"/>
        <v>8.3830083251916435E-3</v>
      </c>
      <c r="P21">
        <f t="shared" si="6"/>
        <v>0.4</v>
      </c>
      <c r="Q21" s="463">
        <f t="shared" si="34"/>
        <v>0.40838300832519164</v>
      </c>
      <c r="R21" s="9">
        <f t="shared" si="39"/>
        <v>0.63758594889310205</v>
      </c>
      <c r="S21" s="9">
        <f t="shared" si="7"/>
        <v>4.0651584222591735E-4</v>
      </c>
      <c r="T21" s="9">
        <f t="shared" si="40"/>
        <v>4.0651584222591735E-4</v>
      </c>
      <c r="U21" s="463">
        <f t="shared" si="8"/>
        <v>0.59118343420222519</v>
      </c>
      <c r="V21" s="465">
        <f t="shared" si="9"/>
        <v>3.4949785287513677E-4</v>
      </c>
      <c r="W21" s="463">
        <f t="shared" si="41"/>
        <v>3.4949785287513677E-4</v>
      </c>
      <c r="X21" s="463">
        <f t="shared" si="10"/>
        <v>0.59118343420222519</v>
      </c>
      <c r="Y21" s="463">
        <f t="shared" si="11"/>
        <v>7.6889527632530074E-3</v>
      </c>
      <c r="Z21" s="463">
        <f t="shared" si="12"/>
        <v>1.853089834736197E-2</v>
      </c>
      <c r="AA21" s="463">
        <f t="shared" si="13"/>
        <v>8.2648317430068161E-2</v>
      </c>
      <c r="AB21" s="463">
        <f t="shared" si="14"/>
        <v>5.4175800736787159E-3</v>
      </c>
      <c r="AC21" s="463">
        <f t="shared" si="15"/>
        <v>0.11443356749592297</v>
      </c>
      <c r="AD21" s="463">
        <f t="shared" si="16"/>
        <v>0.59043881084391847</v>
      </c>
      <c r="AE21" s="463">
        <f t="shared" si="17"/>
        <v>3.4861798935078053E-3</v>
      </c>
      <c r="AF21" s="463">
        <f t="shared" si="18"/>
        <v>1.7758777582888553E-2</v>
      </c>
      <c r="AG21" s="463">
        <f t="shared" si="19"/>
        <v>2.1256814288968234E-2</v>
      </c>
      <c r="AH21" s="463">
        <f t="shared" si="20"/>
        <v>0</v>
      </c>
      <c r="AI21">
        <f t="shared" si="21"/>
        <v>0</v>
      </c>
      <c r="AJ21" s="464">
        <f t="shared" si="22"/>
        <v>0.47976239999999998</v>
      </c>
      <c r="AK21">
        <f t="shared" si="23"/>
        <v>7.2000000000000008E-2</v>
      </c>
      <c r="AL21" s="464">
        <f t="shared" si="24"/>
        <v>0.22559999999999999</v>
      </c>
      <c r="AM21" s="464">
        <f t="shared" si="25"/>
        <v>0.18424406779661015</v>
      </c>
      <c r="AN21" s="464">
        <f t="shared" si="42"/>
        <v>0.29759999999999998</v>
      </c>
      <c r="AO21" s="464">
        <f t="shared" si="26"/>
        <v>1.3221918038051839</v>
      </c>
      <c r="AP21" s="100">
        <f t="shared" si="27"/>
        <v>6.48</v>
      </c>
      <c r="AQ21" s="10">
        <f t="shared" si="43"/>
        <v>0.83053584979026762</v>
      </c>
      <c r="AR21" s="77">
        <f t="shared" si="28"/>
        <v>4.8062098348287643</v>
      </c>
      <c r="AS21" s="77">
        <f t="shared" si="44"/>
        <v>0.85027257155872937</v>
      </c>
      <c r="AT21" s="10"/>
      <c r="AU21">
        <f t="shared" si="45"/>
        <v>83.053584979026766</v>
      </c>
      <c r="BE21" s="31"/>
      <c r="BF21" s="32"/>
    </row>
    <row r="22" spans="1:69" x14ac:dyDescent="0.25">
      <c r="A22" s="55" t="s">
        <v>127</v>
      </c>
      <c r="B22" s="58">
        <f>Cin*1000000</f>
        <v>18</v>
      </c>
      <c r="C22" s="478" t="s">
        <v>30</v>
      </c>
      <c r="D22" s="34" t="s">
        <v>177</v>
      </c>
      <c r="G22">
        <v>13</v>
      </c>
      <c r="H22">
        <f t="shared" si="0"/>
        <v>0.58499999999999996</v>
      </c>
      <c r="I22" s="463">
        <f t="shared" si="1"/>
        <v>0.50068269968965928</v>
      </c>
      <c r="J22" s="464">
        <f t="shared" si="2"/>
        <v>2.2088942633367319</v>
      </c>
      <c r="K22" s="464">
        <f t="shared" si="31"/>
        <v>1.6894471316683659</v>
      </c>
      <c r="L22" s="464">
        <f t="shared" si="32"/>
        <v>-0.51944713166836598</v>
      </c>
      <c r="M22" s="77">
        <f t="shared" si="3"/>
        <v>11.7788465230922</v>
      </c>
      <c r="N22" s="463">
        <f t="shared" si="4"/>
        <v>0.86534741898855883</v>
      </c>
      <c r="O22" s="463">
        <f t="shared" si="5"/>
        <v>8.9923782455115318E-3</v>
      </c>
      <c r="P22">
        <f t="shared" si="6"/>
        <v>0.4</v>
      </c>
      <c r="Q22" s="463">
        <f t="shared" si="34"/>
        <v>0.40899237824551155</v>
      </c>
      <c r="R22" s="9">
        <f t="shared" si="39"/>
        <v>0.63765284877444117</v>
      </c>
      <c r="S22" s="9">
        <f t="shared" si="7"/>
        <v>4.0660115555016035E-4</v>
      </c>
      <c r="T22" s="9">
        <f t="shared" si="40"/>
        <v>4.0660115555016035E-4</v>
      </c>
      <c r="U22" s="463">
        <f t="shared" si="8"/>
        <v>0.61231062473150266</v>
      </c>
      <c r="V22" s="465">
        <f t="shared" si="9"/>
        <v>3.7492430115908308E-4</v>
      </c>
      <c r="W22" s="463">
        <f t="shared" si="41"/>
        <v>3.7492430115908308E-4</v>
      </c>
      <c r="X22" s="463">
        <f t="shared" si="10"/>
        <v>0.61231062473150266</v>
      </c>
      <c r="Y22" s="463">
        <f t="shared" si="11"/>
        <v>8.2483346254998268E-3</v>
      </c>
      <c r="Z22" s="463">
        <f t="shared" si="12"/>
        <v>1.9039334631671321E-2</v>
      </c>
      <c r="AA22" s="463">
        <f t="shared" si="13"/>
        <v>8.9465001283041259E-2</v>
      </c>
      <c r="AB22" s="463">
        <f t="shared" si="14"/>
        <v>4.9866924640163141E-3</v>
      </c>
      <c r="AC22" s="463">
        <f t="shared" si="15"/>
        <v>0.1219082937915659</v>
      </c>
      <c r="AD22" s="463">
        <f t="shared" si="16"/>
        <v>0.61147514617609544</v>
      </c>
      <c r="AE22" s="463">
        <f t="shared" si="17"/>
        <v>3.7390185439107725E-3</v>
      </c>
      <c r="AF22" s="463">
        <f t="shared" si="18"/>
        <v>1.8246029022018349E-2</v>
      </c>
      <c r="AG22" s="463">
        <f t="shared" si="19"/>
        <v>2.1998207839056007E-2</v>
      </c>
      <c r="AH22" s="463">
        <f t="shared" si="20"/>
        <v>0</v>
      </c>
      <c r="AI22">
        <f t="shared" si="21"/>
        <v>0</v>
      </c>
      <c r="AJ22" s="464">
        <f t="shared" si="22"/>
        <v>0.47974260000000002</v>
      </c>
      <c r="AK22">
        <f t="shared" si="23"/>
        <v>7.2000000000000008E-2</v>
      </c>
      <c r="AL22" s="464">
        <f t="shared" si="24"/>
        <v>0.22559999999999999</v>
      </c>
      <c r="AM22" s="464">
        <f t="shared" si="25"/>
        <v>0.18424406779661015</v>
      </c>
      <c r="AN22" s="464">
        <f t="shared" si="42"/>
        <v>0.29759999999999998</v>
      </c>
      <c r="AO22" s="464">
        <f t="shared" si="26"/>
        <v>1.3310230053328427</v>
      </c>
      <c r="AP22" s="100">
        <f t="shared" si="27"/>
        <v>7.02</v>
      </c>
      <c r="AQ22" s="10">
        <f t="shared" si="43"/>
        <v>0.84061557434545808</v>
      </c>
      <c r="AR22" s="77">
        <f t="shared" si="28"/>
        <v>5.1201483392457678</v>
      </c>
      <c r="AS22" s="77">
        <f t="shared" si="44"/>
        <v>0.87992831356224033</v>
      </c>
      <c r="AT22" s="10"/>
      <c r="AU22">
        <f t="shared" si="45"/>
        <v>84.061557434545804</v>
      </c>
      <c r="BE22" s="31"/>
      <c r="BF22" s="32"/>
    </row>
    <row r="23" spans="1:69" x14ac:dyDescent="0.25">
      <c r="A23" s="55" t="s">
        <v>159</v>
      </c>
      <c r="B23" s="58">
        <f>RCinEsr*1000</f>
        <v>1</v>
      </c>
      <c r="C23" s="473" t="s">
        <v>622</v>
      </c>
      <c r="D23" s="34" t="s">
        <v>178</v>
      </c>
      <c r="G23">
        <v>14</v>
      </c>
      <c r="H23">
        <f t="shared" si="0"/>
        <v>0.63000000000000012</v>
      </c>
      <c r="I23" s="463">
        <f t="shared" si="1"/>
        <v>0.50073523159795341</v>
      </c>
      <c r="J23" s="464">
        <f t="shared" si="2"/>
        <v>2.2091260217556767</v>
      </c>
      <c r="K23" s="464">
        <f t="shared" si="31"/>
        <v>1.7345630108778385</v>
      </c>
      <c r="L23" s="464">
        <f t="shared" si="32"/>
        <v>-0.47456301087783825</v>
      </c>
      <c r="M23" s="77">
        <f t="shared" si="3"/>
        <v>10.761066006300187</v>
      </c>
      <c r="N23" s="463">
        <f t="shared" si="4"/>
        <v>0.89642985317675883</v>
      </c>
      <c r="O23" s="463">
        <f t="shared" si="5"/>
        <v>9.6504825774452255E-3</v>
      </c>
      <c r="P23">
        <f t="shared" si="6"/>
        <v>0.4</v>
      </c>
      <c r="Q23" s="463">
        <f t="shared" si="34"/>
        <v>0.40965048257744524</v>
      </c>
      <c r="R23" s="9">
        <f t="shared" si="39"/>
        <v>0.6377197516672235</v>
      </c>
      <c r="S23" s="9">
        <f t="shared" si="7"/>
        <v>4.0668648166650525E-4</v>
      </c>
      <c r="T23" s="9">
        <f t="shared" si="40"/>
        <v>4.0668648166650525E-4</v>
      </c>
      <c r="U23" s="463">
        <f t="shared" si="8"/>
        <v>0.63433749929060801</v>
      </c>
      <c r="V23" s="465">
        <f t="shared" si="9"/>
        <v>4.0238406300626214E-4</v>
      </c>
      <c r="W23" s="463">
        <f t="shared" si="41"/>
        <v>4.0238406300626214E-4</v>
      </c>
      <c r="X23" s="463">
        <f t="shared" si="10"/>
        <v>0.63433749929060801</v>
      </c>
      <c r="Y23" s="463">
        <f t="shared" si="11"/>
        <v>8.8524493861377659E-3</v>
      </c>
      <c r="Z23" s="463">
        <f t="shared" si="12"/>
        <v>1.9547770974762423E-2</v>
      </c>
      <c r="AA23" s="463">
        <f t="shared" si="13"/>
        <v>9.6166494794700061E-2</v>
      </c>
      <c r="AB23" s="463">
        <f t="shared" si="14"/>
        <v>4.5558049044272467E-3</v>
      </c>
      <c r="AC23" s="463">
        <f t="shared" si="15"/>
        <v>0.1293148385746718</v>
      </c>
      <c r="AD23" s="463">
        <f t="shared" si="16"/>
        <v>0.63340541413871987</v>
      </c>
      <c r="AE23" s="463">
        <f t="shared" si="17"/>
        <v>4.0120241866024326E-3</v>
      </c>
      <c r="AF23" s="463">
        <f t="shared" si="18"/>
        <v>1.8733280517480654E-2</v>
      </c>
      <c r="AG23" s="463">
        <f t="shared" si="19"/>
        <v>2.2759914836692655E-2</v>
      </c>
      <c r="AH23" s="463">
        <f t="shared" si="20"/>
        <v>0</v>
      </c>
      <c r="AI23">
        <f t="shared" si="21"/>
        <v>0</v>
      </c>
      <c r="AJ23" s="464">
        <f t="shared" si="22"/>
        <v>0.4797228</v>
      </c>
      <c r="AK23">
        <f t="shared" si="23"/>
        <v>7.2000000000000008E-2</v>
      </c>
      <c r="AL23" s="464">
        <f t="shared" si="24"/>
        <v>0.22559999999999999</v>
      </c>
      <c r="AM23" s="464">
        <f t="shared" si="25"/>
        <v>0.18424406779661015</v>
      </c>
      <c r="AN23" s="464">
        <f t="shared" si="42"/>
        <v>0.29759999999999998</v>
      </c>
      <c r="AO23" s="464">
        <f t="shared" si="26"/>
        <v>1.3398571065334823</v>
      </c>
      <c r="AP23" s="100">
        <f t="shared" si="27"/>
        <v>7.5600000000000014</v>
      </c>
      <c r="AQ23" s="10">
        <f t="shared" si="43"/>
        <v>0.84945184057507195</v>
      </c>
      <c r="AR23" s="77">
        <f t="shared" si="28"/>
        <v>5.4312232201362152</v>
      </c>
      <c r="AS23" s="77">
        <f t="shared" si="44"/>
        <v>0.91039659346770618</v>
      </c>
      <c r="AT23" s="10"/>
      <c r="AU23">
        <f t="shared" si="45"/>
        <v>84.945184057507191</v>
      </c>
      <c r="BE23" s="31"/>
      <c r="BF23" s="32"/>
    </row>
    <row r="24" spans="1:69" x14ac:dyDescent="0.25">
      <c r="A24" s="54" t="s">
        <v>36</v>
      </c>
      <c r="B24" s="58">
        <f>Cout*1000000</f>
        <v>50</v>
      </c>
      <c r="C24" s="476" t="s">
        <v>30</v>
      </c>
      <c r="D24" s="34" t="s">
        <v>199</v>
      </c>
      <c r="G24">
        <v>15</v>
      </c>
      <c r="H24">
        <f t="shared" si="0"/>
        <v>0.67499999999999993</v>
      </c>
      <c r="I24" s="463">
        <f t="shared" si="1"/>
        <v>0.5007877658709815</v>
      </c>
      <c r="J24" s="464">
        <f t="shared" si="2"/>
        <v>2.209357790607271</v>
      </c>
      <c r="K24" s="464">
        <f t="shared" si="31"/>
        <v>1.7796788953036353</v>
      </c>
      <c r="L24" s="464">
        <f t="shared" si="32"/>
        <v>-0.42967889530363557</v>
      </c>
      <c r="M24" s="77">
        <f t="shared" si="3"/>
        <v>9.7432856077921901</v>
      </c>
      <c r="N24" s="463">
        <f t="shared" si="4"/>
        <v>0.92865322945457962</v>
      </c>
      <c r="O24" s="463">
        <f t="shared" si="5"/>
        <v>1.0357336695783681E-2</v>
      </c>
      <c r="P24">
        <f t="shared" si="6"/>
        <v>0.4</v>
      </c>
      <c r="Q24" s="463">
        <f t="shared" si="34"/>
        <v>0.41035733669578373</v>
      </c>
      <c r="R24" s="9">
        <f t="shared" si="39"/>
        <v>0.63778665757165243</v>
      </c>
      <c r="S24" s="9">
        <f t="shared" si="7"/>
        <v>4.0677182057642023E-4</v>
      </c>
      <c r="T24" s="9">
        <f t="shared" si="40"/>
        <v>4.0677182057642023E-4</v>
      </c>
      <c r="U24" s="463">
        <f t="shared" si="8"/>
        <v>0.65717408429631718</v>
      </c>
      <c r="V24" s="465">
        <f t="shared" si="9"/>
        <v>4.3187777707070303E-4</v>
      </c>
      <c r="W24" s="463">
        <f t="shared" si="41"/>
        <v>4.3187777707070303E-4</v>
      </c>
      <c r="X24" s="463">
        <f t="shared" si="10"/>
        <v>0.65717408429631718</v>
      </c>
      <c r="Y24" s="463">
        <f t="shared" si="11"/>
        <v>9.5013110955554664E-3</v>
      </c>
      <c r="Z24" s="463">
        <f t="shared" si="12"/>
        <v>2.005620737663923E-2</v>
      </c>
      <c r="AA24" s="463">
        <f t="shared" si="13"/>
        <v>0.10275279800515169</v>
      </c>
      <c r="AB24" s="463">
        <f t="shared" si="14"/>
        <v>4.1249173949149016E-3</v>
      </c>
      <c r="AC24" s="463">
        <f t="shared" si="15"/>
        <v>0.13665336273901632</v>
      </c>
      <c r="AD24" s="463">
        <f t="shared" si="16"/>
        <v>0.65613950003464727</v>
      </c>
      <c r="AE24" s="463">
        <f t="shared" si="17"/>
        <v>4.3051904350571695E-3</v>
      </c>
      <c r="AF24" s="463">
        <f t="shared" si="18"/>
        <v>1.9220532069279258E-2</v>
      </c>
      <c r="AG24" s="463">
        <f t="shared" si="19"/>
        <v>2.3541938909170737E-2</v>
      </c>
      <c r="AH24" s="463">
        <f t="shared" si="20"/>
        <v>0</v>
      </c>
      <c r="AI24">
        <f t="shared" si="21"/>
        <v>0</v>
      </c>
      <c r="AJ24" s="464">
        <f t="shared" si="22"/>
        <v>0.47970300000000005</v>
      </c>
      <c r="AK24">
        <f t="shared" si="23"/>
        <v>7.2000000000000008E-2</v>
      </c>
      <c r="AL24" s="464">
        <f t="shared" si="24"/>
        <v>0.22559999999999999</v>
      </c>
      <c r="AM24" s="464">
        <f t="shared" si="25"/>
        <v>0.18424406779661015</v>
      </c>
      <c r="AN24" s="464">
        <f t="shared" si="42"/>
        <v>0.29759999999999998</v>
      </c>
      <c r="AO24" s="464">
        <f t="shared" si="26"/>
        <v>1.3486942879416177</v>
      </c>
      <c r="AP24" s="100">
        <f t="shared" si="27"/>
        <v>8.1</v>
      </c>
      <c r="AQ24" s="10">
        <f t="shared" si="43"/>
        <v>0.85726130544166135</v>
      </c>
      <c r="AR24" s="77">
        <f t="shared" si="28"/>
        <v>5.7394412350386856</v>
      </c>
      <c r="AS24" s="77">
        <f t="shared" si="44"/>
        <v>0.94167755636682948</v>
      </c>
      <c r="AT24" s="10"/>
      <c r="AU24">
        <f t="shared" si="45"/>
        <v>85.726130544166139</v>
      </c>
      <c r="BE24" s="31"/>
      <c r="BF24" s="32"/>
    </row>
    <row r="25" spans="1:69" x14ac:dyDescent="0.25">
      <c r="A25" s="54" t="s">
        <v>158</v>
      </c>
      <c r="B25" s="59">
        <f>CoutEsr*1000</f>
        <v>1</v>
      </c>
      <c r="C25" s="473" t="s">
        <v>622</v>
      </c>
      <c r="D25" s="34" t="s">
        <v>200</v>
      </c>
      <c r="G25">
        <v>16</v>
      </c>
      <c r="H25">
        <f t="shared" si="0"/>
        <v>0.72</v>
      </c>
      <c r="I25" s="463">
        <f t="shared" si="1"/>
        <v>0.50084030250890321</v>
      </c>
      <c r="J25" s="464">
        <f t="shared" si="2"/>
        <v>2.2095895698922199</v>
      </c>
      <c r="K25" s="464">
        <f t="shared" si="31"/>
        <v>1.8247947849461099</v>
      </c>
      <c r="L25" s="464">
        <f t="shared" si="32"/>
        <v>-0.38479478494610997</v>
      </c>
      <c r="M25" s="77">
        <f t="shared" si="3"/>
        <v>8.7255053275761902</v>
      </c>
      <c r="N25" s="463">
        <f t="shared" si="4"/>
        <v>0.96190289129484052</v>
      </c>
      <c r="O25" s="463">
        <f t="shared" si="5"/>
        <v>1.1112957116923066E-2</v>
      </c>
      <c r="P25">
        <f t="shared" si="6"/>
        <v>0.4</v>
      </c>
      <c r="Q25" s="463">
        <f t="shared" si="34"/>
        <v>0.41111295711692308</v>
      </c>
      <c r="R25" s="9">
        <f t="shared" si="39"/>
        <v>0.63785356648793134</v>
      </c>
      <c r="S25" s="9">
        <f t="shared" si="7"/>
        <v>4.0685717228137384E-4</v>
      </c>
      <c r="T25" s="9">
        <f t="shared" si="40"/>
        <v>4.0685717228137384E-4</v>
      </c>
      <c r="U25" s="463">
        <f t="shared" si="8"/>
        <v>0.68073936426795212</v>
      </c>
      <c r="V25" s="465">
        <f t="shared" si="9"/>
        <v>4.6340608206393564E-4</v>
      </c>
      <c r="W25" s="463">
        <f t="shared" si="41"/>
        <v>4.6340608206393564E-4</v>
      </c>
      <c r="X25" s="463">
        <f t="shared" si="10"/>
        <v>0.68073936426795212</v>
      </c>
      <c r="Y25" s="463">
        <f t="shared" si="11"/>
        <v>1.0194933805406583E-2</v>
      </c>
      <c r="Z25" s="463">
        <f t="shared" si="12"/>
        <v>2.0564643837305725E-2</v>
      </c>
      <c r="AA25" s="463">
        <f t="shared" si="13"/>
        <v>0.10922391095450705</v>
      </c>
      <c r="AB25" s="463">
        <f t="shared" si="14"/>
        <v>3.6940299354826559E-3</v>
      </c>
      <c r="AC25" s="463">
        <f t="shared" si="15"/>
        <v>0.14392402424393136</v>
      </c>
      <c r="AD25" s="463">
        <f t="shared" si="16"/>
        <v>0.6795962700143654</v>
      </c>
      <c r="AE25" s="463">
        <f t="shared" si="17"/>
        <v>4.6185109021743822E-3</v>
      </c>
      <c r="AF25" s="463">
        <f t="shared" si="18"/>
        <v>1.9707783677417986E-2</v>
      </c>
      <c r="AG25" s="463">
        <f t="shared" si="19"/>
        <v>2.4344284074216755E-2</v>
      </c>
      <c r="AH25" s="463">
        <f t="shared" si="20"/>
        <v>0</v>
      </c>
      <c r="AI25">
        <f t="shared" si="21"/>
        <v>0</v>
      </c>
      <c r="AJ25" s="464">
        <f t="shared" si="22"/>
        <v>0.47968319999999998</v>
      </c>
      <c r="AK25">
        <f t="shared" si="23"/>
        <v>7.2000000000000008E-2</v>
      </c>
      <c r="AL25" s="464">
        <f t="shared" si="24"/>
        <v>0.22559999999999999</v>
      </c>
      <c r="AM25" s="464">
        <f t="shared" si="25"/>
        <v>0.18424406779661015</v>
      </c>
      <c r="AN25" s="464">
        <f t="shared" si="42"/>
        <v>0.29759999999999998</v>
      </c>
      <c r="AO25" s="464">
        <f t="shared" si="26"/>
        <v>1.3575347286894166</v>
      </c>
      <c r="AP25" s="100">
        <f t="shared" si="27"/>
        <v>8.64</v>
      </c>
      <c r="AQ25" s="10">
        <f t="shared" si="43"/>
        <v>0.86421305196432407</v>
      </c>
      <c r="AR25" s="77">
        <f t="shared" si="28"/>
        <v>6.0448090182451173</v>
      </c>
      <c r="AS25" s="77">
        <f t="shared" si="44"/>
        <v>0.97377136296867017</v>
      </c>
      <c r="AT25" s="10"/>
      <c r="AU25">
        <f t="shared" si="45"/>
        <v>86.421305196432414</v>
      </c>
      <c r="BC25" t="s">
        <v>240</v>
      </c>
      <c r="BD25" t="s">
        <v>4</v>
      </c>
      <c r="BE25" t="s">
        <v>6</v>
      </c>
      <c r="BF25" t="s">
        <v>5</v>
      </c>
      <c r="BG25" t="s">
        <v>241</v>
      </c>
      <c r="BH25" t="s">
        <v>242</v>
      </c>
    </row>
    <row r="26" spans="1:69" ht="13" x14ac:dyDescent="0.3">
      <c r="A26" s="37" t="s">
        <v>202</v>
      </c>
      <c r="B26" s="56" t="s">
        <v>201</v>
      </c>
      <c r="C26" s="37" t="s">
        <v>148</v>
      </c>
      <c r="D26" s="30" t="s">
        <v>188</v>
      </c>
      <c r="G26">
        <v>17</v>
      </c>
      <c r="H26">
        <f t="shared" si="0"/>
        <v>0.76500000000000001</v>
      </c>
      <c r="I26" s="463">
        <f t="shared" si="1"/>
        <v>0.5008928415118783</v>
      </c>
      <c r="J26" s="464">
        <f t="shared" si="2"/>
        <v>2.2098213596112277</v>
      </c>
      <c r="K26" s="464">
        <f t="shared" si="31"/>
        <v>1.869910679805614</v>
      </c>
      <c r="L26" s="464">
        <f t="shared" si="32"/>
        <v>-0.33991067980561385</v>
      </c>
      <c r="M26" s="77">
        <f t="shared" si="3"/>
        <v>7.7077251656601788</v>
      </c>
      <c r="N26" s="463">
        <f t="shared" si="4"/>
        <v>0.99607606977722074</v>
      </c>
      <c r="O26" s="463">
        <f t="shared" si="5"/>
        <v>1.1917361499830085E-2</v>
      </c>
      <c r="P26">
        <f t="shared" si="6"/>
        <v>0.4</v>
      </c>
      <c r="Q26" s="463">
        <f t="shared" si="34"/>
        <v>0.4119173614998301</v>
      </c>
      <c r="R26" s="9">
        <f t="shared" si="39"/>
        <v>0.63792047841626365</v>
      </c>
      <c r="S26" s="9">
        <f t="shared" si="7"/>
        <v>4.0694253678283474E-4</v>
      </c>
      <c r="T26" s="9">
        <f t="shared" si="40"/>
        <v>4.0694253678283474E-4</v>
      </c>
      <c r="U26" s="463">
        <f t="shared" si="8"/>
        <v>0.70496072000856547</v>
      </c>
      <c r="V26" s="465">
        <f t="shared" si="9"/>
        <v>4.9696961675499505E-4</v>
      </c>
      <c r="W26" s="463">
        <f t="shared" si="41"/>
        <v>4.9696961675499505E-4</v>
      </c>
      <c r="X26" s="463">
        <f t="shared" si="10"/>
        <v>0.70496072000856547</v>
      </c>
      <c r="Y26" s="463">
        <f t="shared" si="11"/>
        <v>1.0933331568609889E-2</v>
      </c>
      <c r="Z26" s="463">
        <f t="shared" si="12"/>
        <v>2.1073080356765875E-2</v>
      </c>
      <c r="AA26" s="463">
        <f t="shared" si="13"/>
        <v>0.11557983368288054</v>
      </c>
      <c r="AB26" s="463">
        <f t="shared" si="14"/>
        <v>3.2631425261338931E-3</v>
      </c>
      <c r="AC26" s="463">
        <f t="shared" si="15"/>
        <v>0.15112697812300141</v>
      </c>
      <c r="AD26" s="463">
        <f t="shared" si="16"/>
        <v>0.70370300555549681</v>
      </c>
      <c r="AE26" s="463">
        <f t="shared" si="17"/>
        <v>4.9519792002783959E-3</v>
      </c>
      <c r="AF26" s="463">
        <f t="shared" si="18"/>
        <v>2.0195035341900629E-2</v>
      </c>
      <c r="AG26" s="463">
        <f t="shared" si="19"/>
        <v>2.5166954740004119E-2</v>
      </c>
      <c r="AH26" s="463">
        <f t="shared" si="20"/>
        <v>0</v>
      </c>
      <c r="AI26">
        <f t="shared" si="21"/>
        <v>0</v>
      </c>
      <c r="AJ26" s="464">
        <f t="shared" si="22"/>
        <v>0.47966340000000002</v>
      </c>
      <c r="AK26">
        <f t="shared" si="23"/>
        <v>7.2000000000000008E-2</v>
      </c>
      <c r="AL26" s="464">
        <f t="shared" si="24"/>
        <v>0.22559999999999999</v>
      </c>
      <c r="AM26" s="464">
        <f t="shared" si="25"/>
        <v>0.18424406779661015</v>
      </c>
      <c r="AN26" s="464">
        <f t="shared" si="42"/>
        <v>0.29759999999999998</v>
      </c>
      <c r="AO26" s="464">
        <f t="shared" si="26"/>
        <v>1.3663786065163737</v>
      </c>
      <c r="AP26" s="100">
        <f t="shared" si="27"/>
        <v>9.18</v>
      </c>
      <c r="AQ26" s="10">
        <f t="shared" si="43"/>
        <v>0.870440967701262</v>
      </c>
      <c r="AR26" s="77">
        <f t="shared" si="28"/>
        <v>6.3473330811660595</v>
      </c>
      <c r="AS26" s="77">
        <f t="shared" si="44"/>
        <v>1.0066781896001649</v>
      </c>
      <c r="AT26" s="10"/>
      <c r="AU26">
        <f t="shared" si="45"/>
        <v>87.044096770126203</v>
      </c>
      <c r="BC26" t="s">
        <v>243</v>
      </c>
      <c r="BD26">
        <v>9.9989640000000009</v>
      </c>
      <c r="BE26">
        <v>0.1027</v>
      </c>
      <c r="BF26">
        <v>5.1211359999999999</v>
      </c>
      <c r="BG26">
        <v>61.870683235325004</v>
      </c>
      <c r="BH26">
        <v>324.12365701136014</v>
      </c>
    </row>
    <row r="27" spans="1:69" x14ac:dyDescent="0.25">
      <c r="A27" s="35" t="s">
        <v>132</v>
      </c>
      <c r="B27" s="5">
        <v>1.5</v>
      </c>
      <c r="C27" s="472" t="s">
        <v>208</v>
      </c>
      <c r="D27" s="34" t="s">
        <v>204</v>
      </c>
      <c r="G27">
        <v>18</v>
      </c>
      <c r="H27">
        <f t="shared" si="0"/>
        <v>0.80999999999999994</v>
      </c>
      <c r="I27" s="463">
        <f t="shared" si="1"/>
        <v>0.50094538288006651</v>
      </c>
      <c r="J27" s="464">
        <f t="shared" si="2"/>
        <v>2.2100531597649993</v>
      </c>
      <c r="K27" s="464">
        <f t="shared" si="31"/>
        <v>1.9150265798824995</v>
      </c>
      <c r="L27" s="464">
        <f t="shared" si="32"/>
        <v>-0.2950265798824997</v>
      </c>
      <c r="M27" s="77">
        <f t="shared" si="3"/>
        <v>6.6899451220521478</v>
      </c>
      <c r="N27" s="463">
        <f t="shared" si="4"/>
        <v>1.0310809444860629</v>
      </c>
      <c r="O27" s="463">
        <f t="shared" si="5"/>
        <v>1.2770568647074373E-2</v>
      </c>
      <c r="P27">
        <f t="shared" si="6"/>
        <v>0.4</v>
      </c>
      <c r="Q27" s="463">
        <f t="shared" si="34"/>
        <v>0.4127705686470744</v>
      </c>
      <c r="R27" s="9">
        <f t="shared" si="39"/>
        <v>0.63798739335685273</v>
      </c>
      <c r="S27" s="9">
        <f t="shared" si="7"/>
        <v>4.0702791408227154E-4</v>
      </c>
      <c r="T27" s="9">
        <f t="shared" si="40"/>
        <v>4.0702791408227154E-4</v>
      </c>
      <c r="U27" s="463">
        <f t="shared" si="8"/>
        <v>0.72977326613848359</v>
      </c>
      <c r="V27" s="465">
        <f t="shared" si="9"/>
        <v>5.3256901997043003E-4</v>
      </c>
      <c r="W27" s="463">
        <f t="shared" si="41"/>
        <v>5.3256901997043003E-4</v>
      </c>
      <c r="X27" s="463">
        <f t="shared" si="10"/>
        <v>0.72977326613848359</v>
      </c>
      <c r="Y27" s="463">
        <f t="shared" si="11"/>
        <v>1.171651843934946E-2</v>
      </c>
      <c r="Z27" s="463">
        <f t="shared" si="12"/>
        <v>2.1581516935023647E-2</v>
      </c>
      <c r="AA27" s="463">
        <f t="shared" si="13"/>
        <v>0.12182056623039014</v>
      </c>
      <c r="AB27" s="463">
        <f t="shared" si="14"/>
        <v>2.8322551668719968E-3</v>
      </c>
      <c r="AC27" s="463">
        <f t="shared" si="15"/>
        <v>0.15826237649244329</v>
      </c>
      <c r="AD27" s="463">
        <f t="shared" si="16"/>
        <v>0.72839473783920317</v>
      </c>
      <c r="AE27" s="463">
        <f t="shared" si="17"/>
        <v>5.3055889411184158E-3</v>
      </c>
      <c r="AF27" s="463">
        <f t="shared" si="18"/>
        <v>2.0682287062730991E-2</v>
      </c>
      <c r="AG27" s="463">
        <f t="shared" si="19"/>
        <v>2.6009955705185155E-2</v>
      </c>
      <c r="AH27" s="463">
        <f t="shared" si="20"/>
        <v>0</v>
      </c>
      <c r="AI27">
        <f t="shared" si="21"/>
        <v>0</v>
      </c>
      <c r="AJ27" s="464">
        <f t="shared" si="22"/>
        <v>0.4796436</v>
      </c>
      <c r="AK27">
        <f t="shared" si="23"/>
        <v>7.2000000000000008E-2</v>
      </c>
      <c r="AL27" s="464">
        <f t="shared" si="24"/>
        <v>0.22559999999999999</v>
      </c>
      <c r="AM27" s="464">
        <f t="shared" si="25"/>
        <v>0.18424406779661015</v>
      </c>
      <c r="AN27" s="464">
        <f t="shared" si="42"/>
        <v>0.29759999999999998</v>
      </c>
      <c r="AO27" s="464">
        <f t="shared" si="26"/>
        <v>1.3752260977787554</v>
      </c>
      <c r="AP27" s="100">
        <f t="shared" si="27"/>
        <v>9.7199999999999989</v>
      </c>
      <c r="AQ27" s="10">
        <f t="shared" si="43"/>
        <v>0.8760524494355213</v>
      </c>
      <c r="AR27" s="77">
        <f t="shared" si="28"/>
        <v>6.6470198126826183</v>
      </c>
      <c r="AS27" s="77">
        <f t="shared" si="44"/>
        <v>1.0403982282074062</v>
      </c>
      <c r="AT27" s="10"/>
      <c r="AU27">
        <f t="shared" si="45"/>
        <v>87.605244943552123</v>
      </c>
      <c r="BC27" t="s">
        <v>244</v>
      </c>
      <c r="BD27">
        <v>9.9986669999999993</v>
      </c>
      <c r="BE27">
        <v>0.1166</v>
      </c>
      <c r="BF27">
        <v>5.1212980000000003</v>
      </c>
      <c r="BG27">
        <v>64.729420570558148</v>
      </c>
      <c r="BH27">
        <v>325.37886459483997</v>
      </c>
    </row>
    <row r="28" spans="1:69" x14ac:dyDescent="0.25">
      <c r="A28" s="35" t="s">
        <v>239</v>
      </c>
      <c r="B28" s="5">
        <v>0.9</v>
      </c>
      <c r="C28" s="472" t="s">
        <v>208</v>
      </c>
      <c r="D28" s="34" t="s">
        <v>205</v>
      </c>
      <c r="G28">
        <v>19</v>
      </c>
      <c r="H28">
        <f t="shared" si="0"/>
        <v>0.85499999999999998</v>
      </c>
      <c r="I28" s="463">
        <f t="shared" si="1"/>
        <v>0.5009979266136273</v>
      </c>
      <c r="J28" s="464">
        <f t="shared" si="2"/>
        <v>2.210284970354238</v>
      </c>
      <c r="K28" s="464">
        <f t="shared" si="31"/>
        <v>1.960142485177119</v>
      </c>
      <c r="L28" s="464">
        <f t="shared" si="32"/>
        <v>-0.25014248517711901</v>
      </c>
      <c r="M28" s="77">
        <f t="shared" si="3"/>
        <v>5.6721651967600693</v>
      </c>
      <c r="N28" s="463">
        <f t="shared" si="4"/>
        <v>1.0668356500329153</v>
      </c>
      <c r="O28" s="463">
        <f t="shared" si="5"/>
        <v>1.367259850592803E-2</v>
      </c>
      <c r="P28">
        <f t="shared" si="6"/>
        <v>0.4</v>
      </c>
      <c r="Q28" s="463">
        <f t="shared" si="34"/>
        <v>0.41367259850592808</v>
      </c>
      <c r="R28" s="9">
        <f t="shared" si="39"/>
        <v>0.63805431130990165</v>
      </c>
      <c r="S28" s="9">
        <f t="shared" si="7"/>
        <v>4.0711330418115288E-4</v>
      </c>
      <c r="T28" s="9">
        <f t="shared" si="40"/>
        <v>4.0711330418115288E-4</v>
      </c>
      <c r="U28" s="463">
        <f t="shared" si="8"/>
        <v>0.7551191499321861</v>
      </c>
      <c r="V28" s="465">
        <f t="shared" si="9"/>
        <v>5.7020493059430739E-4</v>
      </c>
      <c r="W28" s="463">
        <f t="shared" si="41"/>
        <v>5.7020493059430739E-4</v>
      </c>
      <c r="X28" s="463">
        <f t="shared" si="10"/>
        <v>0.7551191499321861</v>
      </c>
      <c r="Y28" s="463">
        <f t="shared" si="11"/>
        <v>1.2544508473074761E-2</v>
      </c>
      <c r="Z28" s="463">
        <f t="shared" si="12"/>
        <v>2.2089953572083008E-2</v>
      </c>
      <c r="AA28" s="463">
        <f t="shared" si="13"/>
        <v>0.12794610863715764</v>
      </c>
      <c r="AB28" s="463">
        <f t="shared" si="14"/>
        <v>2.4013678577003423E-3</v>
      </c>
      <c r="AC28" s="463">
        <f t="shared" si="15"/>
        <v>0.16533036855916927</v>
      </c>
      <c r="AD28" s="463">
        <f t="shared" si="16"/>
        <v>0.75361354392476609</v>
      </c>
      <c r="AE28" s="463">
        <f t="shared" si="17"/>
        <v>5.6793337358684538E-3</v>
      </c>
      <c r="AF28" s="463">
        <f t="shared" si="18"/>
        <v>2.1169538839912884E-2</v>
      </c>
      <c r="AG28" s="463">
        <f t="shared" si="19"/>
        <v>2.6873292158941679E-2</v>
      </c>
      <c r="AH28" s="463">
        <f t="shared" si="20"/>
        <v>0</v>
      </c>
      <c r="AI28">
        <f t="shared" si="21"/>
        <v>0</v>
      </c>
      <c r="AJ28" s="464">
        <f t="shared" si="22"/>
        <v>0.47962380000000004</v>
      </c>
      <c r="AK28">
        <f t="shared" si="23"/>
        <v>7.2000000000000008E-2</v>
      </c>
      <c r="AL28" s="464">
        <f t="shared" si="24"/>
        <v>0.22559999999999999</v>
      </c>
      <c r="AM28" s="464">
        <f t="shared" si="25"/>
        <v>0.18424406779661015</v>
      </c>
      <c r="AN28" s="464">
        <f t="shared" si="42"/>
        <v>0.29759999999999998</v>
      </c>
      <c r="AO28" s="464">
        <f t="shared" si="26"/>
        <v>1.3840773774588144</v>
      </c>
      <c r="AP28" s="100">
        <f t="shared" si="27"/>
        <v>10.26</v>
      </c>
      <c r="AQ28" s="10">
        <f t="shared" si="43"/>
        <v>0.88113464617315407</v>
      </c>
      <c r="AR28" s="77">
        <f t="shared" si="28"/>
        <v>6.9438754794851096</v>
      </c>
      <c r="AS28" s="77">
        <f t="shared" si="44"/>
        <v>1.0749316863576672</v>
      </c>
      <c r="AT28" s="10"/>
      <c r="AU28">
        <f t="shared" si="45"/>
        <v>88.113464617315401</v>
      </c>
      <c r="BC28" t="s">
        <v>245</v>
      </c>
      <c r="BD28">
        <v>9.9987659999999998</v>
      </c>
      <c r="BE28">
        <v>0.14660000000000001</v>
      </c>
      <c r="BF28">
        <v>5.1213230000000003</v>
      </c>
      <c r="BG28">
        <v>69.885376918691776</v>
      </c>
      <c r="BH28">
        <v>323.52446193379996</v>
      </c>
    </row>
    <row r="29" spans="1:69" ht="13" x14ac:dyDescent="0.3">
      <c r="A29" s="37" t="s">
        <v>203</v>
      </c>
      <c r="B29" s="28" t="s">
        <v>201</v>
      </c>
      <c r="C29" s="37" t="s">
        <v>148</v>
      </c>
      <c r="D29" s="30" t="s">
        <v>188</v>
      </c>
      <c r="G29">
        <v>20</v>
      </c>
      <c r="H29">
        <f t="shared" si="0"/>
        <v>0.9</v>
      </c>
      <c r="I29" s="463">
        <f t="shared" si="1"/>
        <v>0.50105047271272074</v>
      </c>
      <c r="J29" s="464">
        <f t="shared" si="2"/>
        <v>2.21051679137965</v>
      </c>
      <c r="K29" s="464">
        <f t="shared" si="31"/>
        <v>2.0052583956898249</v>
      </c>
      <c r="L29" s="464">
        <f t="shared" si="32"/>
        <v>-0.20525839568982496</v>
      </c>
      <c r="M29" s="77">
        <f t="shared" si="3"/>
        <v>4.6543853897919494</v>
      </c>
      <c r="N29" s="463">
        <f t="shared" si="4"/>
        <v>1.1032672872341265</v>
      </c>
      <c r="O29" s="463">
        <f t="shared" si="5"/>
        <v>1.4623472169532461E-2</v>
      </c>
      <c r="P29">
        <f t="shared" si="6"/>
        <v>0.4</v>
      </c>
      <c r="Q29" s="463">
        <f t="shared" si="34"/>
        <v>0.41462347216953249</v>
      </c>
      <c r="R29" s="9">
        <f t="shared" si="39"/>
        <v>0.63812123227561435</v>
      </c>
      <c r="S29" s="9">
        <f t="shared" si="7"/>
        <v>4.0719870708094859E-4</v>
      </c>
      <c r="T29" s="9">
        <f t="shared" si="40"/>
        <v>4.0719870708094859E-4</v>
      </c>
      <c r="U29" s="463">
        <f t="shared" si="8"/>
        <v>0.78094685322896451</v>
      </c>
      <c r="V29" s="465">
        <f t="shared" si="9"/>
        <v>6.0987798756822185E-4</v>
      </c>
      <c r="W29" s="463">
        <f t="shared" si="41"/>
        <v>6.0987798756822185E-4</v>
      </c>
      <c r="X29" s="463">
        <f t="shared" si="10"/>
        <v>0.78094685322896451</v>
      </c>
      <c r="Y29" s="463">
        <f t="shared" si="11"/>
        <v>1.3417315726500881E-2</v>
      </c>
      <c r="Z29" s="463">
        <f t="shared" si="12"/>
        <v>2.2598390267947934E-2</v>
      </c>
      <c r="AA29" s="463">
        <f t="shared" si="13"/>
        <v>0.13395646094330818</v>
      </c>
      <c r="AB29" s="463">
        <f t="shared" si="14"/>
        <v>1.9704805986223194E-3</v>
      </c>
      <c r="AC29" s="463">
        <f t="shared" si="15"/>
        <v>0.17233110062853288</v>
      </c>
      <c r="AD29" s="463">
        <f t="shared" si="16"/>
        <v>0.77930784643344042</v>
      </c>
      <c r="AE29" s="463">
        <f t="shared" si="17"/>
        <v>6.0732071951272674E-3</v>
      </c>
      <c r="AF29" s="463">
        <f t="shared" si="18"/>
        <v>2.1656790673450107E-2</v>
      </c>
      <c r="AG29" s="463">
        <f t="shared" si="19"/>
        <v>2.775696968105448E-2</v>
      </c>
      <c r="AH29" s="463">
        <f t="shared" si="20"/>
        <v>0</v>
      </c>
      <c r="AI29">
        <f t="shared" si="21"/>
        <v>0</v>
      </c>
      <c r="AJ29" s="464">
        <f t="shared" si="22"/>
        <v>0.47960400000000003</v>
      </c>
      <c r="AK29">
        <f t="shared" si="23"/>
        <v>7.2000000000000008E-2</v>
      </c>
      <c r="AL29" s="464">
        <f t="shared" si="24"/>
        <v>0.22559999999999999</v>
      </c>
      <c r="AM29" s="464">
        <f t="shared" si="25"/>
        <v>0.18424406779661015</v>
      </c>
      <c r="AN29" s="464">
        <f t="shared" si="42"/>
        <v>0.29759999999999998</v>
      </c>
      <c r="AO29" s="464">
        <f t="shared" si="26"/>
        <v>1.3929326191737688</v>
      </c>
      <c r="AP29" s="100">
        <f t="shared" si="27"/>
        <v>10.8</v>
      </c>
      <c r="AQ29" s="10">
        <f t="shared" si="43"/>
        <v>0.88575901608909591</v>
      </c>
      <c r="AR29" s="77">
        <f t="shared" si="28"/>
        <v>7.2379062263983807</v>
      </c>
      <c r="AS29" s="77">
        <f t="shared" si="44"/>
        <v>1.1102787872421791</v>
      </c>
      <c r="AT29" s="10"/>
      <c r="AU29">
        <f t="shared" si="45"/>
        <v>88.575901608909589</v>
      </c>
      <c r="BC29" t="s">
        <v>246</v>
      </c>
      <c r="BD29">
        <v>9.9987899999999996</v>
      </c>
      <c r="BE29">
        <v>0.1958</v>
      </c>
      <c r="BF29">
        <v>5.1217600000000001</v>
      </c>
      <c r="BG29">
        <v>75.662516566515876</v>
      </c>
      <c r="BH29">
        <v>322.57199766699983</v>
      </c>
    </row>
    <row r="30" spans="1:69" x14ac:dyDescent="0.25">
      <c r="A30" s="35" t="s">
        <v>131</v>
      </c>
      <c r="B30" s="41">
        <v>1.5</v>
      </c>
      <c r="C30" s="472" t="s">
        <v>208</v>
      </c>
      <c r="D30" s="34" t="s">
        <v>204</v>
      </c>
      <c r="G30">
        <v>21</v>
      </c>
      <c r="H30">
        <f t="shared" si="0"/>
        <v>0.94499999999999995</v>
      </c>
      <c r="I30" s="463">
        <f t="shared" si="1"/>
        <v>0.50110302117750638</v>
      </c>
      <c r="J30" s="464">
        <f t="shared" si="2"/>
        <v>2.2107486228419395</v>
      </c>
      <c r="K30" s="464">
        <f t="shared" si="31"/>
        <v>2.0503743114209696</v>
      </c>
      <c r="L30" s="464">
        <f t="shared" si="32"/>
        <v>-0.16037431142096981</v>
      </c>
      <c r="M30" s="77">
        <f t="shared" si="3"/>
        <v>3.6366057011557782</v>
      </c>
      <c r="N30" s="463">
        <f t="shared" si="4"/>
        <v>1.1403109763494903</v>
      </c>
      <c r="O30" s="463">
        <f t="shared" si="5"/>
        <v>1.5623211878132551E-2</v>
      </c>
      <c r="P30">
        <f t="shared" si="6"/>
        <v>0.4</v>
      </c>
      <c r="Q30" s="463">
        <f t="shared" si="34"/>
        <v>0.41562321187813256</v>
      </c>
      <c r="R30" s="9">
        <f t="shared" si="39"/>
        <v>0.63818815625419412</v>
      </c>
      <c r="S30" s="9">
        <f t="shared" si="7"/>
        <v>4.0728412278312769E-4</v>
      </c>
      <c r="T30" s="9">
        <f t="shared" si="40"/>
        <v>4.0728412278312769E-4</v>
      </c>
      <c r="U30" s="463">
        <f t="shared" si="8"/>
        <v>0.80721052389776138</v>
      </c>
      <c r="V30" s="465">
        <f t="shared" si="9"/>
        <v>6.5158882989129841E-4</v>
      </c>
      <c r="W30" s="463">
        <f t="shared" si="41"/>
        <v>6.5158882989129841E-4</v>
      </c>
      <c r="X30" s="463">
        <f t="shared" si="10"/>
        <v>0.80721052389776138</v>
      </c>
      <c r="Y30" s="463">
        <f t="shared" si="11"/>
        <v>1.4334954257608563E-2</v>
      </c>
      <c r="Z30" s="463">
        <f t="shared" si="12"/>
        <v>2.3106827022622404E-2</v>
      </c>
      <c r="AA30" s="463">
        <f t="shared" si="13"/>
        <v>0.13985162318897057</v>
      </c>
      <c r="AB30" s="463">
        <f t="shared" si="14"/>
        <v>1.5395933896413102E-3</v>
      </c>
      <c r="AC30" s="463">
        <f t="shared" si="15"/>
        <v>0.17926471611176101</v>
      </c>
      <c r="AD30" s="463">
        <f t="shared" si="16"/>
        <v>0.80543174316128707</v>
      </c>
      <c r="AE30" s="463">
        <f t="shared" si="17"/>
        <v>6.4872029289182957E-3</v>
      </c>
      <c r="AF30" s="463">
        <f t="shared" si="18"/>
        <v>2.2144042563346469E-2</v>
      </c>
      <c r="AG30" s="463">
        <f t="shared" si="19"/>
        <v>2.866099424199154E-2</v>
      </c>
      <c r="AH30" s="463">
        <f t="shared" si="20"/>
        <v>0</v>
      </c>
      <c r="AI30">
        <f t="shared" si="21"/>
        <v>0</v>
      </c>
      <c r="AJ30" s="464">
        <f t="shared" si="22"/>
        <v>0.47958419999999996</v>
      </c>
      <c r="AK30">
        <f t="shared" si="23"/>
        <v>7.2000000000000008E-2</v>
      </c>
      <c r="AL30" s="464">
        <f t="shared" si="24"/>
        <v>0.22559999999999999</v>
      </c>
      <c r="AM30" s="464">
        <f t="shared" si="25"/>
        <v>0.18424406779661015</v>
      </c>
      <c r="AN30" s="464">
        <f t="shared" si="42"/>
        <v>0.29759999999999998</v>
      </c>
      <c r="AO30" s="464">
        <f t="shared" si="26"/>
        <v>1.4017919951845594</v>
      </c>
      <c r="AP30" s="100">
        <f t="shared" si="27"/>
        <v>11.34</v>
      </c>
      <c r="AQ30" s="10">
        <f t="shared" si="43"/>
        <v>0.88998470578437228</v>
      </c>
      <c r="AR30" s="77">
        <f t="shared" si="28"/>
        <v>7.5291180766939627</v>
      </c>
      <c r="AS30" s="77">
        <f t="shared" si="44"/>
        <v>1.1464397696796615</v>
      </c>
      <c r="AT30" s="10"/>
      <c r="AU30">
        <f t="shared" si="45"/>
        <v>88.998470578437221</v>
      </c>
      <c r="BD30">
        <v>9.9987659999999998</v>
      </c>
      <c r="BE30">
        <v>0.2681</v>
      </c>
      <c r="BF30">
        <v>5.1224080000000001</v>
      </c>
      <c r="BG30">
        <v>80.957553445887683</v>
      </c>
      <c r="BH30">
        <v>323.02506068319997</v>
      </c>
    </row>
    <row r="31" spans="1:69" x14ac:dyDescent="0.25">
      <c r="A31" s="35" t="s">
        <v>238</v>
      </c>
      <c r="B31" s="41">
        <v>0.9</v>
      </c>
      <c r="C31" s="472" t="s">
        <v>208</v>
      </c>
      <c r="D31" s="34" t="s">
        <v>205</v>
      </c>
      <c r="G31">
        <v>22</v>
      </c>
      <c r="H31">
        <f t="shared" si="0"/>
        <v>0.99</v>
      </c>
      <c r="I31" s="463">
        <f t="shared" si="1"/>
        <v>0.50115557200814409</v>
      </c>
      <c r="J31" s="464">
        <f t="shared" si="2"/>
        <v>2.2109804647418119</v>
      </c>
      <c r="K31" s="464">
        <f t="shared" si="31"/>
        <v>2.0954902323709059</v>
      </c>
      <c r="L31" s="464">
        <f t="shared" si="32"/>
        <v>-0.11549023237090594</v>
      </c>
      <c r="M31" s="77">
        <f t="shared" si="3"/>
        <v>2.6188261308595457</v>
      </c>
      <c r="N31" s="463">
        <f t="shared" si="4"/>
        <v>1.1779089741101219</v>
      </c>
      <c r="O31" s="463">
        <f t="shared" si="5"/>
        <v>1.6671841020378438E-2</v>
      </c>
      <c r="P31">
        <f t="shared" si="6"/>
        <v>0.4</v>
      </c>
      <c r="Q31" s="463">
        <f t="shared" si="34"/>
        <v>0.41667184102037846</v>
      </c>
      <c r="R31" s="9">
        <f t="shared" si="39"/>
        <v>0.63825508324584457</v>
      </c>
      <c r="S31" s="9">
        <f t="shared" si="7"/>
        <v>4.0736955128915997E-4</v>
      </c>
      <c r="T31" s="9">
        <f t="shared" si="40"/>
        <v>4.0736955128915997E-4</v>
      </c>
      <c r="U31" s="463">
        <f t="shared" si="8"/>
        <v>0.83386935224902092</v>
      </c>
      <c r="V31" s="465">
        <f t="shared" si="9"/>
        <v>6.9533809662020174E-4</v>
      </c>
      <c r="W31" s="463">
        <f t="shared" si="41"/>
        <v>6.9533809662020174E-4</v>
      </c>
      <c r="X31" s="463">
        <f t="shared" si="10"/>
        <v>0.83386935224902092</v>
      </c>
      <c r="Y31" s="463">
        <f t="shared" si="11"/>
        <v>1.5297438125644438E-2</v>
      </c>
      <c r="Z31" s="463">
        <f t="shared" si="12"/>
        <v>2.361526383611038E-2</v>
      </c>
      <c r="AA31" s="463">
        <f t="shared" si="13"/>
        <v>0.14563159541427739</v>
      </c>
      <c r="AB31" s="463">
        <f t="shared" si="14"/>
        <v>1.1087062307606971E-3</v>
      </c>
      <c r="AC31" s="463">
        <f t="shared" si="15"/>
        <v>0.1861313555330705</v>
      </c>
      <c r="AD31" s="463">
        <f t="shared" si="16"/>
        <v>0.83194438195648501</v>
      </c>
      <c r="AE31" s="463">
        <f t="shared" si="17"/>
        <v>6.9213145466895786E-3</v>
      </c>
      <c r="AF31" s="463">
        <f t="shared" si="18"/>
        <v>2.2631294509605781E-2</v>
      </c>
      <c r="AG31" s="463">
        <f t="shared" si="19"/>
        <v>2.9585372203015031E-2</v>
      </c>
      <c r="AH31" s="463">
        <f t="shared" si="20"/>
        <v>0</v>
      </c>
      <c r="AI31">
        <f t="shared" si="21"/>
        <v>0</v>
      </c>
      <c r="AJ31" s="464">
        <f t="shared" si="22"/>
        <v>0.4795644</v>
      </c>
      <c r="AK31">
        <f t="shared" si="23"/>
        <v>7.2000000000000008E-2</v>
      </c>
      <c r="AL31" s="464">
        <f t="shared" si="24"/>
        <v>0.22559999999999999</v>
      </c>
      <c r="AM31" s="464">
        <f t="shared" si="25"/>
        <v>0.18424406779661015</v>
      </c>
      <c r="AN31" s="464">
        <f t="shared" si="42"/>
        <v>0.29759999999999998</v>
      </c>
      <c r="AO31" s="464">
        <f t="shared" si="26"/>
        <v>1.4106556764043736</v>
      </c>
      <c r="AP31" s="100">
        <f t="shared" si="27"/>
        <v>11.879999999999999</v>
      </c>
      <c r="AQ31" s="10">
        <f t="shared" si="43"/>
        <v>0.89386109227787847</v>
      </c>
      <c r="AR31" s="77">
        <f t="shared" si="28"/>
        <v>7.8175169323889611</v>
      </c>
      <c r="AS31" s="77">
        <f t="shared" si="44"/>
        <v>1.1834148881206012</v>
      </c>
      <c r="AT31" s="10"/>
      <c r="AU31">
        <f t="shared" si="45"/>
        <v>89.386109227787841</v>
      </c>
      <c r="BD31">
        <v>9.998704</v>
      </c>
      <c r="BE31">
        <v>0.36549999999999999</v>
      </c>
      <c r="BF31">
        <v>5.123094</v>
      </c>
      <c r="BG31">
        <v>85.419022273213088</v>
      </c>
      <c r="BH31">
        <v>319.63300692320018</v>
      </c>
    </row>
    <row r="32" spans="1:69" ht="13" x14ac:dyDescent="0.3">
      <c r="A32" s="37" t="s">
        <v>133</v>
      </c>
      <c r="B32" s="28" t="s">
        <v>201</v>
      </c>
      <c r="C32" s="37" t="s">
        <v>148</v>
      </c>
      <c r="D32" s="30" t="s">
        <v>188</v>
      </c>
      <c r="E32" s="53"/>
      <c r="G32">
        <v>23</v>
      </c>
      <c r="H32">
        <f t="shared" si="0"/>
        <v>1.0350000000000001</v>
      </c>
      <c r="I32" s="463">
        <f t="shared" si="1"/>
        <v>0.50120812520479363</v>
      </c>
      <c r="J32" s="464">
        <f t="shared" si="2"/>
        <v>2.2112123170799718</v>
      </c>
      <c r="K32" s="464">
        <f t="shared" si="31"/>
        <v>2.140606158539986</v>
      </c>
      <c r="L32" s="464">
        <f t="shared" si="32"/>
        <v>-7.0606158539985753E-2</v>
      </c>
      <c r="M32" s="77">
        <f t="shared" si="3"/>
        <v>1.6010466789112416</v>
      </c>
      <c r="N32" s="463">
        <f t="shared" si="4"/>
        <v>1.2160098653384828</v>
      </c>
      <c r="O32" s="463">
        <f t="shared" si="5"/>
        <v>1.7769384134694952E-2</v>
      </c>
      <c r="P32">
        <f t="shared" si="6"/>
        <v>0.4</v>
      </c>
      <c r="Q32" s="463">
        <f t="shared" si="34"/>
        <v>0.417769384134695</v>
      </c>
      <c r="R32" s="9">
        <f t="shared" si="39"/>
        <v>0.63832201325076898</v>
      </c>
      <c r="S32" s="9">
        <f t="shared" si="7"/>
        <v>4.0745499260051488E-4</v>
      </c>
      <c r="T32" s="9">
        <f t="shared" si="40"/>
        <v>4.0745499260051488E-4</v>
      </c>
      <c r="U32" s="463">
        <f t="shared" si="8"/>
        <v>0.86088700005816232</v>
      </c>
      <c r="V32" s="465">
        <f t="shared" si="9"/>
        <v>7.4112642686914229E-4</v>
      </c>
      <c r="W32" s="463">
        <f t="shared" si="41"/>
        <v>7.4112642686914229E-4</v>
      </c>
      <c r="X32" s="463">
        <f t="shared" si="10"/>
        <v>0.86088700005816232</v>
      </c>
      <c r="Y32" s="463">
        <f t="shared" si="11"/>
        <v>1.6304781391121129E-2</v>
      </c>
      <c r="Z32" s="463">
        <f t="shared" si="12"/>
        <v>2.4123700708415838E-2</v>
      </c>
      <c r="AA32" s="463">
        <f t="shared" si="13"/>
        <v>0.15129637765936466</v>
      </c>
      <c r="AB32" s="463">
        <f t="shared" si="14"/>
        <v>6.778191219838633E-4</v>
      </c>
      <c r="AC32" s="463">
        <f t="shared" si="15"/>
        <v>0.1929311565364705</v>
      </c>
      <c r="AD32" s="463">
        <f t="shared" si="16"/>
        <v>0.85880938847416699</v>
      </c>
      <c r="AE32" s="463">
        <f t="shared" si="17"/>
        <v>7.3755356573137268E-3</v>
      </c>
      <c r="AF32" s="463">
        <f t="shared" si="18"/>
        <v>2.3118546512231847E-2</v>
      </c>
      <c r="AG32" s="463">
        <f t="shared" si="19"/>
        <v>3.0530110316307115E-2</v>
      </c>
      <c r="AH32" s="463">
        <f t="shared" si="20"/>
        <v>0</v>
      </c>
      <c r="AI32">
        <f t="shared" si="21"/>
        <v>0</v>
      </c>
      <c r="AJ32" s="464">
        <f t="shared" si="22"/>
        <v>0.47954459999999999</v>
      </c>
      <c r="AK32">
        <f t="shared" si="23"/>
        <v>7.2000000000000008E-2</v>
      </c>
      <c r="AL32" s="464">
        <f t="shared" si="24"/>
        <v>0.22559999999999999</v>
      </c>
      <c r="AM32" s="464">
        <f t="shared" si="25"/>
        <v>0.18424406779661015</v>
      </c>
      <c r="AN32" s="464">
        <f t="shared" si="42"/>
        <v>0.29759999999999998</v>
      </c>
      <c r="AO32" s="464">
        <f t="shared" si="26"/>
        <v>1.4195238324069424</v>
      </c>
      <c r="AP32" s="100">
        <f t="shared" si="27"/>
        <v>12.420000000000002</v>
      </c>
      <c r="AQ32" s="10">
        <f t="shared" si="43"/>
        <v>0.89742972015533129</v>
      </c>
      <c r="AR32" s="77">
        <f t="shared" si="28"/>
        <v>8.1031085745317615</v>
      </c>
      <c r="AS32" s="77">
        <f t="shared" si="44"/>
        <v>1.2212044126522845</v>
      </c>
      <c r="AT32" s="10"/>
      <c r="AU32">
        <f t="shared" si="45"/>
        <v>89.742972015533127</v>
      </c>
      <c r="BD32">
        <v>9.9987290000000009</v>
      </c>
      <c r="BE32">
        <v>0.49059999999999998</v>
      </c>
      <c r="BF32">
        <v>5.1238169999999998</v>
      </c>
      <c r="BG32">
        <v>88.551850267052174</v>
      </c>
      <c r="BH32">
        <v>324.98153184230057</v>
      </c>
    </row>
    <row r="33" spans="1:60" x14ac:dyDescent="0.25">
      <c r="A33" s="35" t="s">
        <v>133</v>
      </c>
      <c r="B33" s="5">
        <v>20</v>
      </c>
      <c r="C33" s="473" t="s">
        <v>147</v>
      </c>
      <c r="D33" s="34" t="s">
        <v>179</v>
      </c>
      <c r="E33" s="53"/>
      <c r="G33">
        <v>24</v>
      </c>
      <c r="H33">
        <f t="shared" si="0"/>
        <v>1.08</v>
      </c>
      <c r="I33" s="463">
        <f t="shared" si="1"/>
        <v>0.50126068076761443</v>
      </c>
      <c r="J33" s="464">
        <f t="shared" si="2"/>
        <v>2.2114441798571223</v>
      </c>
      <c r="K33" s="464">
        <f t="shared" si="31"/>
        <v>2.1857220899285612</v>
      </c>
      <c r="L33" s="464">
        <f t="shared" si="32"/>
        <v>-2.5722089928561065E-2</v>
      </c>
      <c r="M33" s="77">
        <f t="shared" si="3"/>
        <v>0.58326734531884505</v>
      </c>
      <c r="N33" s="463">
        <f t="shared" si="4"/>
        <v>1.2545678326494194</v>
      </c>
      <c r="O33" s="463">
        <f t="shared" si="5"/>
        <v>1.8915866910718844E-2</v>
      </c>
      <c r="P33">
        <f t="shared" si="6"/>
        <v>0.4</v>
      </c>
      <c r="Q33" s="463">
        <f t="shared" si="34"/>
        <v>0.41891586691071886</v>
      </c>
      <c r="R33" s="9">
        <f t="shared" si="39"/>
        <v>0.63838894626917042</v>
      </c>
      <c r="S33" s="9">
        <f t="shared" si="7"/>
        <v>4.0754044671866175E-4</v>
      </c>
      <c r="T33" s="9">
        <f t="shared" si="40"/>
        <v>4.0754044671866175E-4</v>
      </c>
      <c r="U33" s="463">
        <f t="shared" si="8"/>
        <v>0.88823108469017198</v>
      </c>
      <c r="V33" s="465">
        <f t="shared" si="9"/>
        <v>7.8895445980987943E-4</v>
      </c>
      <c r="W33" s="463">
        <f t="shared" si="41"/>
        <v>7.8895445980987943E-4</v>
      </c>
      <c r="X33" s="463">
        <f t="shared" si="10"/>
        <v>0.88823108469017198</v>
      </c>
      <c r="Y33" s="463">
        <f t="shared" si="11"/>
        <v>1.7356998115817347E-2</v>
      </c>
      <c r="Z33" s="463">
        <f t="shared" si="12"/>
        <v>2.4632137639542744E-2</v>
      </c>
      <c r="AA33" s="463">
        <f t="shared" si="13"/>
        <v>0.15684596996437219</v>
      </c>
      <c r="AB33" s="463">
        <f t="shared" si="14"/>
        <v>2.4693206331418625E-4</v>
      </c>
      <c r="AC33" s="463">
        <f t="shared" si="15"/>
        <v>0.19966425389225195</v>
      </c>
      <c r="AD33" s="463">
        <f t="shared" si="16"/>
        <v>0.885994349253302</v>
      </c>
      <c r="AE33" s="463">
        <f t="shared" si="17"/>
        <v>7.8498598690878215E-3</v>
      </c>
      <c r="AF33" s="463">
        <f t="shared" si="18"/>
        <v>2.3605798571228458E-2</v>
      </c>
      <c r="AG33" s="463">
        <f t="shared" si="19"/>
        <v>3.1495215725114496E-2</v>
      </c>
      <c r="AH33" s="463">
        <f t="shared" si="20"/>
        <v>0</v>
      </c>
      <c r="AI33">
        <f t="shared" si="21"/>
        <v>0</v>
      </c>
      <c r="AJ33" s="464">
        <f t="shared" si="22"/>
        <v>0.47952480000000003</v>
      </c>
      <c r="AK33">
        <f t="shared" si="23"/>
        <v>7.2000000000000008E-2</v>
      </c>
      <c r="AL33" s="464">
        <f t="shared" si="24"/>
        <v>0.22559999999999999</v>
      </c>
      <c r="AM33" s="464">
        <f t="shared" si="25"/>
        <v>0.18424406779661015</v>
      </c>
      <c r="AN33" s="464">
        <f t="shared" si="42"/>
        <v>0.29759999999999998</v>
      </c>
      <c r="AO33" s="464">
        <f t="shared" si="26"/>
        <v>1.4283966314346137</v>
      </c>
      <c r="AP33" s="100">
        <f t="shared" si="27"/>
        <v>12.96</v>
      </c>
      <c r="AQ33" s="10">
        <f t="shared" si="43"/>
        <v>0.90072579537361597</v>
      </c>
      <c r="AR33" s="77">
        <f t="shared" si="28"/>
        <v>8.3858986634745811</v>
      </c>
      <c r="AS33" s="77">
        <f t="shared" si="44"/>
        <v>1.2598086290045798</v>
      </c>
      <c r="AT33" s="10"/>
      <c r="AU33">
        <f t="shared" si="45"/>
        <v>90.072579537361591</v>
      </c>
      <c r="BD33">
        <v>9.9986420000000003</v>
      </c>
      <c r="BE33">
        <v>0.64549999999999996</v>
      </c>
      <c r="BF33">
        <v>5.1237300000000001</v>
      </c>
      <c r="BG33">
        <v>90.41893857119905</v>
      </c>
      <c r="BH33">
        <v>350.45848473660021</v>
      </c>
    </row>
    <row r="34" spans="1:60" ht="13" x14ac:dyDescent="0.3">
      <c r="A34" s="37" t="s">
        <v>119</v>
      </c>
      <c r="B34" s="28" t="s">
        <v>201</v>
      </c>
      <c r="C34" s="37" t="s">
        <v>148</v>
      </c>
      <c r="D34" s="30" t="s">
        <v>188</v>
      </c>
      <c r="E34" s="53"/>
      <c r="G34">
        <v>25</v>
      </c>
      <c r="H34">
        <f t="shared" si="0"/>
        <v>1.125</v>
      </c>
      <c r="I34" s="463">
        <f t="shared" si="1"/>
        <v>0.50131323869676703</v>
      </c>
      <c r="J34" s="464">
        <f t="shared" si="2"/>
        <v>2.2116760530739721</v>
      </c>
      <c r="K34" s="464">
        <f t="shared" si="31"/>
        <v>2.2308380265369863</v>
      </c>
      <c r="L34" s="464">
        <f t="shared" si="32"/>
        <v>1.9161973463013959E-2</v>
      </c>
      <c r="M34" s="77">
        <f t="shared" si="3"/>
        <v>0</v>
      </c>
      <c r="N34" s="463">
        <f t="shared" si="4"/>
        <v>1.2935420030463147</v>
      </c>
      <c r="O34" s="463">
        <f t="shared" si="5"/>
        <v>2.0111316190804099E-2</v>
      </c>
      <c r="P34">
        <f t="shared" si="6"/>
        <v>0.4</v>
      </c>
      <c r="Q34" s="463">
        <f t="shared" si="34"/>
        <v>0.42011131619080411</v>
      </c>
      <c r="R34" s="9">
        <f t="shared" si="39"/>
        <v>0.6384558823012535</v>
      </c>
      <c r="S34" s="9">
        <f t="shared" si="7"/>
        <v>4.0762591364507209E-4</v>
      </c>
      <c r="T34" s="9">
        <f t="shared" si="40"/>
        <v>4.0762591364507209E-4</v>
      </c>
      <c r="U34" s="463">
        <f t="shared" si="8"/>
        <v>0.91587271750595101</v>
      </c>
      <c r="V34" s="465">
        <f t="shared" si="9"/>
        <v>8.3882283467173562E-4</v>
      </c>
      <c r="W34" s="463">
        <f t="shared" si="41"/>
        <v>8.3882283467173562E-4</v>
      </c>
      <c r="X34" s="463">
        <f t="shared" si="10"/>
        <v>0.91587271750595101</v>
      </c>
      <c r="Y34" s="463">
        <f t="shared" si="11"/>
        <v>1.8454102362778183E-2</v>
      </c>
      <c r="Z34" s="463">
        <f t="shared" si="12"/>
        <v>2.5483111424089089E-2</v>
      </c>
      <c r="AA34" s="463">
        <f t="shared" si="13"/>
        <v>0.15997440000000002</v>
      </c>
      <c r="AB34" s="463">
        <f t="shared" si="14"/>
        <v>0</v>
      </c>
      <c r="AC34" s="463">
        <f t="shared" si="15"/>
        <v>0.20454576481179448</v>
      </c>
      <c r="AD34" s="463">
        <f t="shared" si="16"/>
        <v>0.91347034925789272</v>
      </c>
      <c r="AE34" s="463">
        <f t="shared" si="17"/>
        <v>8.3442807897333646E-3</v>
      </c>
      <c r="AF34" s="463">
        <f t="shared" si="18"/>
        <v>2.4299999999999999E-2</v>
      </c>
      <c r="AG34" s="463">
        <f t="shared" si="19"/>
        <v>3.2687921941591522E-2</v>
      </c>
      <c r="AH34" s="463">
        <f t="shared" si="20"/>
        <v>0</v>
      </c>
      <c r="AI34">
        <f t="shared" si="21"/>
        <v>0</v>
      </c>
      <c r="AJ34" s="464">
        <f t="shared" si="22"/>
        <v>0.47950500000000001</v>
      </c>
      <c r="AK34">
        <f t="shared" si="23"/>
        <v>7.2000000000000008E-2</v>
      </c>
      <c r="AL34" s="464">
        <f t="shared" si="24"/>
        <v>0.22559999999999999</v>
      </c>
      <c r="AM34" s="464">
        <f t="shared" si="25"/>
        <v>0.18424406779661015</v>
      </c>
      <c r="AN34" s="464">
        <f t="shared" si="42"/>
        <v>0.29759999999999998</v>
      </c>
      <c r="AO34" s="464">
        <f t="shared" si="26"/>
        <v>1.435696451692507</v>
      </c>
      <c r="AP34" s="100">
        <f t="shared" si="27"/>
        <v>13.5</v>
      </c>
      <c r="AQ34" s="10">
        <f t="shared" si="43"/>
        <v>0.9038748238934774</v>
      </c>
      <c r="AR34" s="77">
        <f t="shared" si="28"/>
        <v>8.5909221220953675</v>
      </c>
      <c r="AS34" s="77">
        <f t="shared" si="44"/>
        <v>1.307516877663661</v>
      </c>
      <c r="AT34" s="10"/>
      <c r="AU34">
        <f t="shared" si="45"/>
        <v>90.387482389347738</v>
      </c>
      <c r="BD34">
        <v>9.9986049999999995</v>
      </c>
      <c r="BE34">
        <v>0.83240000000000003</v>
      </c>
      <c r="BF34">
        <v>5.1231559999999998</v>
      </c>
      <c r="BG34">
        <v>91.678946361105133</v>
      </c>
      <c r="BH34">
        <v>387.05996035199956</v>
      </c>
    </row>
    <row r="35" spans="1:60" x14ac:dyDescent="0.25">
      <c r="A35" s="35" t="s">
        <v>249</v>
      </c>
      <c r="B35" s="5">
        <f>Iq*1000</f>
        <v>3</v>
      </c>
      <c r="C35" s="473" t="s">
        <v>135</v>
      </c>
      <c r="D35" s="34" t="s">
        <v>259</v>
      </c>
      <c r="G35">
        <v>26</v>
      </c>
      <c r="H35">
        <f t="shared" si="0"/>
        <v>1.17</v>
      </c>
      <c r="I35" s="463">
        <f t="shared" si="1"/>
        <v>0.50136579899241052</v>
      </c>
      <c r="J35" s="464">
        <f t="shared" si="2"/>
        <v>2.2119079367312229</v>
      </c>
      <c r="K35" s="464">
        <f t="shared" si="31"/>
        <v>2.2759539683656111</v>
      </c>
      <c r="L35" s="464">
        <f t="shared" si="32"/>
        <v>6.4046031634388489E-2</v>
      </c>
      <c r="M35" s="77">
        <f t="shared" si="3"/>
        <v>0</v>
      </c>
      <c r="N35" s="463">
        <f t="shared" si="4"/>
        <v>1.3328958674184621</v>
      </c>
      <c r="O35" s="463">
        <f t="shared" si="5"/>
        <v>2.135575997159523E-2</v>
      </c>
      <c r="P35">
        <f t="shared" si="6"/>
        <v>0.4</v>
      </c>
      <c r="Q35" s="463">
        <f t="shared" si="34"/>
        <v>0.42135575997159525</v>
      </c>
      <c r="R35" s="9">
        <f t="shared" si="39"/>
        <v>0.6385228213472206</v>
      </c>
      <c r="S35" s="9">
        <f t="shared" si="7"/>
        <v>4.0771139338121459E-4</v>
      </c>
      <c r="T35" s="9">
        <f t="shared" si="40"/>
        <v>4.0771139338121459E-4</v>
      </c>
      <c r="U35" s="463">
        <f t="shared" si="8"/>
        <v>0.94378609374242872</v>
      </c>
      <c r="V35" s="465">
        <f t="shared" si="9"/>
        <v>8.9073219074159253E-4</v>
      </c>
      <c r="W35" s="463">
        <f t="shared" si="41"/>
        <v>8.9073219074159253E-4</v>
      </c>
      <c r="X35" s="463">
        <f t="shared" si="10"/>
        <v>0.94378609374242872</v>
      </c>
      <c r="Y35" s="463">
        <f t="shared" si="11"/>
        <v>1.9596108196315035E-2</v>
      </c>
      <c r="Z35" s="463">
        <f t="shared" si="12"/>
        <v>2.6793889705837733E-2</v>
      </c>
      <c r="AA35" s="463">
        <f t="shared" si="13"/>
        <v>0.15997440000000002</v>
      </c>
      <c r="AB35" s="463">
        <f t="shared" si="14"/>
        <v>0</v>
      </c>
      <c r="AC35" s="463">
        <f t="shared" si="15"/>
        <v>0.20704602367746164</v>
      </c>
      <c r="AD35" s="463">
        <f t="shared" si="16"/>
        <v>0.94121156104226755</v>
      </c>
      <c r="AE35" s="463">
        <f t="shared" si="17"/>
        <v>8.858792026396221E-3</v>
      </c>
      <c r="AF35" s="463">
        <f t="shared" si="18"/>
        <v>2.5271999999999996E-2</v>
      </c>
      <c r="AG35" s="463">
        <f t="shared" si="19"/>
        <v>3.4179237908035898E-2</v>
      </c>
      <c r="AH35" s="463">
        <f t="shared" si="20"/>
        <v>0</v>
      </c>
      <c r="AI35">
        <f t="shared" si="21"/>
        <v>0</v>
      </c>
      <c r="AJ35" s="464">
        <f t="shared" si="22"/>
        <v>0.47948520000000006</v>
      </c>
      <c r="AK35">
        <f t="shared" si="23"/>
        <v>7.2000000000000008E-2</v>
      </c>
      <c r="AL35" s="464">
        <f t="shared" si="24"/>
        <v>0.22559999999999999</v>
      </c>
      <c r="AM35" s="464">
        <f t="shared" si="25"/>
        <v>0.18424406779661015</v>
      </c>
      <c r="AN35" s="464">
        <f t="shared" si="42"/>
        <v>0.29759999999999998</v>
      </c>
      <c r="AO35" s="464">
        <f t="shared" si="26"/>
        <v>1.4409646651412156</v>
      </c>
      <c r="AP35" s="100">
        <f t="shared" si="27"/>
        <v>14.04</v>
      </c>
      <c r="AQ35" s="10">
        <f t="shared" si="43"/>
        <v>0.90692022775648706</v>
      </c>
      <c r="AR35" s="77">
        <f t="shared" si="28"/>
        <v>8.6959329944533881</v>
      </c>
      <c r="AS35" s="77">
        <f t="shared" si="44"/>
        <v>1.3671695163214359</v>
      </c>
      <c r="AT35" s="10"/>
      <c r="AU35">
        <f t="shared" si="45"/>
        <v>90.692022775648709</v>
      </c>
      <c r="BD35">
        <v>9.9986049999999995</v>
      </c>
      <c r="BE35">
        <v>1.0528999999999999</v>
      </c>
      <c r="BF35">
        <v>5.1218219999999999</v>
      </c>
      <c r="BG35">
        <v>92.889938966292178</v>
      </c>
      <c r="BH35">
        <v>412.77762981700039</v>
      </c>
    </row>
    <row r="36" spans="1:60" ht="13" x14ac:dyDescent="0.3">
      <c r="A36" s="37" t="s">
        <v>129</v>
      </c>
      <c r="B36" s="28" t="s">
        <v>201</v>
      </c>
      <c r="C36" s="37" t="s">
        <v>148</v>
      </c>
      <c r="D36" s="30" t="s">
        <v>188</v>
      </c>
      <c r="G36">
        <v>27</v>
      </c>
      <c r="H36">
        <f t="shared" si="0"/>
        <v>1.2150000000000001</v>
      </c>
      <c r="I36" s="463">
        <f t="shared" si="1"/>
        <v>0.50141836165470532</v>
      </c>
      <c r="J36" s="464">
        <f t="shared" si="2"/>
        <v>2.2121398308295821</v>
      </c>
      <c r="K36" s="464">
        <f t="shared" si="31"/>
        <v>2.3210699154147911</v>
      </c>
      <c r="L36" s="464">
        <f t="shared" si="32"/>
        <v>0.10893008458520903</v>
      </c>
      <c r="M36" s="77">
        <f t="shared" si="3"/>
        <v>0</v>
      </c>
      <c r="N36" s="463">
        <f t="shared" si="4"/>
        <v>1.372596767418808</v>
      </c>
      <c r="O36" s="463">
        <f t="shared" si="5"/>
        <v>2.2649227405669121E-2</v>
      </c>
      <c r="P36">
        <f t="shared" si="6"/>
        <v>0.4</v>
      </c>
      <c r="Q36" s="463">
        <f t="shared" si="34"/>
        <v>0.42264922740566913</v>
      </c>
      <c r="R36" s="9">
        <f t="shared" si="39"/>
        <v>0.63858976340727625</v>
      </c>
      <c r="S36" s="9">
        <f t="shared" si="7"/>
        <v>4.0779688592856107E-4</v>
      </c>
      <c r="T36" s="9">
        <f t="shared" si="40"/>
        <v>4.0779688592856107E-4</v>
      </c>
      <c r="U36" s="463">
        <f t="shared" si="8"/>
        <v>0.97194812997603286</v>
      </c>
      <c r="V36" s="465">
        <f t="shared" si="9"/>
        <v>9.4468316736390722E-4</v>
      </c>
      <c r="W36" s="463">
        <f t="shared" si="41"/>
        <v>9.4468316736390722E-4</v>
      </c>
      <c r="X36" s="463">
        <f t="shared" si="10"/>
        <v>0.97194812997603286</v>
      </c>
      <c r="Y36" s="463">
        <f t="shared" si="11"/>
        <v>2.0783029682005957E-2</v>
      </c>
      <c r="Z36" s="463">
        <f t="shared" si="12"/>
        <v>2.810466795309785E-2</v>
      </c>
      <c r="AA36" s="463">
        <f t="shared" si="13"/>
        <v>0.15997440000000002</v>
      </c>
      <c r="AB36" s="463">
        <f t="shared" si="14"/>
        <v>0</v>
      </c>
      <c r="AC36" s="463">
        <f t="shared" si="15"/>
        <v>0.20959390502177533</v>
      </c>
      <c r="AD36" s="463">
        <f t="shared" si="16"/>
        <v>0.96919488162322343</v>
      </c>
      <c r="AE36" s="463">
        <f t="shared" si="17"/>
        <v>9.3933871856465411E-3</v>
      </c>
      <c r="AF36" s="463">
        <f t="shared" si="18"/>
        <v>2.6244E-2</v>
      </c>
      <c r="AG36" s="463">
        <f t="shared" si="19"/>
        <v>3.5691028729952855E-2</v>
      </c>
      <c r="AH36" s="463">
        <f t="shared" si="20"/>
        <v>0</v>
      </c>
      <c r="AI36">
        <f t="shared" si="21"/>
        <v>0</v>
      </c>
      <c r="AJ36" s="464">
        <f t="shared" si="22"/>
        <v>0.47946539999999999</v>
      </c>
      <c r="AK36">
        <f t="shared" si="23"/>
        <v>7.2000000000000008E-2</v>
      </c>
      <c r="AL36" s="464">
        <f t="shared" si="24"/>
        <v>0.22559999999999999</v>
      </c>
      <c r="AM36" s="464">
        <f t="shared" si="25"/>
        <v>0.18424406779661015</v>
      </c>
      <c r="AN36" s="464">
        <f t="shared" si="42"/>
        <v>0.29759999999999998</v>
      </c>
      <c r="AO36" s="464">
        <f t="shared" si="26"/>
        <v>1.4463520412106896</v>
      </c>
      <c r="AP36" s="100">
        <f t="shared" si="27"/>
        <v>14.580000000000002</v>
      </c>
      <c r="AQ36" s="10">
        <f t="shared" si="43"/>
        <v>0.90975163671111847</v>
      </c>
      <c r="AR36" s="77">
        <f t="shared" si="28"/>
        <v>8.8029440109145636</v>
      </c>
      <c r="AS36" s="77">
        <f t="shared" si="44"/>
        <v>1.4276411491981142</v>
      </c>
      <c r="AT36" s="10"/>
      <c r="AU36">
        <f t="shared" si="45"/>
        <v>90.975163671111844</v>
      </c>
      <c r="BD36">
        <v>9.9986669999999993</v>
      </c>
      <c r="BE36">
        <v>1.3092999999999999</v>
      </c>
      <c r="BF36">
        <v>5.1195649999999997</v>
      </c>
      <c r="BG36">
        <v>93.690364214923264</v>
      </c>
      <c r="BH36">
        <v>451.42072788069993</v>
      </c>
    </row>
    <row r="37" spans="1:60" x14ac:dyDescent="0.25">
      <c r="A37" s="36" t="s">
        <v>142</v>
      </c>
      <c r="B37" s="5">
        <f>RdsonTop*1000</f>
        <v>22</v>
      </c>
      <c r="C37" s="473" t="s">
        <v>622</v>
      </c>
      <c r="D37" s="34" t="s">
        <v>194</v>
      </c>
      <c r="G37">
        <v>28</v>
      </c>
      <c r="H37">
        <f t="shared" si="0"/>
        <v>1.2600000000000002</v>
      </c>
      <c r="I37" s="463">
        <f t="shared" si="1"/>
        <v>0.50147092668381077</v>
      </c>
      <c r="J37" s="464">
        <f t="shared" si="2"/>
        <v>2.2123717353697532</v>
      </c>
      <c r="K37" s="464">
        <f t="shared" si="31"/>
        <v>2.3661858676848766</v>
      </c>
      <c r="L37" s="464">
        <f t="shared" si="32"/>
        <v>0.15381413231512364</v>
      </c>
      <c r="M37" s="77">
        <f t="shared" si="3"/>
        <v>0</v>
      </c>
      <c r="N37" s="463">
        <f t="shared" si="4"/>
        <v>1.41261544352615</v>
      </c>
      <c r="O37" s="463">
        <f t="shared" si="5"/>
        <v>2.3991748803245148E-2</v>
      </c>
      <c r="P37">
        <f t="shared" si="6"/>
        <v>0.4</v>
      </c>
      <c r="Q37" s="463">
        <f t="shared" si="34"/>
        <v>0.42399174880324519</v>
      </c>
      <c r="R37" s="9">
        <f t="shared" si="39"/>
        <v>0.63865670848162326</v>
      </c>
      <c r="S37" s="9">
        <f t="shared" si="7"/>
        <v>4.0788239128858111E-4</v>
      </c>
      <c r="T37" s="9">
        <f t="shared" si="40"/>
        <v>4.0788239128858111E-4</v>
      </c>
      <c r="U37" s="463">
        <f t="shared" si="8"/>
        <v>1.0003381447994031</v>
      </c>
      <c r="V37" s="465">
        <f t="shared" si="9"/>
        <v>1.0006764039407114E-3</v>
      </c>
      <c r="W37" s="463">
        <f t="shared" si="41"/>
        <v>1.0006764039407114E-3</v>
      </c>
      <c r="X37" s="463">
        <f t="shared" si="10"/>
        <v>1.0003381447994031</v>
      </c>
      <c r="Y37" s="463">
        <f t="shared" si="11"/>
        <v>2.2014880886695651E-2</v>
      </c>
      <c r="Z37" s="463">
        <f t="shared" si="12"/>
        <v>2.941544616586711E-2</v>
      </c>
      <c r="AA37" s="463">
        <f t="shared" si="13"/>
        <v>0.15997440000000002</v>
      </c>
      <c r="AB37" s="463">
        <f t="shared" si="14"/>
        <v>0</v>
      </c>
      <c r="AC37" s="463">
        <f t="shared" si="15"/>
        <v>0.2121895099527816</v>
      </c>
      <c r="AD37" s="463">
        <f t="shared" si="16"/>
        <v>0.99739961266679344</v>
      </c>
      <c r="AE37" s="463">
        <f t="shared" si="17"/>
        <v>9.948059873478696E-3</v>
      </c>
      <c r="AF37" s="463">
        <f t="shared" si="18"/>
        <v>2.7216000000000001E-2</v>
      </c>
      <c r="AG37" s="463">
        <f t="shared" si="19"/>
        <v>3.7223307824667297E-2</v>
      </c>
      <c r="AH37" s="463">
        <f t="shared" si="20"/>
        <v>0</v>
      </c>
      <c r="AI37">
        <f t="shared" si="21"/>
        <v>0</v>
      </c>
      <c r="AJ37" s="464">
        <f t="shared" si="22"/>
        <v>0.47944560000000003</v>
      </c>
      <c r="AK37">
        <f t="shared" si="23"/>
        <v>7.2000000000000008E-2</v>
      </c>
      <c r="AL37" s="464">
        <f t="shared" si="24"/>
        <v>0.22559999999999999</v>
      </c>
      <c r="AM37" s="464">
        <f t="shared" si="25"/>
        <v>0.18424406779661015</v>
      </c>
      <c r="AN37" s="464">
        <f t="shared" si="42"/>
        <v>0.29759999999999998</v>
      </c>
      <c r="AO37" s="464">
        <f t="shared" si="26"/>
        <v>1.4518587253759234</v>
      </c>
      <c r="AP37" s="100">
        <f t="shared" si="27"/>
        <v>15.120000000000003</v>
      </c>
      <c r="AQ37" s="10">
        <f t="shared" si="43"/>
        <v>0.91239010967715162</v>
      </c>
      <c r="AR37" s="77">
        <f t="shared" si="28"/>
        <v>8.9119594180168278</v>
      </c>
      <c r="AS37" s="77">
        <f t="shared" si="44"/>
        <v>1.4889323129866918</v>
      </c>
      <c r="AT37" s="10"/>
      <c r="AU37">
        <f t="shared" si="45"/>
        <v>91.23901096771516</v>
      </c>
      <c r="BD37">
        <v>9.9985429999999997</v>
      </c>
      <c r="BE37">
        <v>1.6020000000000001</v>
      </c>
      <c r="BF37">
        <v>5.1182809999999996</v>
      </c>
      <c r="BG37">
        <v>93.864473327748414</v>
      </c>
      <c r="BH37">
        <v>535.96589716749952</v>
      </c>
    </row>
    <row r="38" spans="1:60" x14ac:dyDescent="0.25">
      <c r="A38" s="35" t="s">
        <v>152</v>
      </c>
      <c r="B38" s="5">
        <v>4500</v>
      </c>
      <c r="C38" s="473" t="s">
        <v>623</v>
      </c>
      <c r="D38" s="34" t="s">
        <v>193</v>
      </c>
      <c r="G38">
        <v>29</v>
      </c>
      <c r="H38">
        <f t="shared" si="0"/>
        <v>1.3049999999999999</v>
      </c>
      <c r="I38" s="463">
        <f t="shared" si="1"/>
        <v>0.50152349407988717</v>
      </c>
      <c r="J38" s="464">
        <f t="shared" si="2"/>
        <v>2.2126036503524431</v>
      </c>
      <c r="K38" s="464">
        <f t="shared" si="31"/>
        <v>2.4113018251762215</v>
      </c>
      <c r="L38" s="464">
        <f t="shared" si="32"/>
        <v>0.19869817482377838</v>
      </c>
      <c r="M38" s="77">
        <f t="shared" si="3"/>
        <v>0</v>
      </c>
      <c r="N38" s="463">
        <f t="shared" si="4"/>
        <v>1.4529256379673208</v>
      </c>
      <c r="O38" s="463">
        <f t="shared" si="5"/>
        <v>2.5383355633964155E-2</v>
      </c>
      <c r="P38">
        <f t="shared" si="6"/>
        <v>0.4</v>
      </c>
      <c r="Q38" s="463">
        <f t="shared" si="34"/>
        <v>0.42538335563396418</v>
      </c>
      <c r="R38" s="9">
        <f t="shared" si="39"/>
        <v>0.63872365657046581</v>
      </c>
      <c r="S38" s="9">
        <f t="shared" si="7"/>
        <v>4.0796790946274634E-4</v>
      </c>
      <c r="T38" s="9">
        <f t="shared" si="40"/>
        <v>4.0796790946274634E-4</v>
      </c>
      <c r="U38" s="463">
        <f t="shared" si="8"/>
        <v>1.0289375782483714</v>
      </c>
      <c r="V38" s="465">
        <f t="shared" si="9"/>
        <v>1.0587125399316236E-3</v>
      </c>
      <c r="W38" s="463">
        <f t="shared" si="41"/>
        <v>1.0587125399316236E-3</v>
      </c>
      <c r="X38" s="463">
        <f t="shared" si="10"/>
        <v>1.0289375782483714</v>
      </c>
      <c r="Y38" s="463">
        <f t="shared" si="11"/>
        <v>2.3291675878495715E-2</v>
      </c>
      <c r="Z38" s="463">
        <f t="shared" si="12"/>
        <v>3.0726224344143176E-2</v>
      </c>
      <c r="AA38" s="463">
        <f t="shared" si="13"/>
        <v>0.15997440000000002</v>
      </c>
      <c r="AB38" s="463">
        <f t="shared" si="14"/>
        <v>0</v>
      </c>
      <c r="AC38" s="463">
        <f t="shared" si="15"/>
        <v>0.21483294185659649</v>
      </c>
      <c r="AD38" s="463">
        <f t="shared" si="16"/>
        <v>1.0258071795084702</v>
      </c>
      <c r="AE38" s="463">
        <f t="shared" si="17"/>
        <v>1.0522803695311229E-2</v>
      </c>
      <c r="AF38" s="463">
        <f t="shared" si="18"/>
        <v>2.8187999999999994E-2</v>
      </c>
      <c r="AG38" s="463">
        <f t="shared" si="19"/>
        <v>3.8776089002935193E-2</v>
      </c>
      <c r="AH38" s="463">
        <f t="shared" si="20"/>
        <v>0</v>
      </c>
      <c r="AI38">
        <f t="shared" si="21"/>
        <v>0</v>
      </c>
      <c r="AJ38" s="464">
        <f t="shared" si="22"/>
        <v>0.47942580000000001</v>
      </c>
      <c r="AK38">
        <f t="shared" si="23"/>
        <v>7.2000000000000008E-2</v>
      </c>
      <c r="AL38" s="464">
        <f t="shared" si="24"/>
        <v>0.22559999999999999</v>
      </c>
      <c r="AM38" s="464">
        <f t="shared" si="25"/>
        <v>0.18424406779661015</v>
      </c>
      <c r="AN38" s="464">
        <f t="shared" si="42"/>
        <v>0.29759999999999998</v>
      </c>
      <c r="AO38" s="464">
        <f t="shared" si="26"/>
        <v>1.4574848669428904</v>
      </c>
      <c r="AP38" s="100">
        <f t="shared" si="27"/>
        <v>15.66</v>
      </c>
      <c r="AQ38" s="10">
        <f t="shared" si="43"/>
        <v>0.91485402918289871</v>
      </c>
      <c r="AR38" s="77">
        <f t="shared" si="28"/>
        <v>9.022983557977053</v>
      </c>
      <c r="AS38" s="77">
        <f t="shared" si="44"/>
        <v>1.5510435601174077</v>
      </c>
      <c r="AT38" s="10"/>
      <c r="AU38">
        <f t="shared" si="45"/>
        <v>91.485402918289864</v>
      </c>
      <c r="BD38">
        <v>9.9985429999999997</v>
      </c>
      <c r="BE38">
        <v>1.9350000000000001</v>
      </c>
      <c r="BF38">
        <v>5.117146</v>
      </c>
      <c r="BG38">
        <v>94.224527198076927</v>
      </c>
      <c r="BH38">
        <v>606.92116405899924</v>
      </c>
    </row>
    <row r="39" spans="1:60" x14ac:dyDescent="0.25">
      <c r="A39" s="36" t="s">
        <v>141</v>
      </c>
      <c r="B39" s="5">
        <f>QgTop*1000000000</f>
        <v>10.5</v>
      </c>
      <c r="C39" s="473" t="s">
        <v>136</v>
      </c>
      <c r="D39" s="34" t="s">
        <v>180</v>
      </c>
      <c r="G39">
        <v>30</v>
      </c>
      <c r="H39">
        <f t="shared" si="0"/>
        <v>1.3499999999999999</v>
      </c>
      <c r="I39" s="463">
        <f t="shared" si="1"/>
        <v>0.50157606384309406</v>
      </c>
      <c r="J39" s="464">
        <f t="shared" si="2"/>
        <v>2.2128355757783562</v>
      </c>
      <c r="K39" s="464">
        <f t="shared" si="31"/>
        <v>2.456417787889178</v>
      </c>
      <c r="L39" s="464">
        <f t="shared" si="32"/>
        <v>0.24358221211082176</v>
      </c>
      <c r="M39" s="77">
        <f t="shared" si="3"/>
        <v>0</v>
      </c>
      <c r="N39" s="463">
        <f t="shared" si="4"/>
        <v>1.4935037463804792</v>
      </c>
      <c r="O39" s="463">
        <f t="shared" si="5"/>
        <v>2.6824080528736256E-2</v>
      </c>
      <c r="P39">
        <f t="shared" si="6"/>
        <v>0.4</v>
      </c>
      <c r="Q39" s="463">
        <f t="shared" si="34"/>
        <v>0.42682408052873627</v>
      </c>
      <c r="R39" s="9">
        <f t="shared" si="39"/>
        <v>0.6387906076740073</v>
      </c>
      <c r="S39" s="9">
        <f t="shared" si="7"/>
        <v>4.080534404525275E-4</v>
      </c>
      <c r="T39" s="9">
        <f t="shared" si="40"/>
        <v>4.080534404525275E-4</v>
      </c>
      <c r="U39" s="463">
        <f t="shared" si="8"/>
        <v>1.0577297456599439</v>
      </c>
      <c r="V39" s="465">
        <f t="shared" si="9"/>
        <v>1.1187922148538497E-3</v>
      </c>
      <c r="W39" s="463">
        <f t="shared" si="41"/>
        <v>1.1187922148538497E-3</v>
      </c>
      <c r="X39" s="463">
        <f t="shared" si="10"/>
        <v>1.0577297456599439</v>
      </c>
      <c r="Y39" s="463">
        <f t="shared" si="11"/>
        <v>2.4613428726784691E-2</v>
      </c>
      <c r="Z39" s="463">
        <f t="shared" si="12"/>
        <v>3.2037002487923724E-2</v>
      </c>
      <c r="AA39" s="463">
        <f t="shared" si="13"/>
        <v>0.15997440000000002</v>
      </c>
      <c r="AB39" s="463">
        <f t="shared" si="14"/>
        <v>0</v>
      </c>
      <c r="AC39" s="463">
        <f t="shared" si="15"/>
        <v>0.21752430640874712</v>
      </c>
      <c r="AD39" s="463">
        <f t="shared" si="16"/>
        <v>1.0544008846727495</v>
      </c>
      <c r="AE39" s="463">
        <f t="shared" si="17"/>
        <v>1.1117612255986769E-2</v>
      </c>
      <c r="AF39" s="463">
        <f t="shared" si="18"/>
        <v>2.9159999999999995E-2</v>
      </c>
      <c r="AG39" s="463">
        <f t="shared" si="19"/>
        <v>4.0349386469352079E-2</v>
      </c>
      <c r="AH39" s="463">
        <f t="shared" si="20"/>
        <v>0</v>
      </c>
      <c r="AI39">
        <f t="shared" si="21"/>
        <v>0</v>
      </c>
      <c r="AJ39" s="464">
        <f t="shared" si="22"/>
        <v>0.47940600000000005</v>
      </c>
      <c r="AK39">
        <f t="shared" si="23"/>
        <v>7.2000000000000008E-2</v>
      </c>
      <c r="AL39" s="464">
        <f t="shared" si="24"/>
        <v>0.22559999999999999</v>
      </c>
      <c r="AM39" s="464">
        <f t="shared" si="25"/>
        <v>0.18424406779661015</v>
      </c>
      <c r="AN39" s="464">
        <f t="shared" si="42"/>
        <v>0.29759999999999998</v>
      </c>
      <c r="AO39" s="464">
        <f t="shared" si="26"/>
        <v>1.4632306190621418</v>
      </c>
      <c r="AP39" s="100">
        <f t="shared" si="27"/>
        <v>16.2</v>
      </c>
      <c r="AQ39" s="10">
        <f t="shared" si="43"/>
        <v>0.91715951341975777</v>
      </c>
      <c r="AR39" s="77">
        <f t="shared" si="28"/>
        <v>9.1360208691673783</v>
      </c>
      <c r="AS39" s="77">
        <f t="shared" si="44"/>
        <v>1.6139754587740831</v>
      </c>
      <c r="AT39" s="10"/>
      <c r="AU39">
        <f t="shared" si="45"/>
        <v>91.715951341975781</v>
      </c>
      <c r="BD39">
        <v>9.9985060000000008</v>
      </c>
      <c r="BE39">
        <v>2.31</v>
      </c>
      <c r="BF39">
        <v>5.1166349999999996</v>
      </c>
      <c r="BG39">
        <v>94.492663502717292</v>
      </c>
      <c r="BH39">
        <v>688.87413060200208</v>
      </c>
    </row>
    <row r="40" spans="1:60" x14ac:dyDescent="0.25">
      <c r="A40" s="36" t="s">
        <v>218</v>
      </c>
      <c r="B40" s="5">
        <f>QgdTop*1000000000</f>
        <v>1.8</v>
      </c>
      <c r="C40" s="473" t="s">
        <v>136</v>
      </c>
      <c r="D40" s="42" t="s">
        <v>219</v>
      </c>
      <c r="G40">
        <v>31</v>
      </c>
      <c r="H40">
        <f t="shared" si="0"/>
        <v>1.395</v>
      </c>
      <c r="I40" s="463">
        <f t="shared" si="1"/>
        <v>0.50162863597359153</v>
      </c>
      <c r="J40" s="464">
        <f t="shared" si="2"/>
        <v>2.2130675116481977</v>
      </c>
      <c r="K40" s="464">
        <f t="shared" si="31"/>
        <v>2.5015337558240986</v>
      </c>
      <c r="L40" s="464">
        <f t="shared" si="32"/>
        <v>0.28846624417590117</v>
      </c>
      <c r="M40" s="77">
        <f t="shared" si="3"/>
        <v>0</v>
      </c>
      <c r="N40" s="463">
        <f t="shared" si="4"/>
        <v>1.5343285124963935</v>
      </c>
      <c r="O40" s="463">
        <f t="shared" si="5"/>
        <v>2.8313957281657712E-2</v>
      </c>
      <c r="P40">
        <f t="shared" si="6"/>
        <v>0.4</v>
      </c>
      <c r="Q40" s="463">
        <f t="shared" si="34"/>
        <v>0.42831395728165772</v>
      </c>
      <c r="R40" s="9">
        <f t="shared" si="39"/>
        <v>0.63885756179245112</v>
      </c>
      <c r="S40" s="9">
        <f t="shared" si="7"/>
        <v>4.081389842593955E-4</v>
      </c>
      <c r="T40" s="9">
        <f t="shared" si="40"/>
        <v>4.081389842593955E-4</v>
      </c>
      <c r="U40" s="463">
        <f t="shared" si="8"/>
        <v>1.0866996219205178</v>
      </c>
      <c r="V40" s="465">
        <f t="shared" si="9"/>
        <v>1.1809160682821965E-3</v>
      </c>
      <c r="W40" s="463">
        <f t="shared" si="41"/>
        <v>1.1809160682821965E-3</v>
      </c>
      <c r="X40" s="463">
        <f t="shared" si="10"/>
        <v>1.0866996219205178</v>
      </c>
      <c r="Y40" s="463">
        <f t="shared" si="11"/>
        <v>2.5980153502208319E-2</v>
      </c>
      <c r="Z40" s="463">
        <f t="shared" si="12"/>
        <v>3.3347780597206431E-2</v>
      </c>
      <c r="AA40" s="463">
        <f t="shared" si="13"/>
        <v>0.15997440000000002</v>
      </c>
      <c r="AB40" s="463">
        <f t="shared" si="14"/>
        <v>0</v>
      </c>
      <c r="AC40" s="463">
        <f t="shared" si="15"/>
        <v>0.22026371158579292</v>
      </c>
      <c r="AD40" s="463">
        <f t="shared" si="16"/>
        <v>1.0831656918390646</v>
      </c>
      <c r="AE40" s="463">
        <f t="shared" si="17"/>
        <v>1.1732479159771996E-2</v>
      </c>
      <c r="AF40" s="463">
        <f t="shared" si="18"/>
        <v>3.0131999999999996E-2</v>
      </c>
      <c r="AG40" s="463">
        <f t="shared" si="19"/>
        <v>4.1943214822780329E-2</v>
      </c>
      <c r="AH40" s="463">
        <f t="shared" si="20"/>
        <v>0</v>
      </c>
      <c r="AI40">
        <f t="shared" si="21"/>
        <v>0</v>
      </c>
      <c r="AJ40" s="464">
        <f t="shared" si="22"/>
        <v>0.47938619999999998</v>
      </c>
      <c r="AK40">
        <f t="shared" si="23"/>
        <v>7.2000000000000008E-2</v>
      </c>
      <c r="AL40" s="464">
        <f t="shared" si="24"/>
        <v>0.22559999999999999</v>
      </c>
      <c r="AM40" s="464">
        <f t="shared" si="25"/>
        <v>0.18424406779661015</v>
      </c>
      <c r="AN40" s="464">
        <f t="shared" si="42"/>
        <v>0.29759999999999998</v>
      </c>
      <c r="AO40" s="464">
        <f t="shared" si="26"/>
        <v>1.4690961387427723</v>
      </c>
      <c r="AP40" s="100">
        <f t="shared" si="27"/>
        <v>16.740000000000002</v>
      </c>
      <c r="AQ40" s="10">
        <f t="shared" si="43"/>
        <v>0.91932075444332284</v>
      </c>
      <c r="AR40" s="77">
        <f t="shared" si="28"/>
        <v>9.2510758866033029</v>
      </c>
      <c r="AS40" s="77">
        <f t="shared" si="44"/>
        <v>1.6777285929112131</v>
      </c>
      <c r="AT40" s="10"/>
      <c r="AU40">
        <f t="shared" si="45"/>
        <v>91.932075444332284</v>
      </c>
      <c r="BD40">
        <v>9.9984319999999993</v>
      </c>
      <c r="BE40">
        <v>2.7269999999999999</v>
      </c>
      <c r="BF40">
        <v>5.115812</v>
      </c>
      <c r="BG40">
        <v>94.558770424517263</v>
      </c>
      <c r="BH40">
        <v>802.77694931200062</v>
      </c>
    </row>
    <row r="41" spans="1:60" x14ac:dyDescent="0.25">
      <c r="A41" s="36" t="s">
        <v>236</v>
      </c>
      <c r="B41" s="39">
        <f>QgsTop*1000000000</f>
        <v>3.6</v>
      </c>
      <c r="C41" s="474" t="s">
        <v>136</v>
      </c>
      <c r="D41" s="473" t="s">
        <v>722</v>
      </c>
      <c r="G41">
        <v>32</v>
      </c>
      <c r="H41">
        <f t="shared" si="0"/>
        <v>1.44</v>
      </c>
      <c r="I41" s="463">
        <f t="shared" si="1"/>
        <v>0.50168121047153957</v>
      </c>
      <c r="J41" s="464">
        <f t="shared" si="2"/>
        <v>2.2132994579626746</v>
      </c>
      <c r="K41" s="464">
        <f t="shared" si="31"/>
        <v>2.546649728981337</v>
      </c>
      <c r="L41" s="464">
        <f t="shared" si="32"/>
        <v>0.33335027101866266</v>
      </c>
      <c r="M41" s="77">
        <f t="shared" si="3"/>
        <v>0</v>
      </c>
      <c r="N41" s="463">
        <f t="shared" ref="N41:N72" si="46">SQRT(H41^2+(J41^2)/12)</f>
        <v>1.5753807606051378</v>
      </c>
      <c r="O41" s="463">
        <f t="shared" si="5"/>
        <v>2.9853020851997099E-2</v>
      </c>
      <c r="P41">
        <f t="shared" si="6"/>
        <v>0.4</v>
      </c>
      <c r="Q41" s="463">
        <f t="shared" si="34"/>
        <v>0.42985302085199711</v>
      </c>
      <c r="R41" s="9">
        <f t="shared" si="39"/>
        <v>0.63892451892600155</v>
      </c>
      <c r="S41" s="9">
        <f t="shared" si="7"/>
        <v>4.082245408848225E-4</v>
      </c>
      <c r="T41" s="9">
        <f t="shared" si="40"/>
        <v>4.082245408848225E-4</v>
      </c>
      <c r="U41" s="463">
        <f t="shared" ref="U41:U72" si="47">SQRT(I41)*SQRT(H41^2+(J41^2)/12)</f>
        <v>1.1158336524092964</v>
      </c>
      <c r="V41" s="465">
        <f t="shared" si="9"/>
        <v>1.2450847398490705E-3</v>
      </c>
      <c r="W41" s="463">
        <f t="shared" si="41"/>
        <v>1.2450847398490705E-3</v>
      </c>
      <c r="X41" s="463">
        <f t="shared" ref="X41:X72" si="48">SQRT(I41)*SQRT(H41^2+(J41^2)/12)</f>
        <v>1.1158336524092964</v>
      </c>
      <c r="Y41" s="463">
        <f t="shared" si="11"/>
        <v>2.7391864276679549E-2</v>
      </c>
      <c r="Z41" s="463">
        <f t="shared" si="12"/>
        <v>3.4658558671988957E-2</v>
      </c>
      <c r="AA41" s="463">
        <f t="shared" si="13"/>
        <v>0.15997440000000002</v>
      </c>
      <c r="AB41" s="463">
        <f t="shared" si="14"/>
        <v>0</v>
      </c>
      <c r="AC41" s="463">
        <f t="shared" ref="AC41:AC72" si="49">(AB41+AA41+Z41+Y41*(1+RdsonTopTc*Ta-RdsonTopTc*25))/(1-Y41*RdsonTopTc*ThetaJaTop)</f>
        <v>0.22305126767722916</v>
      </c>
      <c r="AD41" s="463">
        <f t="shared" ref="AD41:AD72" si="50">SQRT(1-I41)*SQRT(H41^2+(J41^2)/12)</f>
        <v>1.1120880365491537</v>
      </c>
      <c r="AE41" s="463">
        <f t="shared" si="17"/>
        <v>1.2367398010357519E-2</v>
      </c>
      <c r="AF41" s="463">
        <f t="shared" si="18"/>
        <v>3.1103999999999996E-2</v>
      </c>
      <c r="AG41" s="463">
        <f t="shared" ref="AG41:AG72" si="51">(AF41+AE41*(1+RdsonBotTc*Ta-RdsonBotTc*25))/(1-AE41*RdsonBotTc*ThetaJaBot)</f>
        <v>4.355758905679543E-2</v>
      </c>
      <c r="AH41" s="463">
        <f t="shared" ref="AH41:AH72" si="52">IF(RDSON_sense=1, 0, AD41^2*Rshunt)</f>
        <v>0</v>
      </c>
      <c r="AI41">
        <f t="shared" si="21"/>
        <v>0</v>
      </c>
      <c r="AJ41" s="464">
        <f t="shared" si="22"/>
        <v>0.47936639999999997</v>
      </c>
      <c r="AK41">
        <f t="shared" si="23"/>
        <v>7.2000000000000008E-2</v>
      </c>
      <c r="AL41" s="464">
        <f t="shared" si="24"/>
        <v>0.22559999999999999</v>
      </c>
      <c r="AM41" s="464">
        <f t="shared" si="25"/>
        <v>0.18424406779661015</v>
      </c>
      <c r="AN41" s="464">
        <f t="shared" si="42"/>
        <v>0.29759999999999998</v>
      </c>
      <c r="AO41" s="464">
        <f t="shared" ref="AO41:AO72" si="53">SUM(Q41,T41,W41,AC41,AJ41,AI41,AG41,AN41, AH41)</f>
        <v>1.4750815868667555</v>
      </c>
      <c r="AP41" s="100">
        <f t="shared" si="27"/>
        <v>17.28</v>
      </c>
      <c r="AQ41" s="10">
        <f t="shared" si="43"/>
        <v>0.92135029751618447</v>
      </c>
      <c r="AR41" s="77">
        <f t="shared" ref="AR41:AR72" si="54">ThetaJaTop*AC41</f>
        <v>9.3681532424436256</v>
      </c>
      <c r="AS41" s="77">
        <f t="shared" si="44"/>
        <v>1.7423035622718173</v>
      </c>
      <c r="AT41" s="10"/>
      <c r="AU41">
        <f t="shared" si="45"/>
        <v>92.135029751618447</v>
      </c>
      <c r="BD41">
        <v>9.9985180000000007</v>
      </c>
      <c r="BE41">
        <v>3.1859999999999999</v>
      </c>
      <c r="BF41">
        <v>5.1148889999999998</v>
      </c>
      <c r="BG41">
        <v>94.58411932633652</v>
      </c>
      <c r="BH41">
        <v>933.10990806000302</v>
      </c>
    </row>
    <row r="42" spans="1:60" x14ac:dyDescent="0.25">
      <c r="A42" s="36" t="s">
        <v>168</v>
      </c>
      <c r="B42" s="5">
        <f>RGateTop</f>
        <v>2</v>
      </c>
      <c r="C42" s="472" t="s">
        <v>208</v>
      </c>
      <c r="D42" s="34" t="s">
        <v>181</v>
      </c>
      <c r="G42">
        <v>33</v>
      </c>
      <c r="H42">
        <f t="shared" si="0"/>
        <v>1.4850000000000001</v>
      </c>
      <c r="I42" s="463">
        <f t="shared" si="1"/>
        <v>0.50173378733709784</v>
      </c>
      <c r="J42" s="464">
        <f t="shared" si="2"/>
        <v>2.2135314147224903</v>
      </c>
      <c r="K42" s="464">
        <f t="shared" si="31"/>
        <v>2.5917657073612452</v>
      </c>
      <c r="L42" s="464">
        <f t="shared" si="32"/>
        <v>0.37823429263875497</v>
      </c>
      <c r="M42" s="77">
        <f t="shared" si="3"/>
        <v>0</v>
      </c>
      <c r="N42" s="463">
        <f t="shared" si="46"/>
        <v>1.6166431610996534</v>
      </c>
      <c r="O42" s="463">
        <f t="shared" si="5"/>
        <v>3.1441307366251094E-2</v>
      </c>
      <c r="P42">
        <f t="shared" si="6"/>
        <v>0.4</v>
      </c>
      <c r="Q42" s="463">
        <f t="shared" si="34"/>
        <v>0.43144130736625114</v>
      </c>
      <c r="R42" s="9">
        <f t="shared" si="39"/>
        <v>0.63899147907486153</v>
      </c>
      <c r="S42" s="9">
        <f t="shared" si="7"/>
        <v>4.083101103302792E-4</v>
      </c>
      <c r="T42" s="9">
        <f t="shared" si="40"/>
        <v>4.083101103302792E-4</v>
      </c>
      <c r="U42" s="463">
        <f t="shared" si="47"/>
        <v>1.1451195873115136</v>
      </c>
      <c r="V42" s="465">
        <f t="shared" si="9"/>
        <v>1.3112988692444913E-3</v>
      </c>
      <c r="W42" s="463">
        <f t="shared" si="41"/>
        <v>1.3112988692444913E-3</v>
      </c>
      <c r="X42" s="463">
        <f t="shared" si="48"/>
        <v>1.1451195873115136</v>
      </c>
      <c r="Y42" s="463">
        <f t="shared" si="11"/>
        <v>2.8848575123378808E-2</v>
      </c>
      <c r="Z42" s="463">
        <f t="shared" si="12"/>
        <v>3.5969336712268977E-2</v>
      </c>
      <c r="AA42" s="463">
        <f t="shared" si="13"/>
        <v>0.15997440000000002</v>
      </c>
      <c r="AB42" s="463">
        <f t="shared" si="14"/>
        <v>0</v>
      </c>
      <c r="AC42" s="463">
        <f t="shared" si="49"/>
        <v>0.22588708729767557</v>
      </c>
      <c r="AD42" s="463">
        <f t="shared" si="50"/>
        <v>1.141155660322372</v>
      </c>
      <c r="AE42" s="463">
        <f t="shared" si="17"/>
        <v>1.3022362410857889E-2</v>
      </c>
      <c r="AF42" s="463">
        <f t="shared" si="18"/>
        <v>3.2076E-2</v>
      </c>
      <c r="AG42" s="463">
        <f t="shared" si="51"/>
        <v>4.5192524560151312E-2</v>
      </c>
      <c r="AH42" s="463">
        <f t="shared" si="52"/>
        <v>0</v>
      </c>
      <c r="AI42">
        <f t="shared" si="21"/>
        <v>0</v>
      </c>
      <c r="AJ42" s="464">
        <f t="shared" si="22"/>
        <v>0.47934660000000001</v>
      </c>
      <c r="AK42">
        <f t="shared" si="23"/>
        <v>7.2000000000000008E-2</v>
      </c>
      <c r="AL42" s="464">
        <f t="shared" si="24"/>
        <v>0.22559999999999999</v>
      </c>
      <c r="AM42" s="464">
        <f t="shared" si="25"/>
        <v>0.18424406779661015</v>
      </c>
      <c r="AN42" s="464">
        <f t="shared" si="42"/>
        <v>0.29759999999999998</v>
      </c>
      <c r="AO42" s="464">
        <f t="shared" si="53"/>
        <v>1.4811871282036528</v>
      </c>
      <c r="AP42" s="100">
        <f t="shared" si="27"/>
        <v>17.82</v>
      </c>
      <c r="AQ42" s="10">
        <f t="shared" si="43"/>
        <v>0.92325927320608769</v>
      </c>
      <c r="AR42" s="77">
        <f t="shared" si="54"/>
        <v>9.4872576665023729</v>
      </c>
      <c r="AS42" s="77">
        <f t="shared" si="44"/>
        <v>1.8077009824060526</v>
      </c>
      <c r="AT42" s="10"/>
      <c r="AU42">
        <f t="shared" si="45"/>
        <v>92.32592732060877</v>
      </c>
      <c r="BD42">
        <v>9.9984190000000002</v>
      </c>
      <c r="BE42">
        <v>3.6920000000000002</v>
      </c>
      <c r="BF42">
        <v>5.1137540000000001</v>
      </c>
      <c r="BG42">
        <v>94.441363374789603</v>
      </c>
      <c r="BH42">
        <v>1111.2391205219994</v>
      </c>
    </row>
    <row r="43" spans="1:60" x14ac:dyDescent="0.25">
      <c r="A43" s="36" t="s">
        <v>140</v>
      </c>
      <c r="B43" s="5">
        <f>GmTop</f>
        <v>10</v>
      </c>
      <c r="C43" s="473" t="s">
        <v>137</v>
      </c>
      <c r="D43" s="34" t="s">
        <v>182</v>
      </c>
      <c r="G43">
        <v>34</v>
      </c>
      <c r="H43">
        <f t="shared" si="0"/>
        <v>1.53</v>
      </c>
      <c r="I43" s="463">
        <f t="shared" si="1"/>
        <v>0.50178636657042641</v>
      </c>
      <c r="J43" s="464">
        <f t="shared" si="2"/>
        <v>2.2137633819283513</v>
      </c>
      <c r="K43" s="464">
        <f t="shared" si="31"/>
        <v>2.6368816909641755</v>
      </c>
      <c r="L43" s="464">
        <f t="shared" si="32"/>
        <v>0.42311830903582437</v>
      </c>
      <c r="M43" s="77">
        <f t="shared" si="3"/>
        <v>0</v>
      </c>
      <c r="N43" s="463">
        <f t="shared" si="46"/>
        <v>1.658100024907194</v>
      </c>
      <c r="O43" s="463">
        <f t="shared" si="5"/>
        <v>3.3078854120269806E-2</v>
      </c>
      <c r="P43">
        <f t="shared" si="6"/>
        <v>0.4</v>
      </c>
      <c r="Q43" s="463">
        <f t="shared" si="34"/>
        <v>0.43307885412026981</v>
      </c>
      <c r="R43" s="9">
        <f t="shared" si="39"/>
        <v>0.63905844223923503</v>
      </c>
      <c r="S43" s="9">
        <f t="shared" si="7"/>
        <v>4.0839569259723768E-4</v>
      </c>
      <c r="T43" s="9">
        <f t="shared" si="40"/>
        <v>4.0839569259723768E-4</v>
      </c>
      <c r="U43" s="463">
        <f t="shared" si="47"/>
        <v>1.174546336342714</v>
      </c>
      <c r="V43" s="465">
        <f t="shared" si="9"/>
        <v>1.3795590962160918E-3</v>
      </c>
      <c r="W43" s="463">
        <f t="shared" si="41"/>
        <v>1.3795590962160918E-3</v>
      </c>
      <c r="X43" s="463">
        <f t="shared" si="48"/>
        <v>1.174546336342714</v>
      </c>
      <c r="Y43" s="463">
        <f t="shared" si="11"/>
        <v>3.0350300116754016E-2</v>
      </c>
      <c r="Z43" s="463">
        <f t="shared" si="12"/>
        <v>3.7280114718044162E-2</v>
      </c>
      <c r="AA43" s="463">
        <f t="shared" si="13"/>
        <v>0.15997440000000002</v>
      </c>
      <c r="AB43" s="463">
        <f t="shared" si="14"/>
        <v>0</v>
      </c>
      <c r="AC43" s="463">
        <f t="shared" si="49"/>
        <v>0.22877128539935246</v>
      </c>
      <c r="AD43" s="463">
        <f t="shared" si="50"/>
        <v>1.1703574652135755</v>
      </c>
      <c r="AE43" s="463">
        <f t="shared" si="17"/>
        <v>1.3697365963811457E-2</v>
      </c>
      <c r="AF43" s="463">
        <f t="shared" si="18"/>
        <v>3.3047999999999994E-2</v>
      </c>
      <c r="AG43" s="463">
        <f t="shared" si="51"/>
        <v>4.6848037117264471E-2</v>
      </c>
      <c r="AH43" s="463">
        <f t="shared" si="52"/>
        <v>0</v>
      </c>
      <c r="AI43">
        <f t="shared" si="21"/>
        <v>0</v>
      </c>
      <c r="AJ43" s="464">
        <f t="shared" si="22"/>
        <v>0.4793268</v>
      </c>
      <c r="AK43">
        <f t="shared" si="23"/>
        <v>7.2000000000000008E-2</v>
      </c>
      <c r="AL43" s="464">
        <f t="shared" si="24"/>
        <v>0.22559999999999999</v>
      </c>
      <c r="AM43" s="464">
        <f t="shared" si="25"/>
        <v>0.18424406779661015</v>
      </c>
      <c r="AN43" s="464">
        <f t="shared" si="42"/>
        <v>0.29759999999999998</v>
      </c>
      <c r="AO43" s="464">
        <f t="shared" si="53"/>
        <v>1.4874129314257001</v>
      </c>
      <c r="AP43" s="100">
        <f t="shared" si="27"/>
        <v>18.36</v>
      </c>
      <c r="AQ43" s="10">
        <f t="shared" si="43"/>
        <v>0.92505759130598908</v>
      </c>
      <c r="AR43" s="77">
        <f t="shared" si="54"/>
        <v>9.6083939867728034</v>
      </c>
      <c r="AS43" s="77">
        <f t="shared" si="44"/>
        <v>1.873921484690579</v>
      </c>
      <c r="AT43" s="10"/>
      <c r="AU43">
        <f t="shared" si="45"/>
        <v>92.505759130598904</v>
      </c>
      <c r="BD43">
        <v>9.998246</v>
      </c>
      <c r="BE43">
        <v>4.2430000000000003</v>
      </c>
      <c r="BF43">
        <v>5.1120590000000004</v>
      </c>
      <c r="BG43">
        <v>94.267178615859891</v>
      </c>
      <c r="BH43">
        <v>1319.0970775599953</v>
      </c>
    </row>
    <row r="44" spans="1:60" x14ac:dyDescent="0.25">
      <c r="A44" s="36" t="s">
        <v>170</v>
      </c>
      <c r="B44" s="5">
        <f>VthTop</f>
        <v>3.7</v>
      </c>
      <c r="C44" s="473" t="s">
        <v>0</v>
      </c>
      <c r="D44" s="34" t="s">
        <v>183</v>
      </c>
      <c r="G44">
        <v>35</v>
      </c>
      <c r="H44">
        <f t="shared" si="0"/>
        <v>1.575</v>
      </c>
      <c r="I44" s="463">
        <f t="shared" si="1"/>
        <v>0.50183894817168517</v>
      </c>
      <c r="J44" s="464">
        <f t="shared" si="2"/>
        <v>2.2139953595809638</v>
      </c>
      <c r="K44" s="464">
        <f t="shared" si="31"/>
        <v>2.6819976797904816</v>
      </c>
      <c r="L44" s="464">
        <f t="shared" si="32"/>
        <v>0.46800232020951804</v>
      </c>
      <c r="M44" s="77">
        <f t="shared" si="3"/>
        <v>0</v>
      </c>
      <c r="N44" s="463">
        <f t="shared" si="46"/>
        <v>1.6997371231126213</v>
      </c>
      <c r="O44" s="463">
        <f t="shared" si="5"/>
        <v>3.476569958145239E-2</v>
      </c>
      <c r="P44">
        <f t="shared" si="6"/>
        <v>0.4</v>
      </c>
      <c r="Q44" s="463">
        <f t="shared" si="34"/>
        <v>0.43476569958145239</v>
      </c>
      <c r="R44" s="9">
        <f t="shared" si="39"/>
        <v>0.63912540841932597</v>
      </c>
      <c r="S44" s="9">
        <f t="shared" si="7"/>
        <v>4.0848128768717024E-4</v>
      </c>
      <c r="T44" s="9">
        <f t="shared" si="40"/>
        <v>4.0848128768717024E-4</v>
      </c>
      <c r="U44" s="463">
        <f t="shared" si="47"/>
        <v>1.2041038412733063</v>
      </c>
      <c r="V44" s="465">
        <f t="shared" si="9"/>
        <v>1.4498660605691317E-3</v>
      </c>
      <c r="W44" s="463">
        <f t="shared" si="41"/>
        <v>1.4498660605691317E-3</v>
      </c>
      <c r="X44" s="463">
        <f t="shared" si="48"/>
        <v>1.2041038412733063</v>
      </c>
      <c r="Y44" s="463">
        <f t="shared" si="11"/>
        <v>3.1897053332520894E-2</v>
      </c>
      <c r="Z44" s="463">
        <f t="shared" si="12"/>
        <v>3.8590892689312178E-2</v>
      </c>
      <c r="AA44" s="463">
        <f t="shared" si="13"/>
        <v>0.15997440000000002</v>
      </c>
      <c r="AB44" s="463">
        <f t="shared" si="14"/>
        <v>0</v>
      </c>
      <c r="AC44" s="463">
        <f t="shared" si="49"/>
        <v>0.23170397928484687</v>
      </c>
      <c r="AD44" s="463">
        <f t="shared" si="50"/>
        <v>1.1996833861973912</v>
      </c>
      <c r="AE44" s="463">
        <f t="shared" si="17"/>
        <v>1.4392402271180389E-2</v>
      </c>
      <c r="AF44" s="463">
        <f t="shared" si="18"/>
        <v>3.4019999999999988E-2</v>
      </c>
      <c r="AG44" s="463">
        <f t="shared" si="51"/>
        <v>4.8524142908717413E-2</v>
      </c>
      <c r="AH44" s="463">
        <f t="shared" si="52"/>
        <v>0</v>
      </c>
      <c r="AI44">
        <f t="shared" si="21"/>
        <v>0</v>
      </c>
      <c r="AJ44" s="464">
        <f t="shared" si="22"/>
        <v>0.47930700000000004</v>
      </c>
      <c r="AK44">
        <f t="shared" si="23"/>
        <v>7.2000000000000008E-2</v>
      </c>
      <c r="AL44" s="464">
        <f t="shared" si="24"/>
        <v>0.22559999999999999</v>
      </c>
      <c r="AM44" s="464">
        <f t="shared" si="25"/>
        <v>0.18424406779661015</v>
      </c>
      <c r="AN44" s="464">
        <f t="shared" si="42"/>
        <v>0.29759999999999998</v>
      </c>
      <c r="AO44" s="464">
        <f t="shared" si="53"/>
        <v>1.493759169123273</v>
      </c>
      <c r="AP44" s="100">
        <f t="shared" si="27"/>
        <v>18.899999999999999</v>
      </c>
      <c r="AQ44" s="10">
        <f t="shared" si="43"/>
        <v>0.92675410370713474</v>
      </c>
      <c r="AR44" s="77">
        <f t="shared" si="54"/>
        <v>9.7315671299635689</v>
      </c>
      <c r="AS44" s="77">
        <f t="shared" si="44"/>
        <v>1.9409657163486966</v>
      </c>
      <c r="AT44" s="10"/>
      <c r="AU44">
        <f t="shared" si="45"/>
        <v>92.675410370713479</v>
      </c>
      <c r="BD44">
        <v>9.9981469999999995</v>
      </c>
      <c r="BE44">
        <v>4.8490000000000002</v>
      </c>
      <c r="BF44">
        <v>5.1107740000000002</v>
      </c>
      <c r="BG44">
        <v>93.953815994681278</v>
      </c>
      <c r="BH44">
        <v>1594.7983209009985</v>
      </c>
    </row>
    <row r="45" spans="1:60" x14ac:dyDescent="0.25">
      <c r="A45" s="43" t="s">
        <v>235</v>
      </c>
      <c r="B45" s="5">
        <f>VspTop</f>
        <v>4.6000000000000005</v>
      </c>
      <c r="C45" s="475" t="s">
        <v>0</v>
      </c>
      <c r="G45">
        <v>36</v>
      </c>
      <c r="H45">
        <f t="shared" si="0"/>
        <v>1.6199999999999999</v>
      </c>
      <c r="I45" s="463">
        <f t="shared" si="1"/>
        <v>0.50189153214103421</v>
      </c>
      <c r="J45" s="464">
        <f t="shared" si="2"/>
        <v>2.214227347681033</v>
      </c>
      <c r="K45" s="464">
        <f t="shared" si="31"/>
        <v>2.7271136738405164</v>
      </c>
      <c r="L45" s="464">
        <f t="shared" si="32"/>
        <v>0.51288632615948337</v>
      </c>
      <c r="M45" s="77">
        <f t="shared" si="3"/>
        <v>0</v>
      </c>
      <c r="N45" s="463">
        <f t="shared" si="46"/>
        <v>1.7415415285319922</v>
      </c>
      <c r="O45" s="463">
        <f t="shared" si="5"/>
        <v>3.6501883391012541E-2</v>
      </c>
      <c r="P45">
        <f t="shared" si="6"/>
        <v>0.4</v>
      </c>
      <c r="Q45" s="463">
        <f t="shared" si="34"/>
        <v>0.43650188339101259</v>
      </c>
      <c r="R45" s="9">
        <f t="shared" si="39"/>
        <v>0.63919237761533776</v>
      </c>
      <c r="S45" s="9">
        <f t="shared" si="7"/>
        <v>4.0856689560154851E-4</v>
      </c>
      <c r="T45" s="9">
        <f t="shared" si="40"/>
        <v>4.0856689560154851E-4</v>
      </c>
      <c r="U45" s="463">
        <f t="shared" si="47"/>
        <v>1.2337829639634748</v>
      </c>
      <c r="V45" s="465">
        <f t="shared" si="9"/>
        <v>1.5222204021664968E-3</v>
      </c>
      <c r="W45" s="463">
        <f t="shared" si="41"/>
        <v>1.5222204021664968E-3</v>
      </c>
      <c r="X45" s="463">
        <f t="shared" si="48"/>
        <v>1.2337829639634748</v>
      </c>
      <c r="Y45" s="463">
        <f t="shared" si="11"/>
        <v>3.3488848847662928E-2</v>
      </c>
      <c r="Z45" s="463">
        <f t="shared" si="12"/>
        <v>3.9901670626070682E-2</v>
      </c>
      <c r="AA45" s="463">
        <f t="shared" si="13"/>
        <v>0.15997440000000002</v>
      </c>
      <c r="AB45" s="463">
        <f t="shared" si="14"/>
        <v>0</v>
      </c>
      <c r="AC45" s="463">
        <f t="shared" si="49"/>
        <v>0.23468528862017199</v>
      </c>
      <c r="AD45" s="463">
        <f t="shared" si="50"/>
        <v>1.2291242790845238</v>
      </c>
      <c r="AE45" s="463">
        <f t="shared" si="17"/>
        <v>1.5107464934350502E-2</v>
      </c>
      <c r="AF45" s="463">
        <f t="shared" si="18"/>
        <v>3.4991999999999995E-2</v>
      </c>
      <c r="AG45" s="463">
        <f t="shared" si="51"/>
        <v>5.0220858511780847E-2</v>
      </c>
      <c r="AH45" s="463">
        <f t="shared" si="52"/>
        <v>0</v>
      </c>
      <c r="AI45">
        <f t="shared" si="21"/>
        <v>0</v>
      </c>
      <c r="AJ45" s="464">
        <f t="shared" si="22"/>
        <v>0.47928719999999997</v>
      </c>
      <c r="AK45">
        <f t="shared" si="23"/>
        <v>7.2000000000000008E-2</v>
      </c>
      <c r="AL45" s="464">
        <f t="shared" si="24"/>
        <v>0.22559999999999999</v>
      </c>
      <c r="AM45" s="464">
        <f t="shared" si="25"/>
        <v>0.18424406779661015</v>
      </c>
      <c r="AN45" s="464">
        <f t="shared" si="42"/>
        <v>0.29759999999999998</v>
      </c>
      <c r="AO45" s="464">
        <f t="shared" si="53"/>
        <v>1.5002260178207334</v>
      </c>
      <c r="AP45" s="100">
        <f t="shared" si="27"/>
        <v>19.439999999999998</v>
      </c>
      <c r="AQ45" s="10">
        <f t="shared" si="43"/>
        <v>0.92835674187355965</v>
      </c>
      <c r="AR45" s="77">
        <f t="shared" si="54"/>
        <v>9.8567821220472229</v>
      </c>
      <c r="AS45" s="77">
        <f t="shared" si="44"/>
        <v>2.0088343404712337</v>
      </c>
      <c r="AT45" s="10"/>
      <c r="AU45">
        <f t="shared" si="45"/>
        <v>92.835674187355963</v>
      </c>
      <c r="BD45">
        <v>9.9979859999999992</v>
      </c>
      <c r="BE45">
        <v>5.4960000000000004</v>
      </c>
      <c r="BF45">
        <v>5.1097890000000001</v>
      </c>
      <c r="BG45">
        <v>93.599771362833366</v>
      </c>
      <c r="BH45">
        <v>1920.3056923499939</v>
      </c>
    </row>
    <row r="46" spans="1:60" x14ac:dyDescent="0.25">
      <c r="A46" s="139" t="s">
        <v>378</v>
      </c>
      <c r="B46" s="5">
        <f>VsdTop</f>
        <v>0.8</v>
      </c>
      <c r="C46" s="475" t="s">
        <v>0</v>
      </c>
      <c r="G46">
        <v>37</v>
      </c>
      <c r="H46">
        <f t="shared" si="0"/>
        <v>1.665</v>
      </c>
      <c r="I46" s="463">
        <f t="shared" si="1"/>
        <v>0.50194411847863352</v>
      </c>
      <c r="J46" s="464">
        <f t="shared" si="2"/>
        <v>2.2144593462292654</v>
      </c>
      <c r="K46" s="464">
        <f t="shared" si="31"/>
        <v>2.7722296731146328</v>
      </c>
      <c r="L46" s="464">
        <f t="shared" si="32"/>
        <v>0.55777032688536732</v>
      </c>
      <c r="M46" s="77">
        <f t="shared" si="3"/>
        <v>0</v>
      </c>
      <c r="N46" s="463">
        <f t="shared" si="46"/>
        <v>1.7835014764058497</v>
      </c>
      <c r="O46" s="463">
        <f t="shared" si="5"/>
        <v>3.8287446366314717E-2</v>
      </c>
      <c r="P46">
        <f t="shared" si="6"/>
        <v>0.4</v>
      </c>
      <c r="Q46" s="463">
        <f t="shared" si="34"/>
        <v>0.43828744636631473</v>
      </c>
      <c r="R46" s="9">
        <f t="shared" si="39"/>
        <v>0.63925934982747457</v>
      </c>
      <c r="S46" s="9">
        <f t="shared" si="7"/>
        <v>4.0865251634184554E-4</v>
      </c>
      <c r="T46" s="9">
        <f t="shared" si="40"/>
        <v>4.0865251634184554E-4</v>
      </c>
      <c r="U46" s="463">
        <f t="shared" si="47"/>
        <v>1.2635753879087361</v>
      </c>
      <c r="V46" s="465">
        <f t="shared" si="9"/>
        <v>1.5966227609287128E-3</v>
      </c>
      <c r="W46" s="463">
        <f t="shared" si="41"/>
        <v>1.5966227609287128E-3</v>
      </c>
      <c r="X46" s="463">
        <f t="shared" si="48"/>
        <v>1.2635753879087361</v>
      </c>
      <c r="Y46" s="463">
        <f t="shared" si="11"/>
        <v>3.5125700740431684E-2</v>
      </c>
      <c r="Z46" s="463">
        <f t="shared" si="12"/>
        <v>4.1212448528317361E-2</v>
      </c>
      <c r="AA46" s="463">
        <f t="shared" si="13"/>
        <v>0.15997440000000002</v>
      </c>
      <c r="AB46" s="463">
        <f t="shared" si="14"/>
        <v>0</v>
      </c>
      <c r="AC46" s="463">
        <f t="shared" si="49"/>
        <v>0.23771533544812187</v>
      </c>
      <c r="AD46" s="463">
        <f t="shared" si="50"/>
        <v>1.2586718219667639</v>
      </c>
      <c r="AE46" s="463">
        <f t="shared" si="17"/>
        <v>1.584254755413133E-2</v>
      </c>
      <c r="AF46" s="463">
        <f t="shared" si="18"/>
        <v>3.5963999999999996E-2</v>
      </c>
      <c r="AG46" s="463">
        <f t="shared" si="51"/>
        <v>5.1938200900955231E-2</v>
      </c>
      <c r="AH46" s="463">
        <f t="shared" si="52"/>
        <v>0</v>
      </c>
      <c r="AI46">
        <f t="shared" si="21"/>
        <v>0</v>
      </c>
      <c r="AJ46" s="464">
        <f t="shared" si="22"/>
        <v>0.47926740000000001</v>
      </c>
      <c r="AK46">
        <f t="shared" si="23"/>
        <v>7.2000000000000008E-2</v>
      </c>
      <c r="AL46" s="464">
        <f t="shared" si="24"/>
        <v>0.22559999999999999</v>
      </c>
      <c r="AM46" s="464">
        <f t="shared" si="25"/>
        <v>0.18424406779661015</v>
      </c>
      <c r="AN46" s="464">
        <f t="shared" si="42"/>
        <v>0.29759999999999998</v>
      </c>
      <c r="AO46" s="464">
        <f t="shared" si="53"/>
        <v>1.5068136579926623</v>
      </c>
      <c r="AP46" s="100">
        <f t="shared" si="27"/>
        <v>19.98</v>
      </c>
      <c r="AQ46" s="10">
        <f t="shared" si="43"/>
        <v>0.92987263342174709</v>
      </c>
      <c r="AR46" s="77">
        <f t="shared" si="54"/>
        <v>9.9840440888211184</v>
      </c>
      <c r="AS46" s="77">
        <f t="shared" si="44"/>
        <v>2.0775280360382093</v>
      </c>
      <c r="AT46" s="10"/>
      <c r="AU46">
        <f t="shared" si="45"/>
        <v>92.987263342174714</v>
      </c>
      <c r="BD46">
        <v>9.9978999999999996</v>
      </c>
      <c r="BE46">
        <v>6.1950000000000003</v>
      </c>
      <c r="BF46">
        <v>5.109191</v>
      </c>
      <c r="BG46">
        <v>93.156651672159526</v>
      </c>
      <c r="BH46">
        <v>2325.1351758999972</v>
      </c>
    </row>
    <row r="47" spans="1:60" x14ac:dyDescent="0.25">
      <c r="A47" s="36" t="s">
        <v>161</v>
      </c>
      <c r="B47" s="5">
        <f>ThetaJaTop</f>
        <v>42</v>
      </c>
      <c r="C47" s="473" t="s">
        <v>381</v>
      </c>
      <c r="D47" s="34" t="s">
        <v>184</v>
      </c>
      <c r="G47">
        <v>38</v>
      </c>
      <c r="H47">
        <f t="shared" si="0"/>
        <v>1.71</v>
      </c>
      <c r="I47" s="463">
        <f t="shared" si="1"/>
        <v>0.50199670718464284</v>
      </c>
      <c r="J47" s="464">
        <f t="shared" si="2"/>
        <v>2.214691355226365</v>
      </c>
      <c r="K47" s="464">
        <f t="shared" si="31"/>
        <v>2.8173456776131824</v>
      </c>
      <c r="L47" s="464">
        <f t="shared" si="32"/>
        <v>0.60265432238681749</v>
      </c>
      <c r="M47" s="77">
        <f t="shared" si="3"/>
        <v>0</v>
      </c>
      <c r="N47" s="463">
        <f t="shared" si="46"/>
        <v>1.8256062417480754</v>
      </c>
      <c r="O47" s="463">
        <f t="shared" si="5"/>
        <v>4.0122430503280883E-2</v>
      </c>
      <c r="P47">
        <f t="shared" si="6"/>
        <v>0.4</v>
      </c>
      <c r="Q47" s="463">
        <f t="shared" si="34"/>
        <v>0.44012243050328093</v>
      </c>
      <c r="R47" s="9">
        <f t="shared" si="39"/>
        <v>0.63932632505593945</v>
      </c>
      <c r="S47" s="9">
        <f t="shared" si="7"/>
        <v>4.0873814990953272E-4</v>
      </c>
      <c r="T47" s="9">
        <f t="shared" si="40"/>
        <v>4.0873814990953272E-4</v>
      </c>
      <c r="U47" s="463">
        <f t="shared" si="47"/>
        <v>1.2934735315552237</v>
      </c>
      <c r="V47" s="465">
        <f t="shared" si="9"/>
        <v>1.6730737768339424E-3</v>
      </c>
      <c r="W47" s="463">
        <f t="shared" si="41"/>
        <v>1.6730737768339424E-3</v>
      </c>
      <c r="X47" s="463">
        <f t="shared" si="48"/>
        <v>1.2934735315552237</v>
      </c>
      <c r="Y47" s="463">
        <f t="shared" si="11"/>
        <v>3.6807623090346728E-2</v>
      </c>
      <c r="Z47" s="463">
        <f t="shared" si="12"/>
        <v>4.2523226396049878E-2</v>
      </c>
      <c r="AA47" s="463">
        <f t="shared" si="13"/>
        <v>0.15997440000000002</v>
      </c>
      <c r="AB47" s="463">
        <f t="shared" si="14"/>
        <v>0</v>
      </c>
      <c r="AC47" s="463">
        <f t="shared" si="49"/>
        <v>0.24079424420192544</v>
      </c>
      <c r="AD47" s="463">
        <f t="shared" si="50"/>
        <v>1.2883184284467835</v>
      </c>
      <c r="AE47" s="463">
        <f t="shared" si="17"/>
        <v>1.6597643730755899E-2</v>
      </c>
      <c r="AF47" s="463">
        <f t="shared" si="18"/>
        <v>3.6935999999999997E-2</v>
      </c>
      <c r="AG47" s="463">
        <f t="shared" si="51"/>
        <v>5.3676187448531247E-2</v>
      </c>
      <c r="AH47" s="463">
        <f t="shared" si="52"/>
        <v>0</v>
      </c>
      <c r="AI47">
        <f t="shared" si="21"/>
        <v>0</v>
      </c>
      <c r="AJ47" s="464">
        <f t="shared" si="22"/>
        <v>0.4792476</v>
      </c>
      <c r="AK47">
        <f t="shared" si="23"/>
        <v>7.2000000000000008E-2</v>
      </c>
      <c r="AL47" s="464">
        <f t="shared" si="24"/>
        <v>0.22559999999999999</v>
      </c>
      <c r="AM47" s="464">
        <f t="shared" si="25"/>
        <v>0.18424406779661015</v>
      </c>
      <c r="AN47" s="464">
        <f t="shared" si="42"/>
        <v>0.29759999999999998</v>
      </c>
      <c r="AO47" s="464">
        <f t="shared" si="53"/>
        <v>1.513522274080481</v>
      </c>
      <c r="AP47" s="100">
        <f t="shared" si="27"/>
        <v>20.52</v>
      </c>
      <c r="AQ47" s="10">
        <f t="shared" si="43"/>
        <v>0.93130820141902859</v>
      </c>
      <c r="AR47" s="77">
        <f t="shared" si="54"/>
        <v>10.113358256480868</v>
      </c>
      <c r="AS47" s="77">
        <f t="shared" si="44"/>
        <v>2.1470474979412497</v>
      </c>
      <c r="AT47" s="10"/>
      <c r="AU47">
        <f t="shared" si="45"/>
        <v>93.130820141902859</v>
      </c>
      <c r="BD47">
        <v>9.9976269999999996</v>
      </c>
      <c r="BE47">
        <v>6.9470000000000001</v>
      </c>
      <c r="BF47">
        <v>5.1086669999999996</v>
      </c>
      <c r="BG47">
        <v>92.656807634751772</v>
      </c>
      <c r="BH47">
        <v>2812.6290012010018</v>
      </c>
    </row>
    <row r="48" spans="1:60" ht="13" x14ac:dyDescent="0.3">
      <c r="A48" s="37" t="s">
        <v>130</v>
      </c>
      <c r="B48" s="28" t="s">
        <v>201</v>
      </c>
      <c r="C48" s="37" t="s">
        <v>148</v>
      </c>
      <c r="D48" s="30" t="s">
        <v>188</v>
      </c>
      <c r="G48">
        <v>39</v>
      </c>
      <c r="H48">
        <f t="shared" si="0"/>
        <v>1.7550000000000001</v>
      </c>
      <c r="I48" s="463">
        <f t="shared" si="1"/>
        <v>0.5020492982592224</v>
      </c>
      <c r="J48" s="464">
        <f t="shared" si="2"/>
        <v>2.2149233746730399</v>
      </c>
      <c r="K48" s="464">
        <f t="shared" si="31"/>
        <v>2.8624616873365198</v>
      </c>
      <c r="L48" s="464">
        <f t="shared" si="32"/>
        <v>0.64753831266348016</v>
      </c>
      <c r="M48" s="77">
        <f t="shared" si="3"/>
        <v>0</v>
      </c>
      <c r="N48" s="463">
        <f t="shared" si="46"/>
        <v>1.8678460312097689</v>
      </c>
      <c r="O48" s="463">
        <f t="shared" si="5"/>
        <v>4.2006878978868539E-2</v>
      </c>
      <c r="P48">
        <f t="shared" si="6"/>
        <v>0.4</v>
      </c>
      <c r="Q48" s="463">
        <f t="shared" si="34"/>
        <v>0.44200687897886859</v>
      </c>
      <c r="R48" s="9">
        <f t="shared" si="39"/>
        <v>0.63939330330093702</v>
      </c>
      <c r="S48" s="9">
        <f t="shared" si="7"/>
        <v>4.0882379630608406E-4</v>
      </c>
      <c r="T48" s="9">
        <f t="shared" si="40"/>
        <v>4.0882379630608406E-4</v>
      </c>
      <c r="U48" s="463">
        <f t="shared" si="47"/>
        <v>1.3234704718723431</v>
      </c>
      <c r="V48" s="465">
        <f t="shared" si="9"/>
        <v>1.7515740899180026E-3</v>
      </c>
      <c r="W48" s="463">
        <f t="shared" si="41"/>
        <v>1.7515740899180026E-3</v>
      </c>
      <c r="X48" s="463">
        <f t="shared" si="48"/>
        <v>1.3234704718723431</v>
      </c>
      <c r="Y48" s="463">
        <f t="shared" si="11"/>
        <v>3.8534629978196053E-2</v>
      </c>
      <c r="Z48" s="463">
        <f t="shared" si="12"/>
        <v>4.3834004229265901E-2</v>
      </c>
      <c r="AA48" s="463">
        <f t="shared" si="13"/>
        <v>0.15997440000000002</v>
      </c>
      <c r="AB48" s="463">
        <f t="shared" si="14"/>
        <v>0</v>
      </c>
      <c r="AC48" s="463">
        <f t="shared" si="49"/>
        <v>0.24392214171920121</v>
      </c>
      <c r="AD48" s="463">
        <f t="shared" si="50"/>
        <v>1.3180571711379148</v>
      </c>
      <c r="AE48" s="463">
        <f t="shared" si="17"/>
        <v>1.7372747063880822E-2</v>
      </c>
      <c r="AF48" s="463">
        <f t="shared" si="18"/>
        <v>3.790799999999999E-2</v>
      </c>
      <c r="AG48" s="463">
        <f t="shared" si="51"/>
        <v>5.5434835925169727E-2</v>
      </c>
      <c r="AH48" s="463">
        <f t="shared" si="52"/>
        <v>0</v>
      </c>
      <c r="AI48">
        <f t="shared" si="21"/>
        <v>0</v>
      </c>
      <c r="AJ48" s="464">
        <f t="shared" si="22"/>
        <v>0.47922780000000004</v>
      </c>
      <c r="AK48">
        <f t="shared" si="23"/>
        <v>7.2000000000000008E-2</v>
      </c>
      <c r="AL48" s="464">
        <f t="shared" si="24"/>
        <v>0.22559999999999999</v>
      </c>
      <c r="AM48" s="464">
        <f t="shared" si="25"/>
        <v>0.18424406779661015</v>
      </c>
      <c r="AN48" s="464">
        <f t="shared" si="42"/>
        <v>0.29759999999999998</v>
      </c>
      <c r="AO48" s="464">
        <f t="shared" si="53"/>
        <v>1.5203520545094635</v>
      </c>
      <c r="AP48" s="100">
        <f t="shared" si="27"/>
        <v>21.060000000000002</v>
      </c>
      <c r="AQ48" s="10">
        <f t="shared" si="43"/>
        <v>0.93266924931731354</v>
      </c>
      <c r="AR48" s="77">
        <f t="shared" si="54"/>
        <v>10.24472995220645</v>
      </c>
      <c r="AS48" s="77">
        <f t="shared" si="44"/>
        <v>2.2173934370067889</v>
      </c>
      <c r="AT48" s="10"/>
      <c r="AU48">
        <f t="shared" si="45"/>
        <v>93.266924931731353</v>
      </c>
      <c r="BD48">
        <v>9.9975280000000009</v>
      </c>
      <c r="BE48">
        <v>7.7530000000000001</v>
      </c>
      <c r="BF48">
        <v>5.10853</v>
      </c>
      <c r="BG48">
        <v>92.034336419785248</v>
      </c>
      <c r="BH48">
        <v>3427.976173640001</v>
      </c>
    </row>
    <row r="49" spans="1:60" x14ac:dyDescent="0.25">
      <c r="A49" s="36" t="s">
        <v>139</v>
      </c>
      <c r="B49" s="5">
        <f>RdsonBot*1000</f>
        <v>10</v>
      </c>
      <c r="C49" s="473" t="s">
        <v>622</v>
      </c>
      <c r="D49" s="34" t="s">
        <v>192</v>
      </c>
      <c r="G49">
        <v>40</v>
      </c>
      <c r="H49">
        <f t="shared" si="0"/>
        <v>1.8</v>
      </c>
      <c r="I49" s="463">
        <f t="shared" si="1"/>
        <v>0.50210189170253228</v>
      </c>
      <c r="J49" s="464">
        <f t="shared" si="2"/>
        <v>2.215155404569995</v>
      </c>
      <c r="K49" s="464">
        <f t="shared" si="31"/>
        <v>2.9075777022849976</v>
      </c>
      <c r="L49" s="464">
        <f t="shared" si="32"/>
        <v>0.69242229771500252</v>
      </c>
      <c r="M49" s="77">
        <f t="shared" si="3"/>
        <v>0</v>
      </c>
      <c r="N49" s="463">
        <f t="shared" si="46"/>
        <v>1.9102118876012084</v>
      </c>
      <c r="O49" s="463">
        <f t="shared" si="5"/>
        <v>4.3940836153619628E-2</v>
      </c>
      <c r="P49">
        <f t="shared" si="6"/>
        <v>0.4</v>
      </c>
      <c r="Q49" s="463">
        <f t="shared" si="34"/>
        <v>0.44394083615361968</v>
      </c>
      <c r="R49" s="9">
        <f t="shared" si="39"/>
        <v>0.63946028456267057</v>
      </c>
      <c r="S49" s="9">
        <f t="shared" si="7"/>
        <v>4.0890945553297164E-4</v>
      </c>
      <c r="T49" s="9">
        <f t="shared" si="40"/>
        <v>4.0890945553297164E-4</v>
      </c>
      <c r="U49" s="463">
        <f t="shared" si="47"/>
        <v>1.3535598768707509</v>
      </c>
      <c r="V49" s="465">
        <f t="shared" si="9"/>
        <v>1.8321243402743622E-3</v>
      </c>
      <c r="W49" s="463">
        <f t="shared" si="41"/>
        <v>1.8321243402743622E-3</v>
      </c>
      <c r="X49" s="463">
        <f t="shared" si="48"/>
        <v>1.3535598768707509</v>
      </c>
      <c r="Y49" s="463">
        <f t="shared" si="11"/>
        <v>4.0306735486035965E-2</v>
      </c>
      <c r="Z49" s="463">
        <f t="shared" si="12"/>
        <v>4.5144782027963092E-2</v>
      </c>
      <c r="AA49" s="463">
        <f t="shared" si="13"/>
        <v>0.15997440000000002</v>
      </c>
      <c r="AB49" s="463">
        <f t="shared" si="14"/>
        <v>0</v>
      </c>
      <c r="AC49" s="463">
        <f t="shared" si="49"/>
        <v>0.24709915725621767</v>
      </c>
      <c r="AD49" s="463">
        <f t="shared" si="50"/>
        <v>1.3478817141198294</v>
      </c>
      <c r="AE49" s="463">
        <f t="shared" si="17"/>
        <v>1.8167851152586095E-2</v>
      </c>
      <c r="AF49" s="463">
        <f t="shared" si="18"/>
        <v>3.8879999999999998E-2</v>
      </c>
      <c r="AG49" s="463">
        <f t="shared" si="51"/>
        <v>5.7214164500500438E-2</v>
      </c>
      <c r="AH49" s="463">
        <f t="shared" si="52"/>
        <v>0</v>
      </c>
      <c r="AI49">
        <f t="shared" si="21"/>
        <v>0</v>
      </c>
      <c r="AJ49" s="464">
        <f t="shared" si="22"/>
        <v>0.47920800000000002</v>
      </c>
      <c r="AK49">
        <f t="shared" si="23"/>
        <v>7.2000000000000008E-2</v>
      </c>
      <c r="AL49" s="464">
        <f t="shared" si="24"/>
        <v>0.22559999999999999</v>
      </c>
      <c r="AM49" s="464">
        <f t="shared" si="25"/>
        <v>0.18424406779661015</v>
      </c>
      <c r="AN49" s="464">
        <f t="shared" si="42"/>
        <v>0.29759999999999998</v>
      </c>
      <c r="AO49" s="464">
        <f t="shared" si="53"/>
        <v>1.527303191706145</v>
      </c>
      <c r="AP49" s="100">
        <f t="shared" si="27"/>
        <v>21.6</v>
      </c>
      <c r="AQ49" s="10">
        <f t="shared" si="43"/>
        <v>0.93396103388942198</v>
      </c>
      <c r="AR49" s="77">
        <f t="shared" si="54"/>
        <v>10.378164604761142</v>
      </c>
      <c r="AS49" s="77">
        <f t="shared" si="44"/>
        <v>2.2885665800200177</v>
      </c>
      <c r="AT49" s="10"/>
      <c r="AU49">
        <f t="shared" si="45"/>
        <v>93.396103388942194</v>
      </c>
      <c r="BD49">
        <v>9.9970090000000003</v>
      </c>
      <c r="BE49">
        <v>8.6120000000000001</v>
      </c>
      <c r="BF49">
        <v>5.1085419999999999</v>
      </c>
      <c r="BG49">
        <v>91.346378256658895</v>
      </c>
      <c r="BH49">
        <v>4167.8065612820019</v>
      </c>
    </row>
    <row r="50" spans="1:60" x14ac:dyDescent="0.25">
      <c r="A50" s="36" t="s">
        <v>153</v>
      </c>
      <c r="B50" s="5">
        <v>4500</v>
      </c>
      <c r="C50" s="473" t="s">
        <v>623</v>
      </c>
      <c r="D50" s="34" t="s">
        <v>185</v>
      </c>
      <c r="G50">
        <v>41</v>
      </c>
      <c r="H50">
        <f t="shared" si="0"/>
        <v>1.845</v>
      </c>
      <c r="I50" s="463">
        <f t="shared" si="1"/>
        <v>0.50215448751473235</v>
      </c>
      <c r="J50" s="464">
        <f t="shared" si="2"/>
        <v>2.2153874449179365</v>
      </c>
      <c r="K50" s="464">
        <f t="shared" si="31"/>
        <v>2.9526937224589682</v>
      </c>
      <c r="L50" s="464">
        <f t="shared" si="32"/>
        <v>0.73730627754103173</v>
      </c>
      <c r="M50" s="77">
        <f t="shared" si="3"/>
        <v>0</v>
      </c>
      <c r="N50" s="463">
        <f t="shared" si="46"/>
        <v>1.9526956054622719</v>
      </c>
      <c r="O50" s="463">
        <f t="shared" si="5"/>
        <v>4.5924347574281384E-2</v>
      </c>
      <c r="P50">
        <f t="shared" si="6"/>
        <v>0.4</v>
      </c>
      <c r="Q50" s="463">
        <f t="shared" si="34"/>
        <v>0.4459243475742814</v>
      </c>
      <c r="R50" s="9">
        <f t="shared" si="39"/>
        <v>0.63952726884134392</v>
      </c>
      <c r="S50" s="9">
        <f t="shared" si="7"/>
        <v>4.0899512759166856E-4</v>
      </c>
      <c r="T50" s="9">
        <f t="shared" si="40"/>
        <v>4.0899512759166856E-4</v>
      </c>
      <c r="U50" s="463">
        <f t="shared" si="47"/>
        <v>1.3837359459283241</v>
      </c>
      <c r="V50" s="465">
        <f t="shared" si="9"/>
        <v>1.9147251680541539E-3</v>
      </c>
      <c r="W50" s="463">
        <f t="shared" si="41"/>
        <v>1.9147251680541539E-3</v>
      </c>
      <c r="X50" s="463">
        <f t="shared" si="48"/>
        <v>1.3837359459283241</v>
      </c>
      <c r="Y50" s="463">
        <f t="shared" si="11"/>
        <v>4.212395369719138E-2</v>
      </c>
      <c r="Z50" s="463">
        <f t="shared" si="12"/>
        <v>4.6455559792139139E-2</v>
      </c>
      <c r="AA50" s="463">
        <f t="shared" si="13"/>
        <v>0.15997440000000002</v>
      </c>
      <c r="AB50" s="463">
        <f t="shared" si="14"/>
        <v>0</v>
      </c>
      <c r="AC50" s="463">
        <f t="shared" si="49"/>
        <v>0.25032542250246009</v>
      </c>
      <c r="AD50" s="463">
        <f t="shared" si="50"/>
        <v>1.3777862532111123</v>
      </c>
      <c r="AE50" s="463">
        <f t="shared" si="17"/>
        <v>1.8982949595375151E-2</v>
      </c>
      <c r="AF50" s="463">
        <f t="shared" si="18"/>
        <v>3.9851999999999999E-2</v>
      </c>
      <c r="AG50" s="463">
        <f t="shared" si="51"/>
        <v>5.9014191743740466E-2</v>
      </c>
      <c r="AH50" s="463">
        <f t="shared" si="52"/>
        <v>0</v>
      </c>
      <c r="AI50">
        <f t="shared" si="21"/>
        <v>0</v>
      </c>
      <c r="AJ50" s="464">
        <f t="shared" si="22"/>
        <v>0.47918819999999995</v>
      </c>
      <c r="AK50">
        <f t="shared" si="23"/>
        <v>7.2000000000000008E-2</v>
      </c>
      <c r="AL50" s="464">
        <f t="shared" si="24"/>
        <v>0.22559999999999999</v>
      </c>
      <c r="AM50" s="464">
        <f t="shared" si="25"/>
        <v>0.18424406779661015</v>
      </c>
      <c r="AN50" s="464">
        <f t="shared" si="42"/>
        <v>0.29759999999999998</v>
      </c>
      <c r="AO50" s="464">
        <f t="shared" si="53"/>
        <v>1.5343758821161275</v>
      </c>
      <c r="AP50" s="100">
        <f t="shared" si="27"/>
        <v>22.14</v>
      </c>
      <c r="AQ50" s="10">
        <f t="shared" si="43"/>
        <v>0.93518832809969832</v>
      </c>
      <c r="AR50" s="77">
        <f t="shared" si="54"/>
        <v>10.513667745103325</v>
      </c>
      <c r="AS50" s="77">
        <f t="shared" si="44"/>
        <v>2.3605676697496185</v>
      </c>
      <c r="AT50" s="10"/>
      <c r="AU50">
        <f t="shared" si="45"/>
        <v>93.518832809969837</v>
      </c>
      <c r="BD50">
        <v>9.9969590000000004</v>
      </c>
      <c r="BE50">
        <v>9.5229999999999997</v>
      </c>
      <c r="BF50">
        <v>5.1087540000000002</v>
      </c>
      <c r="BG50">
        <v>90.547826191651922</v>
      </c>
      <c r="BH50">
        <v>5078.5816240809982</v>
      </c>
    </row>
    <row r="51" spans="1:60" x14ac:dyDescent="0.25">
      <c r="A51" s="36" t="s">
        <v>138</v>
      </c>
      <c r="B51" s="5">
        <f>QgBot*1000000000</f>
        <v>13</v>
      </c>
      <c r="C51" s="473" t="s">
        <v>136</v>
      </c>
      <c r="D51" s="34" t="s">
        <v>180</v>
      </c>
      <c r="G51">
        <v>42</v>
      </c>
      <c r="H51">
        <f t="shared" si="0"/>
        <v>1.89</v>
      </c>
      <c r="I51" s="463">
        <f t="shared" si="1"/>
        <v>0.50220708569598271</v>
      </c>
      <c r="J51" s="464">
        <f t="shared" si="2"/>
        <v>2.2156194957175708</v>
      </c>
      <c r="K51" s="464">
        <f t="shared" si="31"/>
        <v>2.9978097478587853</v>
      </c>
      <c r="L51" s="464">
        <f t="shared" si="32"/>
        <v>0.78219025214121451</v>
      </c>
      <c r="M51" s="77">
        <f t="shared" si="3"/>
        <v>0</v>
      </c>
      <c r="N51" s="463">
        <f t="shared" si="46"/>
        <v>1.9952896562864371</v>
      </c>
      <c r="O51" s="463">
        <f t="shared" si="5"/>
        <v>4.7957459976498709E-2</v>
      </c>
      <c r="P51">
        <f t="shared" si="6"/>
        <v>0.4</v>
      </c>
      <c r="Q51" s="463">
        <f t="shared" si="34"/>
        <v>0.44795745997649872</v>
      </c>
      <c r="R51" s="9">
        <f t="shared" si="39"/>
        <v>0.63959425613716125</v>
      </c>
      <c r="S51" s="9">
        <f t="shared" si="7"/>
        <v>4.0908081248364864E-4</v>
      </c>
      <c r="T51" s="9">
        <f t="shared" si="40"/>
        <v>4.0908081248364864E-4</v>
      </c>
      <c r="U51" s="463">
        <f t="shared" si="47"/>
        <v>1.4139933569384893</v>
      </c>
      <c r="V51" s="465">
        <f t="shared" si="9"/>
        <v>1.999377213466178E-3</v>
      </c>
      <c r="W51" s="463">
        <f t="shared" si="41"/>
        <v>1.999377213466178E-3</v>
      </c>
      <c r="X51" s="463">
        <f t="shared" si="48"/>
        <v>1.4139933569384893</v>
      </c>
      <c r="Y51" s="463">
        <f t="shared" si="11"/>
        <v>4.3986298696255907E-2</v>
      </c>
      <c r="Z51" s="463">
        <f t="shared" si="12"/>
        <v>4.7766337521791671E-2</v>
      </c>
      <c r="AA51" s="463">
        <f t="shared" si="13"/>
        <v>0.15997440000000002</v>
      </c>
      <c r="AB51" s="463">
        <f t="shared" si="14"/>
        <v>0</v>
      </c>
      <c r="AC51" s="463">
        <f t="shared" si="49"/>
        <v>0.25360107159550921</v>
      </c>
      <c r="AD51" s="463">
        <f t="shared" si="50"/>
        <v>1.4077654630716974</v>
      </c>
      <c r="AE51" s="463">
        <f t="shared" si="17"/>
        <v>1.9818035990174704E-2</v>
      </c>
      <c r="AF51" s="463">
        <f t="shared" si="18"/>
        <v>4.0823999999999992E-2</v>
      </c>
      <c r="AG51" s="463">
        <f t="shared" si="51"/>
        <v>6.0834936624331655E-2</v>
      </c>
      <c r="AH51" s="463">
        <f t="shared" si="52"/>
        <v>0</v>
      </c>
      <c r="AI51">
        <f t="shared" si="21"/>
        <v>0</v>
      </c>
      <c r="AJ51" s="464">
        <f t="shared" si="22"/>
        <v>0.47916839999999999</v>
      </c>
      <c r="AK51">
        <f t="shared" si="23"/>
        <v>7.2000000000000008E-2</v>
      </c>
      <c r="AL51" s="464">
        <f t="shared" si="24"/>
        <v>0.22559999999999999</v>
      </c>
      <c r="AM51" s="464">
        <f t="shared" si="25"/>
        <v>0.18424406779661015</v>
      </c>
      <c r="AN51" s="464">
        <f t="shared" si="42"/>
        <v>0.29759999999999998</v>
      </c>
      <c r="AO51" s="464">
        <f t="shared" si="53"/>
        <v>1.5415703262222893</v>
      </c>
      <c r="AP51" s="100">
        <f t="shared" si="27"/>
        <v>22.68</v>
      </c>
      <c r="AQ51" s="10">
        <f t="shared" si="43"/>
        <v>0.93635547549312348</v>
      </c>
      <c r="AR51" s="77">
        <f t="shared" si="54"/>
        <v>10.651245007011386</v>
      </c>
      <c r="AS51" s="77">
        <f t="shared" si="44"/>
        <v>2.4333974649732664</v>
      </c>
      <c r="AT51" s="10"/>
      <c r="AU51">
        <f t="shared" si="45"/>
        <v>93.635547549312349</v>
      </c>
      <c r="BD51">
        <v>9.9964639999999996</v>
      </c>
      <c r="BE51">
        <v>10.493</v>
      </c>
      <c r="BF51">
        <v>5.1092279999999999</v>
      </c>
      <c r="BG51">
        <v>89.626660259106615</v>
      </c>
      <c r="BH51">
        <v>6204.9221585439973</v>
      </c>
    </row>
    <row r="52" spans="1:60" x14ac:dyDescent="0.25">
      <c r="A52" s="36" t="s">
        <v>169</v>
      </c>
      <c r="B52" s="5">
        <f>RGateBot</f>
        <v>1</v>
      </c>
      <c r="C52" s="472" t="s">
        <v>208</v>
      </c>
      <c r="D52" s="34" t="s">
        <v>181</v>
      </c>
      <c r="G52">
        <v>43</v>
      </c>
      <c r="H52">
        <f t="shared" si="0"/>
        <v>1.9350000000000001</v>
      </c>
      <c r="I52" s="463">
        <f t="shared" si="1"/>
        <v>0.50225968624644346</v>
      </c>
      <c r="J52" s="464">
        <f t="shared" si="2"/>
        <v>2.2158515569696031</v>
      </c>
      <c r="K52" s="464">
        <f t="shared" si="31"/>
        <v>3.0429257784848014</v>
      </c>
      <c r="L52" s="464">
        <f t="shared" si="32"/>
        <v>0.82707422151519849</v>
      </c>
      <c r="M52" s="77">
        <f t="shared" si="3"/>
        <v>0</v>
      </c>
      <c r="N52" s="463">
        <f t="shared" si="46"/>
        <v>2.0379871221895356</v>
      </c>
      <c r="O52" s="463">
        <f t="shared" si="5"/>
        <v>5.0040221287578908E-2</v>
      </c>
      <c r="P52">
        <f t="shared" si="6"/>
        <v>0.4</v>
      </c>
      <c r="Q52" s="463">
        <f t="shared" si="34"/>
        <v>0.45004022128757892</v>
      </c>
      <c r="R52" s="9">
        <f t="shared" si="39"/>
        <v>0.63966124645032585</v>
      </c>
      <c r="S52" s="9">
        <f t="shared" si="7"/>
        <v>4.0916651021038455E-4</v>
      </c>
      <c r="T52" s="9">
        <f t="shared" si="40"/>
        <v>4.0916651021038455E-4</v>
      </c>
      <c r="U52" s="463">
        <f t="shared" si="47"/>
        <v>1.4443272194267163</v>
      </c>
      <c r="V52" s="465">
        <f t="shared" si="9"/>
        <v>2.0860811167769102E-3</v>
      </c>
      <c r="W52" s="463">
        <f t="shared" si="41"/>
        <v>2.0860811167769102E-3</v>
      </c>
      <c r="X52" s="463">
        <f t="shared" si="48"/>
        <v>1.4443272194267163</v>
      </c>
      <c r="Y52" s="463">
        <f t="shared" si="11"/>
        <v>4.5893784569092017E-2</v>
      </c>
      <c r="Z52" s="463">
        <f t="shared" si="12"/>
        <v>4.9077115216918404E-2</v>
      </c>
      <c r="AA52" s="463">
        <f t="shared" si="13"/>
        <v>0.15997440000000002</v>
      </c>
      <c r="AB52" s="463">
        <f t="shared" si="14"/>
        <v>0</v>
      </c>
      <c r="AC52" s="463">
        <f t="shared" si="49"/>
        <v>0.25692624113623375</v>
      </c>
      <c r="AD52" s="463">
        <f t="shared" si="50"/>
        <v>1.4378144502798249</v>
      </c>
      <c r="AE52" s="463">
        <f t="shared" si="17"/>
        <v>2.067310393433475E-2</v>
      </c>
      <c r="AF52" s="463">
        <f t="shared" si="18"/>
        <v>4.1796E-2</v>
      </c>
      <c r="AG52" s="463">
        <f t="shared" si="51"/>
        <v>6.2676418512597601E-2</v>
      </c>
      <c r="AH52" s="463">
        <f t="shared" si="52"/>
        <v>0</v>
      </c>
      <c r="AI52">
        <f t="shared" si="21"/>
        <v>0</v>
      </c>
      <c r="AJ52" s="464">
        <f t="shared" si="22"/>
        <v>0.47914859999999998</v>
      </c>
      <c r="AK52">
        <f t="shared" si="23"/>
        <v>7.2000000000000008E-2</v>
      </c>
      <c r="AL52" s="464">
        <f t="shared" si="24"/>
        <v>0.22559999999999999</v>
      </c>
      <c r="AM52" s="464">
        <f t="shared" si="25"/>
        <v>0.18424406779661015</v>
      </c>
      <c r="AN52" s="464">
        <f t="shared" si="42"/>
        <v>0.29759999999999998</v>
      </c>
      <c r="AO52" s="464">
        <f t="shared" si="53"/>
        <v>1.5488867285633976</v>
      </c>
      <c r="AP52" s="100">
        <f t="shared" si="27"/>
        <v>23.22</v>
      </c>
      <c r="AQ52" s="10">
        <f t="shared" si="43"/>
        <v>0.93746643740845947</v>
      </c>
      <c r="AR52" s="77">
        <f t="shared" si="54"/>
        <v>10.790902127721818</v>
      </c>
      <c r="AS52" s="77">
        <f t="shared" si="44"/>
        <v>2.5070567405039039</v>
      </c>
      <c r="AT52" s="10"/>
      <c r="AU52">
        <f t="shared" si="45"/>
        <v>93.746643740845954</v>
      </c>
      <c r="BD52">
        <v>9.9959819999999997</v>
      </c>
      <c r="BE52">
        <v>11.519</v>
      </c>
      <c r="BF52">
        <v>5.1101260000000002</v>
      </c>
      <c r="BG52">
        <v>88.591390420220321</v>
      </c>
      <c r="BH52">
        <v>7580.3207309739973</v>
      </c>
    </row>
    <row r="53" spans="1:60" x14ac:dyDescent="0.25">
      <c r="A53" s="36" t="s">
        <v>144</v>
      </c>
      <c r="B53" s="5">
        <f>VsdBot</f>
        <v>0.9</v>
      </c>
      <c r="C53" s="473" t="s">
        <v>0</v>
      </c>
      <c r="D53" s="34" t="s">
        <v>186</v>
      </c>
      <c r="G53">
        <v>44</v>
      </c>
      <c r="H53">
        <f t="shared" si="0"/>
        <v>1.98</v>
      </c>
      <c r="I53" s="463">
        <f t="shared" si="1"/>
        <v>0.50231228916627457</v>
      </c>
      <c r="J53" s="464">
        <f t="shared" si="2"/>
        <v>2.2160836286747405</v>
      </c>
      <c r="K53" s="464">
        <f t="shared" si="31"/>
        <v>3.0880418143373705</v>
      </c>
      <c r="L53" s="464">
        <f t="shared" si="32"/>
        <v>0.87195818566262973</v>
      </c>
      <c r="M53" s="77">
        <f t="shared" si="3"/>
        <v>0</v>
      </c>
      <c r="N53" s="463">
        <f t="shared" si="46"/>
        <v>2.0807816369752379</v>
      </c>
      <c r="O53" s="463">
        <f t="shared" si="5"/>
        <v>5.2172680629328665E-2</v>
      </c>
      <c r="P53">
        <f t="shared" si="6"/>
        <v>0.4</v>
      </c>
      <c r="Q53" s="463">
        <f t="shared" si="34"/>
        <v>0.45217268062932869</v>
      </c>
      <c r="R53" s="9">
        <f t="shared" si="39"/>
        <v>0.6397282397810421</v>
      </c>
      <c r="S53" s="9">
        <f t="shared" si="7"/>
        <v>4.0925222077335048E-4</v>
      </c>
      <c r="T53" s="9">
        <f t="shared" si="40"/>
        <v>4.0925222077335048E-4</v>
      </c>
      <c r="U53" s="463">
        <f t="shared" si="47"/>
        <v>1.4747330328946002</v>
      </c>
      <c r="V53" s="465">
        <f t="shared" si="9"/>
        <v>2.1748375183105063E-3</v>
      </c>
      <c r="W53" s="463">
        <f t="shared" si="41"/>
        <v>2.1748375183105063E-3</v>
      </c>
      <c r="X53" s="463">
        <f t="shared" si="48"/>
        <v>1.4747330328946002</v>
      </c>
      <c r="Y53" s="463">
        <f t="shared" si="11"/>
        <v>4.7846425402831134E-2</v>
      </c>
      <c r="Z53" s="463">
        <f t="shared" si="12"/>
        <v>5.0387892877516965E-2</v>
      </c>
      <c r="AA53" s="463">
        <f t="shared" si="13"/>
        <v>0.15997440000000002</v>
      </c>
      <c r="AB53" s="463">
        <f t="shared" si="14"/>
        <v>0</v>
      </c>
      <c r="AC53" s="463">
        <f t="shared" si="49"/>
        <v>0.26030107020429971</v>
      </c>
      <c r="AD53" s="463">
        <f t="shared" si="50"/>
        <v>1.4679287116419668</v>
      </c>
      <c r="AE53" s="463">
        <f t="shared" si="17"/>
        <v>2.1548147024628445E-2</v>
      </c>
      <c r="AF53" s="463">
        <f t="shared" si="18"/>
        <v>4.2767999999999994E-2</v>
      </c>
      <c r="AG53" s="463">
        <f t="shared" si="51"/>
        <v>6.4538657180419762E-2</v>
      </c>
      <c r="AH53" s="463">
        <f t="shared" si="52"/>
        <v>0</v>
      </c>
      <c r="AI53">
        <f t="shared" si="21"/>
        <v>0</v>
      </c>
      <c r="AJ53" s="464">
        <f t="shared" si="22"/>
        <v>0.47912880000000002</v>
      </c>
      <c r="AK53">
        <f t="shared" si="23"/>
        <v>7.2000000000000008E-2</v>
      </c>
      <c r="AL53" s="464">
        <f t="shared" si="24"/>
        <v>0.22559999999999999</v>
      </c>
      <c r="AM53" s="464">
        <f t="shared" si="25"/>
        <v>0.18424406779661015</v>
      </c>
      <c r="AN53" s="464">
        <f t="shared" si="42"/>
        <v>0.29759999999999998</v>
      </c>
      <c r="AO53" s="464">
        <f t="shared" si="53"/>
        <v>1.5563252977531321</v>
      </c>
      <c r="AP53" s="100">
        <f t="shared" si="27"/>
        <v>23.759999999999998</v>
      </c>
      <c r="AQ53" s="10">
        <f t="shared" si="43"/>
        <v>0.938524834096232</v>
      </c>
      <c r="AR53" s="77">
        <f t="shared" si="54"/>
        <v>10.932644948580588</v>
      </c>
      <c r="AS53" s="77">
        <f t="shared" si="44"/>
        <v>2.5815462872167902</v>
      </c>
      <c r="AT53" s="10"/>
      <c r="AU53">
        <f t="shared" si="45"/>
        <v>93.852483409623204</v>
      </c>
      <c r="BD53">
        <v>9.9955739999999995</v>
      </c>
      <c r="BE53">
        <v>12.605</v>
      </c>
      <c r="BF53">
        <v>5.1111979999999999</v>
      </c>
      <c r="BG53">
        <v>87.386508098290477</v>
      </c>
      <c r="BH53">
        <v>9299.4335961019988</v>
      </c>
    </row>
    <row r="54" spans="1:60" x14ac:dyDescent="0.25">
      <c r="A54" s="36" t="s">
        <v>145</v>
      </c>
      <c r="B54" s="5">
        <f>QrrBot*1000000000</f>
        <v>50</v>
      </c>
      <c r="C54" s="473" t="s">
        <v>136</v>
      </c>
      <c r="D54" s="34" t="s">
        <v>196</v>
      </c>
      <c r="E54" s="13"/>
      <c r="G54">
        <v>45</v>
      </c>
      <c r="H54">
        <f t="shared" si="0"/>
        <v>2.0249999999999999</v>
      </c>
      <c r="I54" s="463">
        <f t="shared" si="1"/>
        <v>0.50236489445563637</v>
      </c>
      <c r="J54" s="464">
        <f t="shared" si="2"/>
        <v>2.2163157108336899</v>
      </c>
      <c r="K54" s="464">
        <f t="shared" si="31"/>
        <v>3.1331578554168447</v>
      </c>
      <c r="L54" s="464">
        <f t="shared" si="32"/>
        <v>0.91684214458315494</v>
      </c>
      <c r="M54" s="77">
        <f t="shared" si="3"/>
        <v>0</v>
      </c>
      <c r="N54" s="463">
        <f t="shared" si="46"/>
        <v>2.1236673336881227</v>
      </c>
      <c r="O54" s="463">
        <f t="shared" si="5"/>
        <v>5.4354888320964023E-2</v>
      </c>
      <c r="P54">
        <f t="shared" si="6"/>
        <v>0.4</v>
      </c>
      <c r="Q54" s="463">
        <f t="shared" si="34"/>
        <v>0.45435488832096405</v>
      </c>
      <c r="R54" s="9">
        <f t="shared" si="39"/>
        <v>0.63979523612951383</v>
      </c>
      <c r="S54" s="9">
        <f t="shared" si="7"/>
        <v>4.0933794417402039E-4</v>
      </c>
      <c r="T54" s="9">
        <f t="shared" si="40"/>
        <v>4.0933794417402039E-4</v>
      </c>
      <c r="U54" s="463">
        <f t="shared" si="47"/>
        <v>1.5052066497490679</v>
      </c>
      <c r="V54" s="465">
        <f t="shared" si="9"/>
        <v>2.2656470584488135E-3</v>
      </c>
      <c r="W54" s="463">
        <f t="shared" si="41"/>
        <v>2.2656470584488135E-3</v>
      </c>
      <c r="X54" s="463">
        <f t="shared" si="48"/>
        <v>1.5052066497490679</v>
      </c>
      <c r="Y54" s="463">
        <f t="shared" si="11"/>
        <v>4.9844235285873888E-2</v>
      </c>
      <c r="Z54" s="463">
        <f t="shared" si="12"/>
        <v>5.169867050358503E-2</v>
      </c>
      <c r="AA54" s="463">
        <f t="shared" si="13"/>
        <v>0.15997440000000002</v>
      </c>
      <c r="AB54" s="463">
        <f t="shared" si="14"/>
        <v>0</v>
      </c>
      <c r="AC54" s="463">
        <f t="shared" si="49"/>
        <v>0.26372570037400167</v>
      </c>
      <c r="AD54" s="463">
        <f t="shared" si="50"/>
        <v>1.4981040970924575</v>
      </c>
      <c r="AE54" s="463">
        <f t="shared" si="17"/>
        <v>2.2443158857252073E-2</v>
      </c>
      <c r="AF54" s="463">
        <f t="shared" si="18"/>
        <v>4.3739999999999994E-2</v>
      </c>
      <c r="AG54" s="463">
        <f t="shared" si="51"/>
        <v>6.6421672801933382E-2</v>
      </c>
      <c r="AH54" s="463">
        <f t="shared" si="52"/>
        <v>0</v>
      </c>
      <c r="AI54">
        <f t="shared" si="21"/>
        <v>0</v>
      </c>
      <c r="AJ54" s="464">
        <f t="shared" si="22"/>
        <v>0.47910900000000001</v>
      </c>
      <c r="AK54">
        <f t="shared" si="23"/>
        <v>7.2000000000000008E-2</v>
      </c>
      <c r="AL54" s="464">
        <f t="shared" si="24"/>
        <v>0.22559999999999999</v>
      </c>
      <c r="AM54" s="464">
        <f t="shared" si="25"/>
        <v>0.18424406779661015</v>
      </c>
      <c r="AN54" s="464">
        <f t="shared" si="42"/>
        <v>0.29759999999999998</v>
      </c>
      <c r="AO54" s="464">
        <f t="shared" si="53"/>
        <v>1.5638862464995218</v>
      </c>
      <c r="AP54" s="100">
        <f t="shared" si="27"/>
        <v>24.299999999999997</v>
      </c>
      <c r="AQ54" s="10">
        <f t="shared" si="43"/>
        <v>0.93953398064023808</v>
      </c>
      <c r="AR54" s="77">
        <f t="shared" si="54"/>
        <v>11.07647941570807</v>
      </c>
      <c r="AS54" s="77">
        <f t="shared" si="44"/>
        <v>2.6568669120773354</v>
      </c>
      <c r="AT54" s="10"/>
      <c r="AU54">
        <f t="shared" si="45"/>
        <v>93.953398064023801</v>
      </c>
      <c r="BD54">
        <v>9.9949670000000008</v>
      </c>
      <c r="BE54">
        <v>13.75</v>
      </c>
      <c r="BF54">
        <v>5.1122329999999998</v>
      </c>
      <c r="BG54">
        <v>85.985113444924963</v>
      </c>
      <c r="BH54">
        <v>11457.230537720005</v>
      </c>
    </row>
    <row r="55" spans="1:60" x14ac:dyDescent="0.25">
      <c r="A55" s="36" t="s">
        <v>146</v>
      </c>
      <c r="B55" s="5">
        <f>TrrBot*1000000000</f>
        <v>40</v>
      </c>
      <c r="C55" s="473" t="s">
        <v>147</v>
      </c>
      <c r="D55" s="34" t="s">
        <v>187</v>
      </c>
      <c r="E55" s="13"/>
      <c r="G55">
        <v>46</v>
      </c>
      <c r="H55">
        <f t="shared" si="0"/>
        <v>2.0700000000000003</v>
      </c>
      <c r="I55" s="463">
        <f t="shared" si="1"/>
        <v>0.50241750211468861</v>
      </c>
      <c r="J55" s="464">
        <f t="shared" si="2"/>
        <v>2.2165478034471553</v>
      </c>
      <c r="K55" s="464">
        <f t="shared" si="31"/>
        <v>3.1782739017235779</v>
      </c>
      <c r="L55" s="464">
        <f t="shared" si="32"/>
        <v>0.96172609827642264</v>
      </c>
      <c r="M55" s="77">
        <f t="shared" si="3"/>
        <v>0</v>
      </c>
      <c r="N55" s="463">
        <f t="shared" si="46"/>
        <v>2.1666387978649948</v>
      </c>
      <c r="O55" s="463">
        <f t="shared" si="5"/>
        <v>5.6586895882093251E-2</v>
      </c>
      <c r="P55">
        <f t="shared" si="6"/>
        <v>0.4</v>
      </c>
      <c r="Q55" s="463">
        <f t="shared" si="34"/>
        <v>0.45658689588209328</v>
      </c>
      <c r="R55" s="9">
        <f t="shared" si="39"/>
        <v>0.63986223549594445</v>
      </c>
      <c r="S55" s="9">
        <f t="shared" si="7"/>
        <v>4.0942368041386746E-4</v>
      </c>
      <c r="T55" s="9">
        <f t="shared" si="40"/>
        <v>4.0942368041386746E-4</v>
      </c>
      <c r="U55" s="463">
        <f t="shared" si="47"/>
        <v>1.5357442422589018</v>
      </c>
      <c r="V55" s="465">
        <f t="shared" si="9"/>
        <v>2.3585103776313687E-3</v>
      </c>
      <c r="W55" s="463">
        <f t="shared" si="41"/>
        <v>2.3585103776313687E-3</v>
      </c>
      <c r="X55" s="463">
        <f t="shared" si="48"/>
        <v>1.5357442422589018</v>
      </c>
      <c r="Y55" s="463">
        <f t="shared" si="11"/>
        <v>5.188722830789011E-2</v>
      </c>
      <c r="Z55" s="463">
        <f t="shared" si="12"/>
        <v>5.3009448095120287E-2</v>
      </c>
      <c r="AA55" s="463">
        <f t="shared" si="13"/>
        <v>0.15997440000000002</v>
      </c>
      <c r="AB55" s="463">
        <f t="shared" si="14"/>
        <v>0</v>
      </c>
      <c r="AC55" s="463">
        <f t="shared" si="49"/>
        <v>0.26720027573041732</v>
      </c>
      <c r="AD55" s="463">
        <f t="shared" si="50"/>
        <v>1.5283367766243479</v>
      </c>
      <c r="AE55" s="463">
        <f t="shared" si="17"/>
        <v>2.3358133027825016E-2</v>
      </c>
      <c r="AF55" s="463">
        <f t="shared" si="18"/>
        <v>4.4712000000000002E-2</v>
      </c>
      <c r="AG55" s="463">
        <f t="shared" si="51"/>
        <v>6.8325485954242621E-2</v>
      </c>
      <c r="AH55" s="463">
        <f t="shared" si="52"/>
        <v>0</v>
      </c>
      <c r="AI55">
        <f t="shared" si="21"/>
        <v>0</v>
      </c>
      <c r="AJ55" s="464">
        <f t="shared" si="22"/>
        <v>0.47908920000000005</v>
      </c>
      <c r="AK55">
        <f t="shared" si="23"/>
        <v>7.2000000000000008E-2</v>
      </c>
      <c r="AL55" s="464">
        <f t="shared" si="24"/>
        <v>0.22559999999999999</v>
      </c>
      <c r="AM55" s="464">
        <f t="shared" si="25"/>
        <v>0.18424406779661015</v>
      </c>
      <c r="AN55" s="464">
        <f t="shared" si="42"/>
        <v>0.29759999999999998</v>
      </c>
      <c r="AO55" s="464">
        <f t="shared" si="53"/>
        <v>1.5715697916247984</v>
      </c>
      <c r="AP55" s="100">
        <f t="shared" si="27"/>
        <v>24.840000000000003</v>
      </c>
      <c r="AQ55" s="10">
        <f t="shared" si="43"/>
        <v>0.94049691843295324</v>
      </c>
      <c r="AR55" s="77">
        <f t="shared" si="54"/>
        <v>11.222411580677528</v>
      </c>
      <c r="AS55" s="77">
        <f t="shared" si="44"/>
        <v>2.7330194381697046</v>
      </c>
      <c r="AT55" s="10"/>
      <c r="AU55">
        <f t="shared" si="45"/>
        <v>94.049691843295321</v>
      </c>
      <c r="BD55">
        <v>9.9943860000000004</v>
      </c>
      <c r="BE55">
        <v>14.954000000000001</v>
      </c>
      <c r="BF55">
        <v>5.1130310000000003</v>
      </c>
      <c r="BG55">
        <v>84.352650264578628</v>
      </c>
      <c r="BH55">
        <v>14183.318533699994</v>
      </c>
    </row>
    <row r="56" spans="1:60" ht="13" x14ac:dyDescent="0.3">
      <c r="A56" s="36" t="s">
        <v>160</v>
      </c>
      <c r="B56" s="5">
        <f>ThetaJaBot</f>
        <v>40</v>
      </c>
      <c r="C56" s="473" t="s">
        <v>381</v>
      </c>
      <c r="D56" s="34" t="s">
        <v>184</v>
      </c>
      <c r="E56" s="62"/>
      <c r="G56">
        <v>47</v>
      </c>
      <c r="H56">
        <f t="shared" si="0"/>
        <v>2.1149999999999998</v>
      </c>
      <c r="I56" s="463">
        <f t="shared" si="1"/>
        <v>0.50247011214359194</v>
      </c>
      <c r="J56" s="464">
        <f t="shared" si="2"/>
        <v>2.2167799065158467</v>
      </c>
      <c r="K56" s="464">
        <f t="shared" si="31"/>
        <v>3.2233899532579233</v>
      </c>
      <c r="L56" s="464">
        <f t="shared" si="32"/>
        <v>1.0066100467420764</v>
      </c>
      <c r="M56" s="77">
        <f t="shared" si="3"/>
        <v>0</v>
      </c>
      <c r="N56" s="463">
        <f t="shared" si="46"/>
        <v>2.2096910257984863</v>
      </c>
      <c r="O56" s="463">
        <f t="shared" si="5"/>
        <v>5.8868756035773073E-2</v>
      </c>
      <c r="P56">
        <f t="shared" si="6"/>
        <v>0.4</v>
      </c>
      <c r="Q56" s="463">
        <f t="shared" si="34"/>
        <v>0.4588687560357731</v>
      </c>
      <c r="R56" s="9">
        <f t="shared" si="39"/>
        <v>0.63992923788053879</v>
      </c>
      <c r="S56" s="9">
        <f t="shared" si="7"/>
        <v>4.0950942949436722E-4</v>
      </c>
      <c r="T56" s="9">
        <f t="shared" si="40"/>
        <v>4.0950942949436722E-4</v>
      </c>
      <c r="U56" s="463">
        <f t="shared" si="47"/>
        <v>1.5663422730538212</v>
      </c>
      <c r="V56" s="465">
        <f t="shared" si="9"/>
        <v>2.4534281163554115E-3</v>
      </c>
      <c r="W56" s="463">
        <f t="shared" si="41"/>
        <v>2.4534281163554115E-3</v>
      </c>
      <c r="X56" s="463">
        <f t="shared" si="48"/>
        <v>1.5663422730538212</v>
      </c>
      <c r="Y56" s="463">
        <f t="shared" si="11"/>
        <v>5.3975418559819056E-2</v>
      </c>
      <c r="Z56" s="463">
        <f t="shared" si="12"/>
        <v>5.4320225652120371E-2</v>
      </c>
      <c r="AA56" s="463">
        <f t="shared" si="13"/>
        <v>0.15997440000000002</v>
      </c>
      <c r="AB56" s="463">
        <f t="shared" si="14"/>
        <v>0</v>
      </c>
      <c r="AC56" s="463">
        <f t="shared" si="49"/>
        <v>0.27072494288589005</v>
      </c>
      <c r="AD56" s="463">
        <f t="shared" si="50"/>
        <v>1.5586232107661411</v>
      </c>
      <c r="AE56" s="463">
        <f t="shared" si="17"/>
        <v>2.4293063131389549E-2</v>
      </c>
      <c r="AF56" s="463">
        <f t="shared" si="18"/>
        <v>4.5683999999999989E-2</v>
      </c>
      <c r="AG56" s="463">
        <f t="shared" si="51"/>
        <v>7.0250117618155208E-2</v>
      </c>
      <c r="AH56" s="463">
        <f t="shared" si="52"/>
        <v>0</v>
      </c>
      <c r="AI56">
        <f t="shared" si="21"/>
        <v>0</v>
      </c>
      <c r="AJ56" s="464">
        <f t="shared" si="22"/>
        <v>0.47906939999999998</v>
      </c>
      <c r="AK56">
        <f t="shared" si="23"/>
        <v>7.2000000000000008E-2</v>
      </c>
      <c r="AL56" s="464">
        <f t="shared" si="24"/>
        <v>0.22559999999999999</v>
      </c>
      <c r="AM56" s="464">
        <f t="shared" si="25"/>
        <v>0.18424406779661015</v>
      </c>
      <c r="AN56" s="464">
        <f t="shared" si="42"/>
        <v>0.29759999999999998</v>
      </c>
      <c r="AO56" s="464">
        <f t="shared" si="53"/>
        <v>1.5793761540856681</v>
      </c>
      <c r="AP56" s="100">
        <f t="shared" si="27"/>
        <v>25.379999999999995</v>
      </c>
      <c r="AQ56" s="10">
        <f t="shared" si="43"/>
        <v>0.94141644283388526</v>
      </c>
      <c r="AR56" s="77">
        <f t="shared" si="54"/>
        <v>11.370447601207383</v>
      </c>
      <c r="AS56" s="77">
        <f t="shared" si="44"/>
        <v>2.8100047047262082</v>
      </c>
      <c r="AT56" s="10"/>
      <c r="AU56">
        <f t="shared" si="45"/>
        <v>94.14164428338853</v>
      </c>
      <c r="BE56" s="31"/>
      <c r="BF56" s="32"/>
    </row>
    <row r="57" spans="1:60" ht="13" x14ac:dyDescent="0.3">
      <c r="A57" s="37" t="s">
        <v>364</v>
      </c>
      <c r="B57" s="28" t="s">
        <v>201</v>
      </c>
      <c r="C57" s="37" t="s">
        <v>148</v>
      </c>
      <c r="D57" s="542" t="s">
        <v>391</v>
      </c>
      <c r="E57" s="53"/>
      <c r="G57">
        <v>48</v>
      </c>
      <c r="H57">
        <f t="shared" si="0"/>
        <v>2.16</v>
      </c>
      <c r="I57" s="463">
        <f t="shared" si="1"/>
        <v>0.50252272454250579</v>
      </c>
      <c r="J57" s="464">
        <f t="shared" si="2"/>
        <v>2.2170120200404666</v>
      </c>
      <c r="K57" s="464">
        <f t="shared" si="31"/>
        <v>3.2685060100202334</v>
      </c>
      <c r="L57" s="464">
        <f t="shared" si="32"/>
        <v>1.0514939899797668</v>
      </c>
      <c r="M57" s="77">
        <f t="shared" si="3"/>
        <v>0</v>
      </c>
      <c r="N57" s="463">
        <f t="shared" si="46"/>
        <v>2.2528193872161597</v>
      </c>
      <c r="O57" s="463">
        <f t="shared" si="5"/>
        <v>6.1200522711639102E-2</v>
      </c>
      <c r="P57">
        <f t="shared" si="6"/>
        <v>0.4</v>
      </c>
      <c r="Q57" s="463">
        <f t="shared" si="34"/>
        <v>0.46120052271163914</v>
      </c>
      <c r="R57" s="9">
        <f t="shared" si="39"/>
        <v>0.63999624328349969</v>
      </c>
      <c r="S57" s="9">
        <f t="shared" si="7"/>
        <v>4.0959519141699251E-4</v>
      </c>
      <c r="T57" s="9">
        <f t="shared" si="40"/>
        <v>4.0959519141699251E-4</v>
      </c>
      <c r="U57" s="463">
        <f t="shared" si="47"/>
        <v>1.5969974687443595</v>
      </c>
      <c r="V57" s="465">
        <f t="shared" si="9"/>
        <v>2.5504009151758916E-3</v>
      </c>
      <c r="W57" s="463">
        <f t="shared" si="41"/>
        <v>2.5504009151758916E-3</v>
      </c>
      <c r="X57" s="463">
        <f t="shared" si="48"/>
        <v>1.5969974687443595</v>
      </c>
      <c r="Y57" s="463">
        <f t="shared" si="11"/>
        <v>5.6108820133869614E-2</v>
      </c>
      <c r="Z57" s="463">
        <f t="shared" si="12"/>
        <v>5.5631003174582978E-2</v>
      </c>
      <c r="AA57" s="463">
        <f t="shared" si="13"/>
        <v>0.15997440000000002</v>
      </c>
      <c r="AB57" s="463">
        <f t="shared" si="14"/>
        <v>0</v>
      </c>
      <c r="AC57" s="463">
        <f t="shared" si="49"/>
        <v>0.2742998509968439</v>
      </c>
      <c r="AD57" s="463">
        <f t="shared" si="50"/>
        <v>1.5889601241821967</v>
      </c>
      <c r="AE57" s="463">
        <f t="shared" si="17"/>
        <v>2.5247942762411019E-2</v>
      </c>
      <c r="AF57" s="463">
        <f t="shared" si="18"/>
        <v>4.6655999999999996E-2</v>
      </c>
      <c r="AG57" s="463">
        <f t="shared" si="51"/>
        <v>7.2195589178937161E-2</v>
      </c>
      <c r="AH57" s="463">
        <f t="shared" si="52"/>
        <v>0</v>
      </c>
      <c r="AI57">
        <f t="shared" si="21"/>
        <v>0</v>
      </c>
      <c r="AJ57" s="464">
        <f t="shared" si="22"/>
        <v>0.47904960000000002</v>
      </c>
      <c r="AK57">
        <f t="shared" si="23"/>
        <v>7.2000000000000008E-2</v>
      </c>
      <c r="AL57" s="464">
        <f t="shared" si="24"/>
        <v>0.22559999999999999</v>
      </c>
      <c r="AM57" s="464">
        <f t="shared" si="25"/>
        <v>0.18424406779661015</v>
      </c>
      <c r="AN57" s="464">
        <f t="shared" si="42"/>
        <v>0.29759999999999998</v>
      </c>
      <c r="AO57" s="464">
        <f t="shared" si="53"/>
        <v>1.587305558994013</v>
      </c>
      <c r="AP57" s="100">
        <f t="shared" si="27"/>
        <v>25.92</v>
      </c>
      <c r="AQ57" s="10">
        <f t="shared" si="43"/>
        <v>0.9422951275402176</v>
      </c>
      <c r="AR57" s="77">
        <f t="shared" si="54"/>
        <v>11.520593741867444</v>
      </c>
      <c r="AS57" s="77">
        <f t="shared" si="44"/>
        <v>2.8878235671574863</v>
      </c>
      <c r="AT57" s="10"/>
      <c r="AU57">
        <f t="shared" si="45"/>
        <v>94.229512754021755</v>
      </c>
      <c r="BE57" s="31"/>
      <c r="BF57" s="32"/>
    </row>
    <row r="58" spans="1:60" x14ac:dyDescent="0.25">
      <c r="A58" s="36" t="s">
        <v>365</v>
      </c>
      <c r="B58" s="136">
        <f>VfdSky</f>
        <v>0</v>
      </c>
      <c r="C58" s="473" t="s">
        <v>0</v>
      </c>
      <c r="D58" s="34" t="s">
        <v>368</v>
      </c>
      <c r="E58" s="53"/>
      <c r="G58">
        <v>49</v>
      </c>
      <c r="H58">
        <f t="shared" si="0"/>
        <v>2.2050000000000001</v>
      </c>
      <c r="I58" s="463">
        <f t="shared" si="1"/>
        <v>0.50257533931159104</v>
      </c>
      <c r="J58" s="464">
        <f t="shared" si="2"/>
        <v>2.2172441440217252</v>
      </c>
      <c r="K58" s="464">
        <f t="shared" si="31"/>
        <v>3.3136220720108627</v>
      </c>
      <c r="L58" s="464">
        <f t="shared" si="32"/>
        <v>1.0963779279891375</v>
      </c>
      <c r="M58" s="77">
        <f t="shared" si="3"/>
        <v>0</v>
      </c>
      <c r="N58" s="463">
        <f t="shared" si="46"/>
        <v>2.2960195918552655</v>
      </c>
      <c r="O58" s="463">
        <f t="shared" si="5"/>
        <v>6.3582251049109625E-2</v>
      </c>
      <c r="P58">
        <f t="shared" si="6"/>
        <v>0.4</v>
      </c>
      <c r="Q58" s="463">
        <f t="shared" si="34"/>
        <v>0.46358225104910966</v>
      </c>
      <c r="R58" s="9">
        <f t="shared" si="39"/>
        <v>0.6400632517050322</v>
      </c>
      <c r="S58" s="9">
        <f t="shared" si="7"/>
        <v>4.0968096618321942E-4</v>
      </c>
      <c r="T58" s="9">
        <f t="shared" si="40"/>
        <v>4.0968096618321942E-4</v>
      </c>
      <c r="U58" s="463">
        <f t="shared" si="47"/>
        <v>1.6277067962951652</v>
      </c>
      <c r="V58" s="465">
        <f t="shared" si="9"/>
        <v>2.6494294147054705E-3</v>
      </c>
      <c r="W58" s="463">
        <f t="shared" si="41"/>
        <v>2.6494294147054705E-3</v>
      </c>
      <c r="X58" s="463">
        <f t="shared" si="48"/>
        <v>1.6277067962951652</v>
      </c>
      <c r="Y58" s="463">
        <f t="shared" si="11"/>
        <v>5.8287447123520346E-2</v>
      </c>
      <c r="Z58" s="463">
        <f t="shared" si="12"/>
        <v>5.6941780662505763E-2</v>
      </c>
      <c r="AA58" s="463">
        <f t="shared" si="13"/>
        <v>0.15997440000000002</v>
      </c>
      <c r="AB58" s="463">
        <f t="shared" si="14"/>
        <v>0</v>
      </c>
      <c r="AC58" s="463">
        <f t="shared" si="49"/>
        <v>0.27792515178093236</v>
      </c>
      <c r="AD58" s="463">
        <f t="shared" si="50"/>
        <v>1.6193444820289935</v>
      </c>
      <c r="AE58" s="463">
        <f t="shared" si="17"/>
        <v>2.622276551477749E-2</v>
      </c>
      <c r="AF58" s="463">
        <f t="shared" si="18"/>
        <v>4.7627999999999997E-2</v>
      </c>
      <c r="AG58" s="463">
        <f t="shared" si="51"/>
        <v>7.4161922427086371E-2</v>
      </c>
      <c r="AH58" s="463">
        <f t="shared" si="52"/>
        <v>0</v>
      </c>
      <c r="AI58">
        <f t="shared" si="21"/>
        <v>0</v>
      </c>
      <c r="AJ58" s="464">
        <f t="shared" si="22"/>
        <v>0.47902980000000001</v>
      </c>
      <c r="AK58">
        <f t="shared" si="23"/>
        <v>7.2000000000000008E-2</v>
      </c>
      <c r="AL58" s="464">
        <f t="shared" si="24"/>
        <v>0.22559999999999999</v>
      </c>
      <c r="AM58" s="464">
        <f t="shared" si="25"/>
        <v>0.18424406779661015</v>
      </c>
      <c r="AN58" s="464">
        <f t="shared" si="42"/>
        <v>0.29759999999999998</v>
      </c>
      <c r="AO58" s="464">
        <f t="shared" si="53"/>
        <v>1.5953582356380172</v>
      </c>
      <c r="AP58" s="100">
        <f t="shared" si="27"/>
        <v>26.46</v>
      </c>
      <c r="AQ58" s="10">
        <f t="shared" si="43"/>
        <v>0.94313534611682581</v>
      </c>
      <c r="AR58" s="77">
        <f t="shared" si="54"/>
        <v>11.672856374799158</v>
      </c>
      <c r="AS58" s="77">
        <f t="shared" si="44"/>
        <v>2.9664768970834547</v>
      </c>
      <c r="AT58" s="10"/>
      <c r="AU58">
        <f t="shared" si="45"/>
        <v>94.313534611682584</v>
      </c>
      <c r="BE58" s="31"/>
      <c r="BF58" s="32"/>
    </row>
    <row r="59" spans="1:60" x14ac:dyDescent="0.25">
      <c r="A59" s="36" t="s">
        <v>366</v>
      </c>
      <c r="B59" s="136">
        <f>QrrSky</f>
        <v>0</v>
      </c>
      <c r="C59" s="473" t="s">
        <v>136</v>
      </c>
      <c r="D59" s="34" t="s">
        <v>369</v>
      </c>
      <c r="E59" s="53"/>
      <c r="G59">
        <v>50</v>
      </c>
      <c r="H59">
        <f t="shared" si="0"/>
        <v>2.25</v>
      </c>
      <c r="I59" s="463">
        <f t="shared" si="1"/>
        <v>0.50262795645100733</v>
      </c>
      <c r="J59" s="464">
        <f t="shared" si="2"/>
        <v>2.2174762784603264</v>
      </c>
      <c r="K59" s="464">
        <f t="shared" si="31"/>
        <v>3.3587381392301632</v>
      </c>
      <c r="L59" s="464">
        <f t="shared" si="32"/>
        <v>1.1412618607698368</v>
      </c>
      <c r="M59" s="77">
        <f t="shared" si="3"/>
        <v>0</v>
      </c>
      <c r="N59" s="463">
        <f t="shared" si="46"/>
        <v>2.3392876594798087</v>
      </c>
      <c r="O59" s="463">
        <f t="shared" si="5"/>
        <v>6.6013997400664562E-2</v>
      </c>
      <c r="P59">
        <f t="shared" si="6"/>
        <v>0.4</v>
      </c>
      <c r="Q59" s="463">
        <f t="shared" si="34"/>
        <v>0.46601399740066457</v>
      </c>
      <c r="R59" s="9">
        <f t="shared" si="39"/>
        <v>0.6401302631453395</v>
      </c>
      <c r="S59" s="9">
        <f t="shared" si="7"/>
        <v>4.0976675379452159E-4</v>
      </c>
      <c r="T59" s="9">
        <f t="shared" si="40"/>
        <v>4.0976675379452159E-4</v>
      </c>
      <c r="U59" s="463">
        <f t="shared" si="47"/>
        <v>1.6584674418313214</v>
      </c>
      <c r="V59" s="465">
        <f t="shared" si="9"/>
        <v>2.7505142556145277E-3</v>
      </c>
      <c r="W59" s="463">
        <f t="shared" si="41"/>
        <v>2.7505142556145277E-3</v>
      </c>
      <c r="X59" s="463">
        <f t="shared" si="48"/>
        <v>1.6584674418313214</v>
      </c>
      <c r="Y59" s="463">
        <f t="shared" si="11"/>
        <v>6.0511313623519608E-2</v>
      </c>
      <c r="Z59" s="463">
        <f t="shared" si="12"/>
        <v>5.8252558115886373E-2</v>
      </c>
      <c r="AA59" s="463">
        <f t="shared" si="13"/>
        <v>0.15997440000000002</v>
      </c>
      <c r="AB59" s="463">
        <f t="shared" si="14"/>
        <v>0</v>
      </c>
      <c r="AC59" s="463">
        <f t="shared" si="49"/>
        <v>0.28160099953452711</v>
      </c>
      <c r="AD59" s="463">
        <f t="shared" si="50"/>
        <v>1.6497734687465408</v>
      </c>
      <c r="AE59" s="463">
        <f t="shared" si="17"/>
        <v>2.7217524981799936E-2</v>
      </c>
      <c r="AF59" s="463">
        <f t="shared" si="18"/>
        <v>4.8599999999999997E-2</v>
      </c>
      <c r="AG59" s="463">
        <f t="shared" si="51"/>
        <v>7.6149139559126833E-2</v>
      </c>
      <c r="AH59" s="463">
        <f t="shared" si="52"/>
        <v>0</v>
      </c>
      <c r="AI59">
        <f t="shared" si="21"/>
        <v>0</v>
      </c>
      <c r="AJ59" s="464">
        <f t="shared" si="22"/>
        <v>0.47901000000000005</v>
      </c>
      <c r="AK59">
        <f t="shared" si="23"/>
        <v>7.2000000000000008E-2</v>
      </c>
      <c r="AL59" s="464">
        <f t="shared" si="24"/>
        <v>0.22559999999999999</v>
      </c>
      <c r="AM59" s="464">
        <f t="shared" si="25"/>
        <v>0.18424406779661015</v>
      </c>
      <c r="AN59" s="464">
        <f t="shared" si="42"/>
        <v>0.29759999999999998</v>
      </c>
      <c r="AO59" s="464">
        <f t="shared" si="53"/>
        <v>1.6035344175037278</v>
      </c>
      <c r="AP59" s="100">
        <f t="shared" si="27"/>
        <v>27</v>
      </c>
      <c r="AQ59" s="10">
        <f t="shared" si="43"/>
        <v>0.94393929106458763</v>
      </c>
      <c r="AR59" s="77">
        <f t="shared" si="54"/>
        <v>11.827241980450138</v>
      </c>
      <c r="AS59" s="77">
        <f t="shared" si="44"/>
        <v>3.0459655823650733</v>
      </c>
      <c r="AT59" s="10"/>
      <c r="AU59">
        <f t="shared" si="45"/>
        <v>94.393929106458756</v>
      </c>
      <c r="BE59" s="31"/>
      <c r="BF59" s="32"/>
    </row>
    <row r="60" spans="1:60" ht="13" x14ac:dyDescent="0.3">
      <c r="A60" s="36" t="s">
        <v>367</v>
      </c>
      <c r="B60" s="136">
        <f>Ireverse</f>
        <v>0</v>
      </c>
      <c r="C60" s="473" t="s">
        <v>135</v>
      </c>
      <c r="D60" s="34" t="s">
        <v>370</v>
      </c>
      <c r="E60" s="62"/>
      <c r="G60">
        <v>51</v>
      </c>
      <c r="H60">
        <f t="shared" si="0"/>
        <v>2.2949999999999999</v>
      </c>
      <c r="I60" s="463">
        <f t="shared" si="1"/>
        <v>0.50268057596091509</v>
      </c>
      <c r="J60" s="464">
        <f t="shared" si="2"/>
        <v>2.2177084233569779</v>
      </c>
      <c r="K60" s="464">
        <f t="shared" si="31"/>
        <v>3.4038542116784889</v>
      </c>
      <c r="L60" s="464">
        <f t="shared" si="32"/>
        <v>1.186145788321511</v>
      </c>
      <c r="M60" s="77">
        <f t="shared" si="3"/>
        <v>0</v>
      </c>
      <c r="N60" s="463">
        <f t="shared" si="46"/>
        <v>2.3826198929439784</v>
      </c>
      <c r="O60" s="463">
        <f t="shared" si="5"/>
        <v>6.849581933519884E-2</v>
      </c>
      <c r="P60">
        <f t="shared" si="6"/>
        <v>0.4</v>
      </c>
      <c r="Q60" s="463">
        <f t="shared" si="34"/>
        <v>0.46849581933519885</v>
      </c>
      <c r="R60" s="9">
        <f t="shared" si="39"/>
        <v>0.64019727760462586</v>
      </c>
      <c r="S60" s="9">
        <f t="shared" si="7"/>
        <v>4.098525542523744E-4</v>
      </c>
      <c r="T60" s="9">
        <f t="shared" si="40"/>
        <v>4.098525542523744E-4</v>
      </c>
      <c r="U60" s="463">
        <f t="shared" si="47"/>
        <v>1.6892767915978644</v>
      </c>
      <c r="V60" s="465">
        <f t="shared" si="9"/>
        <v>2.8536560786311745E-3</v>
      </c>
      <c r="W60" s="463">
        <f t="shared" si="41"/>
        <v>2.8536560786311745E-3</v>
      </c>
      <c r="X60" s="463">
        <f t="shared" si="48"/>
        <v>1.6892767915978644</v>
      </c>
      <c r="Y60" s="463">
        <f t="shared" si="11"/>
        <v>6.2780433729885829E-2</v>
      </c>
      <c r="Z60" s="463">
        <f t="shared" si="12"/>
        <v>5.9563335534722497E-2</v>
      </c>
      <c r="AA60" s="463">
        <f t="shared" si="13"/>
        <v>0.15997440000000002</v>
      </c>
      <c r="AB60" s="463">
        <f t="shared" si="14"/>
        <v>0</v>
      </c>
      <c r="AC60" s="463">
        <f t="shared" si="49"/>
        <v>0.2853275511505497</v>
      </c>
      <c r="AD60" s="463">
        <f t="shared" si="50"/>
        <v>1.6802444690047935</v>
      </c>
      <c r="AE60" s="463">
        <f t="shared" si="17"/>
        <v>2.8232214756212005E-2</v>
      </c>
      <c r="AF60" s="463">
        <f t="shared" si="18"/>
        <v>4.9571999999999991E-2</v>
      </c>
      <c r="AG60" s="463">
        <f t="shared" si="51"/>
        <v>7.815726317842174E-2</v>
      </c>
      <c r="AH60" s="463">
        <f t="shared" si="52"/>
        <v>0</v>
      </c>
      <c r="AI60">
        <f t="shared" si="21"/>
        <v>0</v>
      </c>
      <c r="AJ60" s="464">
        <f t="shared" si="22"/>
        <v>0.47899020000000003</v>
      </c>
      <c r="AK60">
        <f t="shared" si="23"/>
        <v>7.2000000000000008E-2</v>
      </c>
      <c r="AL60" s="464">
        <f t="shared" si="24"/>
        <v>0.22559999999999999</v>
      </c>
      <c r="AM60" s="464">
        <f t="shared" si="25"/>
        <v>0.18424406779661015</v>
      </c>
      <c r="AN60" s="464">
        <f t="shared" si="42"/>
        <v>0.29759999999999998</v>
      </c>
      <c r="AO60" s="464">
        <f t="shared" si="53"/>
        <v>1.6118343422970538</v>
      </c>
      <c r="AP60" s="100">
        <f t="shared" si="27"/>
        <v>27.54</v>
      </c>
      <c r="AQ60" s="10">
        <f t="shared" si="43"/>
        <v>0.94470899074922332</v>
      </c>
      <c r="AR60" s="77">
        <f t="shared" si="54"/>
        <v>11.983757148323088</v>
      </c>
      <c r="AS60" s="77">
        <f t="shared" si="44"/>
        <v>3.1262905271368697</v>
      </c>
      <c r="AT60" s="10"/>
      <c r="AU60">
        <f t="shared" si="45"/>
        <v>94.470899074922329</v>
      </c>
      <c r="BE60" s="31"/>
      <c r="BF60" s="32"/>
    </row>
    <row r="61" spans="1:60" ht="13" x14ac:dyDescent="0.3">
      <c r="A61" s="37" t="s">
        <v>209</v>
      </c>
      <c r="B61" s="28" t="s">
        <v>201</v>
      </c>
      <c r="C61" s="37" t="s">
        <v>148</v>
      </c>
      <c r="D61" s="542" t="s">
        <v>391</v>
      </c>
      <c r="E61" s="13"/>
      <c r="G61">
        <v>52</v>
      </c>
      <c r="H61">
        <f t="shared" si="0"/>
        <v>2.34</v>
      </c>
      <c r="I61" s="463">
        <f t="shared" si="1"/>
        <v>0.50273319784147452</v>
      </c>
      <c r="J61" s="464">
        <f t="shared" si="2"/>
        <v>2.2179405787123878</v>
      </c>
      <c r="K61" s="464">
        <f t="shared" si="31"/>
        <v>3.4489702893561938</v>
      </c>
      <c r="L61" s="464">
        <f t="shared" si="32"/>
        <v>1.231029710643806</v>
      </c>
      <c r="M61" s="77">
        <f t="shared" si="3"/>
        <v>0</v>
      </c>
      <c r="N61" s="463">
        <f t="shared" si="46"/>
        <v>2.4260128539556942</v>
      </c>
      <c r="O61" s="463">
        <f t="shared" si="5"/>
        <v>7.1027775641451102E-2</v>
      </c>
      <c r="P61">
        <f t="shared" si="6"/>
        <v>0.4</v>
      </c>
      <c r="Q61" s="463">
        <f t="shared" si="34"/>
        <v>0.47102777564145115</v>
      </c>
      <c r="R61" s="9">
        <f t="shared" si="39"/>
        <v>0.64026429508309579</v>
      </c>
      <c r="S61" s="9">
        <f t="shared" si="7"/>
        <v>4.0993836755825357E-4</v>
      </c>
      <c r="T61" s="9">
        <f t="shared" si="40"/>
        <v>4.0993836755825357E-4</v>
      </c>
      <c r="U61" s="463">
        <f t="shared" si="47"/>
        <v>1.7201324148277806</v>
      </c>
      <c r="V61" s="465">
        <f t="shared" si="9"/>
        <v>2.9588555245412518E-3</v>
      </c>
      <c r="W61" s="463">
        <f t="shared" si="41"/>
        <v>2.9588555245412518E-3</v>
      </c>
      <c r="X61" s="463">
        <f t="shared" si="48"/>
        <v>1.7201324148277806</v>
      </c>
      <c r="Y61" s="463">
        <f t="shared" si="11"/>
        <v>6.5094821539907533E-2</v>
      </c>
      <c r="Z61" s="463">
        <f t="shared" si="12"/>
        <v>6.0874112919011805E-2</v>
      </c>
      <c r="AA61" s="463">
        <f t="shared" si="13"/>
        <v>0.15997440000000002</v>
      </c>
      <c r="AB61" s="463">
        <f t="shared" si="14"/>
        <v>0</v>
      </c>
      <c r="AC61" s="463">
        <f t="shared" si="49"/>
        <v>0.28910496613664965</v>
      </c>
      <c r="AD61" s="463">
        <f t="shared" si="50"/>
        <v>1.7107550505601321</v>
      </c>
      <c r="AE61" s="463">
        <f t="shared" si="17"/>
        <v>2.9266828430170002E-2</v>
      </c>
      <c r="AF61" s="463">
        <f t="shared" si="18"/>
        <v>5.0543999999999992E-2</v>
      </c>
      <c r="AG61" s="463">
        <f t="shared" si="51"/>
        <v>8.0186316296007212E-2</v>
      </c>
      <c r="AH61" s="463">
        <f t="shared" si="52"/>
        <v>0</v>
      </c>
      <c r="AI61">
        <f t="shared" si="21"/>
        <v>0</v>
      </c>
      <c r="AJ61" s="464">
        <f t="shared" si="22"/>
        <v>0.47897039999999996</v>
      </c>
      <c r="AK61">
        <f t="shared" si="23"/>
        <v>7.2000000000000008E-2</v>
      </c>
      <c r="AL61" s="464">
        <f t="shared" si="24"/>
        <v>0.22559999999999999</v>
      </c>
      <c r="AM61" s="464">
        <f t="shared" si="25"/>
        <v>0.18424406779661015</v>
      </c>
      <c r="AN61" s="464">
        <f t="shared" si="42"/>
        <v>0.29759999999999998</v>
      </c>
      <c r="AO61" s="464">
        <f t="shared" si="53"/>
        <v>1.6202582519662077</v>
      </c>
      <c r="AP61" s="100">
        <f t="shared" si="27"/>
        <v>28.08</v>
      </c>
      <c r="AQ61" s="10">
        <f t="shared" si="43"/>
        <v>0.9454463244655813</v>
      </c>
      <c r="AR61" s="77">
        <f t="shared" si="54"/>
        <v>12.142408577739285</v>
      </c>
      <c r="AS61" s="77">
        <f t="shared" si="44"/>
        <v>3.2074526518402884</v>
      </c>
      <c r="AT61" s="10"/>
      <c r="AU61">
        <f t="shared" si="45"/>
        <v>94.544632446558126</v>
      </c>
      <c r="BE61" s="31"/>
      <c r="BF61" s="32"/>
    </row>
    <row r="62" spans="1:60" x14ac:dyDescent="0.25">
      <c r="A62" s="36" t="s">
        <v>210</v>
      </c>
      <c r="B62" s="137">
        <v>20</v>
      </c>
      <c r="C62" s="473" t="s">
        <v>381</v>
      </c>
      <c r="D62" s="34" t="s">
        <v>184</v>
      </c>
      <c r="G62">
        <v>53</v>
      </c>
      <c r="H62">
        <f t="shared" si="0"/>
        <v>2.3850000000000002</v>
      </c>
      <c r="I62" s="463">
        <f t="shared" si="1"/>
        <v>0.50278582209284572</v>
      </c>
      <c r="J62" s="464">
        <f t="shared" si="2"/>
        <v>2.2181727445272608</v>
      </c>
      <c r="K62" s="464">
        <f t="shared" si="31"/>
        <v>3.4940863722636308</v>
      </c>
      <c r="L62" s="464">
        <f t="shared" si="32"/>
        <v>1.2759136277363698</v>
      </c>
      <c r="M62" s="77">
        <f t="shared" si="3"/>
        <v>0</v>
      </c>
      <c r="N62" s="463">
        <f t="shared" si="46"/>
        <v>2.4694633412370459</v>
      </c>
      <c r="O62" s="463">
        <f t="shared" si="5"/>
        <v>7.3609926331508035E-2</v>
      </c>
      <c r="P62">
        <f t="shared" si="6"/>
        <v>0.4</v>
      </c>
      <c r="Q62" s="463">
        <f t="shared" si="34"/>
        <v>0.47360992633150806</v>
      </c>
      <c r="R62" s="9">
        <f t="shared" si="39"/>
        <v>0.64033131558095258</v>
      </c>
      <c r="S62" s="9">
        <f t="shared" si="7"/>
        <v>4.100241937136335E-4</v>
      </c>
      <c r="T62" s="9">
        <f t="shared" si="40"/>
        <v>4.100241937136335E-4</v>
      </c>
      <c r="U62" s="463">
        <f t="shared" si="47"/>
        <v>1.7510320483041832</v>
      </c>
      <c r="V62" s="465">
        <f t="shared" si="9"/>
        <v>3.0661132341883437E-3</v>
      </c>
      <c r="W62" s="463">
        <f t="shared" si="41"/>
        <v>3.0661132341883437E-3</v>
      </c>
      <c r="X62" s="463">
        <f t="shared" si="48"/>
        <v>1.7510320483041832</v>
      </c>
      <c r="Y62" s="463">
        <f t="shared" si="11"/>
        <v>6.7454491152143553E-2</v>
      </c>
      <c r="Z62" s="463">
        <f t="shared" si="12"/>
        <v>6.2184890268751944E-2</v>
      </c>
      <c r="AA62" s="463">
        <f t="shared" si="13"/>
        <v>0.15997440000000002</v>
      </c>
      <c r="AB62" s="463">
        <f t="shared" si="14"/>
        <v>0</v>
      </c>
      <c r="AC62" s="463">
        <f t="shared" si="49"/>
        <v>0.29293340663373385</v>
      </c>
      <c r="AD62" s="463">
        <f t="shared" si="50"/>
        <v>1.7413029488073841</v>
      </c>
      <c r="AE62" s="463">
        <f t="shared" si="17"/>
        <v>3.0321359595252916E-2</v>
      </c>
      <c r="AF62" s="463">
        <f t="shared" si="18"/>
        <v>5.1515999999999999E-2</v>
      </c>
      <c r="AG62" s="463">
        <f t="shared" si="51"/>
        <v>8.2236322331445372E-2</v>
      </c>
      <c r="AH62" s="463">
        <f t="shared" si="52"/>
        <v>0</v>
      </c>
      <c r="AI62">
        <f t="shared" si="21"/>
        <v>0</v>
      </c>
      <c r="AJ62" s="464">
        <f t="shared" si="22"/>
        <v>0.4789506</v>
      </c>
      <c r="AK62">
        <f t="shared" si="23"/>
        <v>7.2000000000000008E-2</v>
      </c>
      <c r="AL62" s="464">
        <f t="shared" si="24"/>
        <v>0.22559999999999999</v>
      </c>
      <c r="AM62" s="464">
        <f t="shared" si="25"/>
        <v>0.18424406779661015</v>
      </c>
      <c r="AN62" s="464">
        <f t="shared" si="42"/>
        <v>0.29759999999999998</v>
      </c>
      <c r="AO62" s="464">
        <f t="shared" si="53"/>
        <v>1.6288063927245888</v>
      </c>
      <c r="AP62" s="100">
        <f t="shared" si="27"/>
        <v>28.620000000000005</v>
      </c>
      <c r="AQ62" s="10">
        <f t="shared" si="43"/>
        <v>0.9461530358726371</v>
      </c>
      <c r="AR62" s="77">
        <f t="shared" si="54"/>
        <v>12.303203078616821</v>
      </c>
      <c r="AS62" s="77">
        <f t="shared" si="44"/>
        <v>3.2894528932578151</v>
      </c>
      <c r="AT62" s="10"/>
      <c r="AU62">
        <f t="shared" si="45"/>
        <v>94.61530358726371</v>
      </c>
      <c r="BE62" s="31"/>
      <c r="BF62" s="32"/>
    </row>
    <row r="63" spans="1:60" x14ac:dyDescent="0.25">
      <c r="A63" s="36" t="s">
        <v>210</v>
      </c>
      <c r="B63" s="137">
        <v>2</v>
      </c>
      <c r="C63" s="473" t="s">
        <v>278</v>
      </c>
      <c r="D63" s="34" t="s">
        <v>184</v>
      </c>
      <c r="G63">
        <v>54</v>
      </c>
      <c r="H63">
        <f t="shared" si="0"/>
        <v>2.4300000000000002</v>
      </c>
      <c r="I63" s="463">
        <f t="shared" si="1"/>
        <v>0.5028384487151889</v>
      </c>
      <c r="J63" s="464">
        <f t="shared" si="2"/>
        <v>2.2184049208023038</v>
      </c>
      <c r="K63" s="464">
        <f t="shared" si="31"/>
        <v>3.5392024604011523</v>
      </c>
      <c r="L63" s="464">
        <f t="shared" si="32"/>
        <v>1.3207975395988483</v>
      </c>
      <c r="M63" s="77">
        <f t="shared" si="3"/>
        <v>0</v>
      </c>
      <c r="N63" s="463">
        <f t="shared" si="46"/>
        <v>2.5129683708156754</v>
      </c>
      <c r="O63" s="463">
        <f t="shared" si="5"/>
        <v>7.6242332644384445E-2</v>
      </c>
      <c r="P63">
        <f t="shared" si="6"/>
        <v>0.4</v>
      </c>
      <c r="Q63" s="463">
        <f t="shared" si="34"/>
        <v>0.47624233264438448</v>
      </c>
      <c r="R63" s="9">
        <f t="shared" si="39"/>
        <v>0.64039833909840027</v>
      </c>
      <c r="S63" s="9">
        <f t="shared" si="7"/>
        <v>4.1011003271998963E-4</v>
      </c>
      <c r="T63" s="9">
        <f t="shared" si="40"/>
        <v>4.1011003271998963E-4</v>
      </c>
      <c r="U63" s="463">
        <f t="shared" si="47"/>
        <v>1.7819735824286997</v>
      </c>
      <c r="V63" s="465">
        <f t="shared" si="9"/>
        <v>3.1754298484737739E-3</v>
      </c>
      <c r="W63" s="463">
        <f t="shared" si="41"/>
        <v>3.1754298484737739E-3</v>
      </c>
      <c r="X63" s="463">
        <f t="shared" si="48"/>
        <v>1.7819735824286997</v>
      </c>
      <c r="Y63" s="463">
        <f t="shared" si="11"/>
        <v>6.9859456666423014E-2</v>
      </c>
      <c r="Z63" s="463">
        <f t="shared" si="12"/>
        <v>6.3495667583940582E-2</v>
      </c>
      <c r="AA63" s="463">
        <f t="shared" si="13"/>
        <v>0.15997440000000002</v>
      </c>
      <c r="AB63" s="463">
        <f t="shared" si="14"/>
        <v>0</v>
      </c>
      <c r="AC63" s="463">
        <f t="shared" si="49"/>
        <v>0.29681303743485082</v>
      </c>
      <c r="AD63" s="463">
        <f t="shared" si="50"/>
        <v>1.7718860528392382</v>
      </c>
      <c r="AE63" s="463">
        <f t="shared" si="17"/>
        <v>3.1395801842462157E-2</v>
      </c>
      <c r="AF63" s="463">
        <f t="shared" si="18"/>
        <v>5.2488E-2</v>
      </c>
      <c r="AG63" s="463">
        <f t="shared" si="51"/>
        <v>8.430730511369762E-2</v>
      </c>
      <c r="AH63" s="463">
        <f t="shared" si="52"/>
        <v>0</v>
      </c>
      <c r="AI63">
        <f t="shared" si="21"/>
        <v>0</v>
      </c>
      <c r="AJ63" s="464">
        <f t="shared" si="22"/>
        <v>0.47893079999999999</v>
      </c>
      <c r="AK63">
        <f t="shared" si="23"/>
        <v>7.2000000000000008E-2</v>
      </c>
      <c r="AL63" s="464">
        <f t="shared" si="24"/>
        <v>0.22559999999999999</v>
      </c>
      <c r="AM63" s="464">
        <f t="shared" si="25"/>
        <v>0.18424406779661015</v>
      </c>
      <c r="AN63" s="464">
        <f t="shared" si="42"/>
        <v>0.29759999999999998</v>
      </c>
      <c r="AO63" s="464">
        <f t="shared" si="53"/>
        <v>1.6374790150741267</v>
      </c>
      <c r="AP63" s="100">
        <f t="shared" si="27"/>
        <v>29.160000000000004</v>
      </c>
      <c r="AQ63" s="10">
        <f t="shared" si="43"/>
        <v>0.94683074500115261</v>
      </c>
      <c r="AR63" s="77">
        <f t="shared" si="54"/>
        <v>12.466147572263734</v>
      </c>
      <c r="AS63" s="77">
        <f t="shared" si="44"/>
        <v>3.3722922045479047</v>
      </c>
      <c r="AT63" s="10"/>
      <c r="AU63">
        <f t="shared" si="45"/>
        <v>94.683074500115254</v>
      </c>
      <c r="BE63" s="31"/>
      <c r="BF63" s="32"/>
    </row>
    <row r="64" spans="1:60" x14ac:dyDescent="0.25">
      <c r="A64" s="138"/>
      <c r="B64" s="45"/>
      <c r="G64">
        <v>55</v>
      </c>
      <c r="H64">
        <f t="shared" si="0"/>
        <v>2.4750000000000001</v>
      </c>
      <c r="I64" s="463">
        <f t="shared" si="1"/>
        <v>0.50289107770866437</v>
      </c>
      <c r="J64" s="464">
        <f t="shared" si="2"/>
        <v>2.2186371075382252</v>
      </c>
      <c r="K64" s="464">
        <f t="shared" si="31"/>
        <v>3.5843185537691129</v>
      </c>
      <c r="L64" s="464">
        <f t="shared" si="32"/>
        <v>1.3656814462308875</v>
      </c>
      <c r="M64" s="77">
        <f t="shared" si="3"/>
        <v>0</v>
      </c>
      <c r="N64" s="463">
        <f t="shared" si="46"/>
        <v>2.5565251582135464</v>
      </c>
      <c r="O64" s="463">
        <f t="shared" si="5"/>
        <v>7.8925057049680183E-2</v>
      </c>
      <c r="P64">
        <f t="shared" si="6"/>
        <v>0.4</v>
      </c>
      <c r="Q64" s="463">
        <f t="shared" si="34"/>
        <v>0.47892505704968019</v>
      </c>
      <c r="R64" s="9">
        <f t="shared" si="39"/>
        <v>0.64046536563564349</v>
      </c>
      <c r="S64" s="9">
        <f t="shared" si="7"/>
        <v>4.1019588457879853E-4</v>
      </c>
      <c r="T64" s="9">
        <f t="shared" si="40"/>
        <v>4.1019588457879853E-4</v>
      </c>
      <c r="U64" s="463">
        <f t="shared" si="47"/>
        <v>1.8129550486309991</v>
      </c>
      <c r="V64" s="465">
        <f t="shared" si="9"/>
        <v>3.2868060083566281E-3</v>
      </c>
      <c r="W64" s="463">
        <f t="shared" si="41"/>
        <v>3.2868060083566281E-3</v>
      </c>
      <c r="X64" s="463">
        <f t="shared" si="48"/>
        <v>1.8129550486309991</v>
      </c>
      <c r="Y64" s="463">
        <f t="shared" si="11"/>
        <v>7.2309732183845815E-2</v>
      </c>
      <c r="Z64" s="463">
        <f t="shared" si="12"/>
        <v>6.4806444864575402E-2</v>
      </c>
      <c r="AA64" s="463">
        <f t="shared" si="13"/>
        <v>0.15997440000000002</v>
      </c>
      <c r="AB64" s="463">
        <f t="shared" si="14"/>
        <v>0</v>
      </c>
      <c r="AC64" s="463">
        <f t="shared" si="49"/>
        <v>0.30074402600443495</v>
      </c>
      <c r="AD64" s="463">
        <f t="shared" si="50"/>
        <v>1.8025023928478348</v>
      </c>
      <c r="AE64" s="463">
        <f t="shared" si="17"/>
        <v>3.2490148762221706E-2</v>
      </c>
      <c r="AF64" s="463">
        <f t="shared" si="18"/>
        <v>5.3459999999999994E-2</v>
      </c>
      <c r="AG64" s="463">
        <f t="shared" si="51"/>
        <v>8.6399288882018019E-2</v>
      </c>
      <c r="AH64" s="463">
        <f t="shared" si="52"/>
        <v>0</v>
      </c>
      <c r="AI64">
        <f t="shared" si="21"/>
        <v>0</v>
      </c>
      <c r="AJ64" s="464">
        <f t="shared" si="22"/>
        <v>0.47891100000000003</v>
      </c>
      <c r="AK64">
        <f t="shared" si="23"/>
        <v>7.2000000000000008E-2</v>
      </c>
      <c r="AL64" s="464">
        <f t="shared" si="24"/>
        <v>0.22559999999999999</v>
      </c>
      <c r="AM64" s="464">
        <f t="shared" si="25"/>
        <v>0.18424406779661015</v>
      </c>
      <c r="AN64" s="464">
        <f t="shared" si="42"/>
        <v>0.29759999999999998</v>
      </c>
      <c r="AO64" s="464">
        <f t="shared" si="53"/>
        <v>1.6462763738290684</v>
      </c>
      <c r="AP64" s="100">
        <f t="shared" si="27"/>
        <v>29.700000000000003</v>
      </c>
      <c r="AQ64" s="10">
        <f t="shared" si="43"/>
        <v>0.94748095900782847</v>
      </c>
      <c r="AR64" s="77">
        <f t="shared" si="54"/>
        <v>12.631249092186268</v>
      </c>
      <c r="AS64" s="77">
        <f t="shared" si="44"/>
        <v>3.4559715552807209</v>
      </c>
      <c r="AT64" s="10"/>
      <c r="AU64">
        <f t="shared" si="45"/>
        <v>94.748095900782843</v>
      </c>
      <c r="BE64" s="31"/>
      <c r="BF64" s="32"/>
    </row>
    <row r="65" spans="1:58" x14ac:dyDescent="0.25">
      <c r="G65">
        <v>56</v>
      </c>
      <c r="H65">
        <f t="shared" si="0"/>
        <v>2.5200000000000005</v>
      </c>
      <c r="I65" s="463">
        <f t="shared" si="1"/>
        <v>0.50294370907343244</v>
      </c>
      <c r="J65" s="464">
        <f t="shared" si="2"/>
        <v>2.2188693047357311</v>
      </c>
      <c r="K65" s="464">
        <f t="shared" si="31"/>
        <v>3.6294346523678662</v>
      </c>
      <c r="L65" s="464">
        <f t="shared" si="32"/>
        <v>1.4105653476321349</v>
      </c>
      <c r="M65" s="77">
        <f t="shared" si="3"/>
        <v>0</v>
      </c>
      <c r="N65" s="463">
        <f t="shared" si="46"/>
        <v>2.6001311023276381</v>
      </c>
      <c r="O65" s="463">
        <f t="shared" si="5"/>
        <v>8.1658163251313323E-2</v>
      </c>
      <c r="P65">
        <f t="shared" si="6"/>
        <v>0.4</v>
      </c>
      <c r="Q65" s="463">
        <f t="shared" si="34"/>
        <v>0.48165816325131333</v>
      </c>
      <c r="R65" s="9">
        <f t="shared" si="39"/>
        <v>0.64053239519288607</v>
      </c>
      <c r="S65" s="9">
        <f t="shared" si="7"/>
        <v>4.1028174929153563E-4</v>
      </c>
      <c r="T65" s="9">
        <f t="shared" si="40"/>
        <v>4.1028174929153563E-4</v>
      </c>
      <c r="U65" s="463">
        <f t="shared" si="47"/>
        <v>1.843974607974239</v>
      </c>
      <c r="V65" s="465">
        <f t="shared" si="9"/>
        <v>3.4002423548537483E-3</v>
      </c>
      <c r="W65" s="463">
        <f t="shared" si="41"/>
        <v>3.4002423548537483E-3</v>
      </c>
      <c r="X65" s="463">
        <f t="shared" si="48"/>
        <v>1.843974607974239</v>
      </c>
      <c r="Y65" s="463">
        <f t="shared" si="11"/>
        <v>7.4805331806782449E-2</v>
      </c>
      <c r="Z65" s="463">
        <f t="shared" si="12"/>
        <v>6.6117222110654045E-2</v>
      </c>
      <c r="AA65" s="463">
        <f t="shared" si="13"/>
        <v>0.15997440000000002</v>
      </c>
      <c r="AB65" s="463">
        <f t="shared" si="14"/>
        <v>0</v>
      </c>
      <c r="AC65" s="463">
        <f t="shared" si="49"/>
        <v>0.30472654249791409</v>
      </c>
      <c r="AD65" s="463">
        <f t="shared" si="50"/>
        <v>1.8331501287231744</v>
      </c>
      <c r="AE65" s="463">
        <f t="shared" si="17"/>
        <v>3.3604393944377912E-2</v>
      </c>
      <c r="AF65" s="463">
        <f t="shared" si="18"/>
        <v>5.4432000000000001E-2</v>
      </c>
      <c r="AG65" s="463">
        <f t="shared" si="51"/>
        <v>8.8512298286866575E-2</v>
      </c>
      <c r="AH65" s="463">
        <f t="shared" si="52"/>
        <v>0</v>
      </c>
      <c r="AI65">
        <f t="shared" si="21"/>
        <v>0</v>
      </c>
      <c r="AJ65" s="464">
        <f t="shared" si="22"/>
        <v>0.47889120000000002</v>
      </c>
      <c r="AK65">
        <f t="shared" si="23"/>
        <v>7.2000000000000008E-2</v>
      </c>
      <c r="AL65" s="464">
        <f t="shared" si="24"/>
        <v>0.22559999999999999</v>
      </c>
      <c r="AM65" s="464">
        <f t="shared" si="25"/>
        <v>0.18424406779661015</v>
      </c>
      <c r="AN65" s="464">
        <f t="shared" si="42"/>
        <v>0.29759999999999998</v>
      </c>
      <c r="AO65" s="464">
        <f t="shared" si="53"/>
        <v>1.6551987281402396</v>
      </c>
      <c r="AP65" s="100">
        <f t="shared" si="27"/>
        <v>30.240000000000006</v>
      </c>
      <c r="AQ65" s="10">
        <f t="shared" si="43"/>
        <v>0.94810508182600217</v>
      </c>
      <c r="AR65" s="77">
        <f t="shared" si="54"/>
        <v>12.798514784912392</v>
      </c>
      <c r="AS65" s="77">
        <f t="shared" si="44"/>
        <v>3.540491931474663</v>
      </c>
      <c r="AT65" s="10"/>
      <c r="AU65">
        <f t="shared" si="45"/>
        <v>94.810508182600216</v>
      </c>
      <c r="BE65" s="31"/>
      <c r="BF65" s="32"/>
    </row>
    <row r="66" spans="1:58" ht="13" x14ac:dyDescent="0.3">
      <c r="A66" s="12" t="s">
        <v>149</v>
      </c>
      <c r="B66" s="46"/>
      <c r="C66" s="46"/>
      <c r="D66" s="47"/>
      <c r="G66">
        <v>57</v>
      </c>
      <c r="H66">
        <f t="shared" si="0"/>
        <v>2.5649999999999999</v>
      </c>
      <c r="I66" s="463">
        <f t="shared" si="1"/>
        <v>0.50299634280965344</v>
      </c>
      <c r="J66" s="464">
        <f t="shared" si="2"/>
        <v>2.2191015123955298</v>
      </c>
      <c r="K66" s="464">
        <f t="shared" si="31"/>
        <v>3.6745507561977648</v>
      </c>
      <c r="L66" s="464">
        <f t="shared" si="32"/>
        <v>1.4554492438022351</v>
      </c>
      <c r="M66" s="77">
        <f t="shared" si="3"/>
        <v>0</v>
      </c>
      <c r="N66" s="463">
        <f t="shared" si="46"/>
        <v>2.6437837708215999</v>
      </c>
      <c r="O66" s="463">
        <f t="shared" si="5"/>
        <v>8.4441716191330826E-2</v>
      </c>
      <c r="P66">
        <f t="shared" si="6"/>
        <v>0.4</v>
      </c>
      <c r="Q66" s="463">
        <f t="shared" si="34"/>
        <v>0.48444171619133086</v>
      </c>
      <c r="R66" s="9">
        <f t="shared" si="39"/>
        <v>0.64059942777033241</v>
      </c>
      <c r="S66" s="9">
        <f t="shared" si="7"/>
        <v>4.1036762685967731E-4</v>
      </c>
      <c r="T66" s="9">
        <f t="shared" si="40"/>
        <v>4.1036762685967731E-4</v>
      </c>
      <c r="U66" s="463">
        <f t="shared" si="47"/>
        <v>1.8750305408285317</v>
      </c>
      <c r="V66" s="465">
        <f t="shared" si="9"/>
        <v>3.515739529039736E-3</v>
      </c>
      <c r="W66" s="463">
        <f t="shared" si="41"/>
        <v>3.515739529039736E-3</v>
      </c>
      <c r="X66" s="463">
        <f t="shared" si="48"/>
        <v>1.8750305408285317</v>
      </c>
      <c r="Y66" s="463">
        <f t="shared" si="11"/>
        <v>7.7346269638874185E-2</v>
      </c>
      <c r="Z66" s="463">
        <f t="shared" si="12"/>
        <v>6.7427999322174165E-2</v>
      </c>
      <c r="AA66" s="463">
        <f t="shared" si="13"/>
        <v>0.15997440000000002</v>
      </c>
      <c r="AB66" s="463">
        <f t="shared" si="14"/>
        <v>0</v>
      </c>
      <c r="AC66" s="463">
        <f t="shared" si="49"/>
        <v>0.3087607597816846</v>
      </c>
      <c r="AD66" s="463">
        <f t="shared" si="50"/>
        <v>1.8638275397203308</v>
      </c>
      <c r="AE66" s="463">
        <f t="shared" si="17"/>
        <v>3.4738530978199414E-2</v>
      </c>
      <c r="AF66" s="463">
        <f t="shared" si="18"/>
        <v>5.5403999999999995E-2</v>
      </c>
      <c r="AG66" s="463">
        <f t="shared" si="51"/>
        <v>9.0646358390842813E-2</v>
      </c>
      <c r="AH66" s="463">
        <f t="shared" si="52"/>
        <v>0</v>
      </c>
      <c r="AI66">
        <f t="shared" si="21"/>
        <v>0</v>
      </c>
      <c r="AJ66" s="464">
        <f t="shared" si="22"/>
        <v>0.47887140000000006</v>
      </c>
      <c r="AK66">
        <f t="shared" si="23"/>
        <v>7.2000000000000008E-2</v>
      </c>
      <c r="AL66" s="464">
        <f t="shared" si="24"/>
        <v>0.22559999999999999</v>
      </c>
      <c r="AM66" s="464">
        <f t="shared" si="25"/>
        <v>0.18424406779661015</v>
      </c>
      <c r="AN66" s="464">
        <f t="shared" si="42"/>
        <v>0.29759999999999998</v>
      </c>
      <c r="AO66" s="464">
        <f t="shared" si="53"/>
        <v>1.6642463415197577</v>
      </c>
      <c r="AP66" s="100">
        <f t="shared" si="27"/>
        <v>30.78</v>
      </c>
      <c r="AQ66" s="10">
        <f t="shared" si="43"/>
        <v>0.94870442284276524</v>
      </c>
      <c r="AR66" s="77">
        <f t="shared" si="54"/>
        <v>12.967951910830752</v>
      </c>
      <c r="AS66" s="77">
        <f t="shared" si="44"/>
        <v>3.6258543356337123</v>
      </c>
      <c r="AT66" s="10"/>
      <c r="AU66">
        <f t="shared" si="45"/>
        <v>94.870442284276521</v>
      </c>
      <c r="BE66" s="31"/>
      <c r="BF66" s="32"/>
    </row>
    <row r="67" spans="1:58" ht="13" x14ac:dyDescent="0.3">
      <c r="A67" s="48" t="s">
        <v>125</v>
      </c>
      <c r="B67" s="28" t="s">
        <v>8</v>
      </c>
      <c r="C67" s="49" t="s">
        <v>148</v>
      </c>
      <c r="D67" s="47"/>
      <c r="G67">
        <v>58</v>
      </c>
      <c r="H67">
        <f t="shared" si="0"/>
        <v>2.61</v>
      </c>
      <c r="I67" s="463">
        <f t="shared" si="1"/>
        <v>0.50304897891748723</v>
      </c>
      <c r="J67" s="464">
        <f t="shared" si="2"/>
        <v>2.2193337305183261</v>
      </c>
      <c r="K67" s="464">
        <f t="shared" si="31"/>
        <v>3.7196668652591631</v>
      </c>
      <c r="L67" s="464">
        <f t="shared" si="32"/>
        <v>1.5003331347408368</v>
      </c>
      <c r="M67" s="77">
        <f t="shared" si="3"/>
        <v>0</v>
      </c>
      <c r="N67" s="463">
        <f t="shared" si="46"/>
        <v>2.6874808868687232</v>
      </c>
      <c r="O67" s="463">
        <f t="shared" si="5"/>
        <v>8.7275782053796963E-2</v>
      </c>
      <c r="P67">
        <f t="shared" si="6"/>
        <v>0.4</v>
      </c>
      <c r="Q67" s="463">
        <f t="shared" si="34"/>
        <v>0.48727578205379696</v>
      </c>
      <c r="R67" s="9">
        <f t="shared" si="39"/>
        <v>0.640666463368186</v>
      </c>
      <c r="S67" s="9">
        <f t="shared" si="7"/>
        <v>4.104535172846992E-4</v>
      </c>
      <c r="T67" s="9">
        <f t="shared" si="40"/>
        <v>4.104535172846992E-4</v>
      </c>
      <c r="U67" s="463">
        <f t="shared" si="47"/>
        <v>1.9061212374995913</v>
      </c>
      <c r="V67" s="465">
        <f t="shared" si="9"/>
        <v>3.6332981720469735E-3</v>
      </c>
      <c r="W67" s="463">
        <f t="shared" si="41"/>
        <v>3.6332981720469735E-3</v>
      </c>
      <c r="X67" s="463">
        <f t="shared" si="48"/>
        <v>1.9061212374995913</v>
      </c>
      <c r="Y67" s="463">
        <f t="shared" si="11"/>
        <v>7.9932559785033414E-2</v>
      </c>
      <c r="Z67" s="463">
        <f t="shared" si="12"/>
        <v>6.8738776499133472E-2</v>
      </c>
      <c r="AA67" s="463">
        <f t="shared" si="13"/>
        <v>0.15997440000000002</v>
      </c>
      <c r="AB67" s="463">
        <f t="shared" si="14"/>
        <v>0</v>
      </c>
      <c r="AC67" s="463">
        <f t="shared" si="49"/>
        <v>0.3128468534534613</v>
      </c>
      <c r="AD67" s="463">
        <f t="shared" si="50"/>
        <v>1.8945330150825364</v>
      </c>
      <c r="AE67" s="463">
        <f t="shared" si="17"/>
        <v>3.5892553452377261E-2</v>
      </c>
      <c r="AF67" s="463">
        <f t="shared" si="18"/>
        <v>5.6375999999999989E-2</v>
      </c>
      <c r="AG67" s="463">
        <f t="shared" si="51"/>
        <v>9.2801494669639745E-2</v>
      </c>
      <c r="AH67" s="463">
        <f t="shared" si="52"/>
        <v>0</v>
      </c>
      <c r="AI67">
        <f t="shared" si="21"/>
        <v>0</v>
      </c>
      <c r="AJ67" s="464">
        <f t="shared" si="22"/>
        <v>0.47885159999999999</v>
      </c>
      <c r="AK67">
        <f t="shared" si="23"/>
        <v>7.2000000000000008E-2</v>
      </c>
      <c r="AL67" s="464">
        <f t="shared" si="24"/>
        <v>0.22559999999999999</v>
      </c>
      <c r="AM67" s="464">
        <f t="shared" si="25"/>
        <v>0.18424406779661015</v>
      </c>
      <c r="AN67" s="464">
        <f t="shared" si="42"/>
        <v>0.29759999999999998</v>
      </c>
      <c r="AO67" s="464">
        <f t="shared" si="53"/>
        <v>1.6734194818662296</v>
      </c>
      <c r="AP67" s="100">
        <f t="shared" si="27"/>
        <v>31.32</v>
      </c>
      <c r="AQ67" s="10">
        <f t="shared" si="43"/>
        <v>0.9492802047151867</v>
      </c>
      <c r="AR67" s="77">
        <f t="shared" si="54"/>
        <v>13.139567845045375</v>
      </c>
      <c r="AS67" s="77">
        <f t="shared" si="44"/>
        <v>3.7120597867855896</v>
      </c>
      <c r="AT67" s="10"/>
      <c r="AU67">
        <f t="shared" si="45"/>
        <v>94.928020471518664</v>
      </c>
      <c r="BE67" s="31"/>
      <c r="BF67" s="32"/>
    </row>
    <row r="68" spans="1:58" x14ac:dyDescent="0.25">
      <c r="A68" s="50" t="s">
        <v>386</v>
      </c>
      <c r="B68" s="466">
        <f>I109</f>
        <v>0.50526183913806066</v>
      </c>
      <c r="C68" s="42" t="s">
        <v>23</v>
      </c>
      <c r="D68" s="47"/>
      <c r="G68">
        <v>59</v>
      </c>
      <c r="H68">
        <f t="shared" si="0"/>
        <v>2.6549999999999998</v>
      </c>
      <c r="I68" s="463">
        <f t="shared" si="1"/>
        <v>0.50310161739709458</v>
      </c>
      <c r="J68" s="464">
        <f t="shared" si="2"/>
        <v>2.2195659591048287</v>
      </c>
      <c r="K68" s="464">
        <f t="shared" si="31"/>
        <v>3.7647829795524141</v>
      </c>
      <c r="L68" s="464">
        <f t="shared" si="32"/>
        <v>1.5452170204475855</v>
      </c>
      <c r="M68" s="77">
        <f t="shared" si="3"/>
        <v>0</v>
      </c>
      <c r="N68" s="463">
        <f t="shared" si="46"/>
        <v>2.7312203171051719</v>
      </c>
      <c r="O68" s="463">
        <f t="shared" si="5"/>
        <v>9.016042826875946E-2</v>
      </c>
      <c r="P68">
        <f t="shared" si="6"/>
        <v>0.4</v>
      </c>
      <c r="Q68" s="463">
        <f t="shared" si="34"/>
        <v>0.4901604282687595</v>
      </c>
      <c r="R68" s="9">
        <f t="shared" si="39"/>
        <v>0.64073350198665135</v>
      </c>
      <c r="S68" s="9">
        <f t="shared" si="7"/>
        <v>4.1053942056807816E-4</v>
      </c>
      <c r="T68" s="9">
        <f t="shared" si="40"/>
        <v>4.1053942056807816E-4</v>
      </c>
      <c r="U68" s="463">
        <f t="shared" si="47"/>
        <v>1.9372451897128611</v>
      </c>
      <c r="V68" s="465">
        <f t="shared" si="9"/>
        <v>3.7529189250656192E-3</v>
      </c>
      <c r="W68" s="463">
        <f t="shared" si="41"/>
        <v>3.7529189250656192E-3</v>
      </c>
      <c r="X68" s="463">
        <f t="shared" si="48"/>
        <v>1.9372451897128611</v>
      </c>
      <c r="Y68" s="463">
        <f t="shared" si="11"/>
        <v>8.2564216351443606E-2</v>
      </c>
      <c r="Z68" s="463">
        <f t="shared" si="12"/>
        <v>7.0049553641529594E-2</v>
      </c>
      <c r="AA68" s="463">
        <f t="shared" si="13"/>
        <v>0.15997440000000002</v>
      </c>
      <c r="AB68" s="463">
        <f t="shared" si="14"/>
        <v>0</v>
      </c>
      <c r="AC68" s="463">
        <f t="shared" si="49"/>
        <v>0.31698500186300177</v>
      </c>
      <c r="AD68" s="463">
        <f t="shared" si="50"/>
        <v>1.9252650455203451</v>
      </c>
      <c r="AE68" s="463">
        <f t="shared" si="17"/>
        <v>3.7066454955024565E-2</v>
      </c>
      <c r="AF68" s="463">
        <f t="shared" si="18"/>
        <v>5.7347999999999989E-2</v>
      </c>
      <c r="AG68" s="463">
        <f t="shared" si="51"/>
        <v>9.4977733013017734E-2</v>
      </c>
      <c r="AH68" s="463">
        <f t="shared" si="52"/>
        <v>0</v>
      </c>
      <c r="AI68">
        <f t="shared" si="21"/>
        <v>0</v>
      </c>
      <c r="AJ68" s="464">
        <f t="shared" si="22"/>
        <v>0.47883180000000003</v>
      </c>
      <c r="AK68">
        <f t="shared" si="23"/>
        <v>7.2000000000000008E-2</v>
      </c>
      <c r="AL68" s="464">
        <f t="shared" si="24"/>
        <v>0.22559999999999999</v>
      </c>
      <c r="AM68" s="464">
        <f t="shared" si="25"/>
        <v>0.18424406779661015</v>
      </c>
      <c r="AN68" s="464">
        <f t="shared" si="42"/>
        <v>0.29759999999999998</v>
      </c>
      <c r="AO68" s="464">
        <f t="shared" si="53"/>
        <v>1.6827184214904127</v>
      </c>
      <c r="AP68" s="100">
        <f t="shared" si="27"/>
        <v>31.86</v>
      </c>
      <c r="AQ68" s="10">
        <f t="shared" si="43"/>
        <v>0.94983357042366856</v>
      </c>
      <c r="AR68" s="77">
        <f t="shared" si="54"/>
        <v>13.313370078246074</v>
      </c>
      <c r="AS68" s="77">
        <f t="shared" si="44"/>
        <v>3.7991093205207092</v>
      </c>
      <c r="AT68" s="10"/>
      <c r="AU68">
        <f t="shared" si="45"/>
        <v>94.983357042366862</v>
      </c>
      <c r="BE68" s="31"/>
      <c r="BF68" s="32"/>
    </row>
    <row r="69" spans="1:58" x14ac:dyDescent="0.25">
      <c r="A69" s="36" t="s">
        <v>151</v>
      </c>
      <c r="B69" s="466">
        <f>1-B68</f>
        <v>0.49473816086193934</v>
      </c>
      <c r="C69" s="42" t="s">
        <v>23</v>
      </c>
      <c r="G69">
        <v>60</v>
      </c>
      <c r="H69">
        <f t="shared" si="0"/>
        <v>2.6999999999999997</v>
      </c>
      <c r="I69" s="463">
        <f t="shared" si="1"/>
        <v>0.50315425824863569</v>
      </c>
      <c r="J69" s="464">
        <f t="shared" si="2"/>
        <v>2.2197981981557455</v>
      </c>
      <c r="K69" s="464">
        <f t="shared" si="31"/>
        <v>3.8098990990778727</v>
      </c>
      <c r="L69" s="464">
        <f t="shared" si="32"/>
        <v>1.590100900922127</v>
      </c>
      <c r="M69" s="77">
        <f t="shared" si="3"/>
        <v>0</v>
      </c>
      <c r="N69" s="463">
        <f t="shared" si="46"/>
        <v>2.7750000606687002</v>
      </c>
      <c r="O69" s="463">
        <f t="shared" si="5"/>
        <v>9.3095723516294568E-2</v>
      </c>
      <c r="P69">
        <f t="shared" si="6"/>
        <v>0.4</v>
      </c>
      <c r="Q69" s="463">
        <f t="shared" si="34"/>
        <v>0.4930957235162946</v>
      </c>
      <c r="R69" s="9">
        <f t="shared" si="39"/>
        <v>0.64080054362593297</v>
      </c>
      <c r="S69" s="9">
        <f t="shared" si="7"/>
        <v>4.1062533671129119E-4</v>
      </c>
      <c r="T69" s="9">
        <f t="shared" si="40"/>
        <v>4.1062533671129119E-4</v>
      </c>
      <c r="U69" s="463">
        <f t="shared" si="47"/>
        <v>1.9684009828649291</v>
      </c>
      <c r="V69" s="465">
        <f t="shared" si="9"/>
        <v>3.8746024293436192E-3</v>
      </c>
      <c r="W69" s="463">
        <f t="shared" si="41"/>
        <v>3.8746024293436192E-3</v>
      </c>
      <c r="X69" s="463">
        <f t="shared" si="48"/>
        <v>1.9684009828649291</v>
      </c>
      <c r="Y69" s="463">
        <f t="shared" si="11"/>
        <v>8.524125344555962E-2</v>
      </c>
      <c r="Z69" s="463">
        <f t="shared" si="12"/>
        <v>7.1360330749360212E-2</v>
      </c>
      <c r="AA69" s="463">
        <f t="shared" si="13"/>
        <v>0.15997440000000002</v>
      </c>
      <c r="AB69" s="463">
        <f t="shared" si="14"/>
        <v>0</v>
      </c>
      <c r="AC69" s="463">
        <f t="shared" si="49"/>
        <v>0.32117538613321578</v>
      </c>
      <c r="AD69" s="463">
        <f t="shared" si="50"/>
        <v>1.9560222154586258</v>
      </c>
      <c r="AE69" s="463">
        <f t="shared" si="17"/>
        <v>3.8260229073676703E-2</v>
      </c>
      <c r="AF69" s="463">
        <f t="shared" si="18"/>
        <v>5.831999999999999E-2</v>
      </c>
      <c r="AG69" s="463">
        <f t="shared" si="51"/>
        <v>9.7175099725799324E-2</v>
      </c>
      <c r="AH69" s="463">
        <f t="shared" si="52"/>
        <v>0</v>
      </c>
      <c r="AI69">
        <f t="shared" si="21"/>
        <v>0</v>
      </c>
      <c r="AJ69" s="464">
        <f t="shared" si="22"/>
        <v>0.47881200000000002</v>
      </c>
      <c r="AK69">
        <f t="shared" si="23"/>
        <v>7.2000000000000008E-2</v>
      </c>
      <c r="AL69" s="464">
        <f t="shared" si="24"/>
        <v>0.22559999999999999</v>
      </c>
      <c r="AM69" s="464">
        <f t="shared" si="25"/>
        <v>0.18424406779661015</v>
      </c>
      <c r="AN69" s="464">
        <f t="shared" si="42"/>
        <v>0.29759999999999998</v>
      </c>
      <c r="AO69" s="464">
        <f t="shared" si="53"/>
        <v>1.6921434371413646</v>
      </c>
      <c r="AP69" s="100">
        <f t="shared" si="27"/>
        <v>32.4</v>
      </c>
      <c r="AQ69" s="10">
        <f t="shared" si="43"/>
        <v>0.95036558964791074</v>
      </c>
      <c r="AR69" s="77">
        <f t="shared" si="54"/>
        <v>13.489366217595062</v>
      </c>
      <c r="AS69" s="77">
        <f t="shared" si="44"/>
        <v>3.8870039890319728</v>
      </c>
      <c r="AT69" s="10"/>
      <c r="AU69">
        <f t="shared" si="45"/>
        <v>95.03655896479107</v>
      </c>
      <c r="BE69" s="31"/>
      <c r="BF69" s="32"/>
    </row>
    <row r="70" spans="1:58" x14ac:dyDescent="0.25">
      <c r="A70" s="51" t="s">
        <v>387</v>
      </c>
      <c r="B70" s="466">
        <f>Ipp</f>
        <v>0.49473816086193934</v>
      </c>
      <c r="C70" s="42" t="s">
        <v>2</v>
      </c>
      <c r="G70">
        <v>61</v>
      </c>
      <c r="H70">
        <f t="shared" si="0"/>
        <v>2.7450000000000001</v>
      </c>
      <c r="I70" s="463">
        <f t="shared" si="1"/>
        <v>0.50320690147227065</v>
      </c>
      <c r="J70" s="464">
        <f t="shared" si="2"/>
        <v>2.2200304476717823</v>
      </c>
      <c r="K70" s="464">
        <f t="shared" si="31"/>
        <v>3.855015223835891</v>
      </c>
      <c r="L70" s="464">
        <f t="shared" si="32"/>
        <v>1.634984776164109</v>
      </c>
      <c r="M70" s="77">
        <f t="shared" si="3"/>
        <v>0</v>
      </c>
      <c r="N70" s="463">
        <f t="shared" si="46"/>
        <v>2.8188182392122796</v>
      </c>
      <c r="O70" s="463">
        <f t="shared" si="5"/>
        <v>9.6081737730630695E-2</v>
      </c>
      <c r="P70">
        <f t="shared" si="6"/>
        <v>0.4</v>
      </c>
      <c r="Q70" s="463">
        <f t="shared" si="34"/>
        <v>0.49608173773063069</v>
      </c>
      <c r="R70" s="9">
        <f t="shared" si="39"/>
        <v>0.64086758828623447</v>
      </c>
      <c r="S70" s="9">
        <f t="shared" si="7"/>
        <v>4.107112657158145E-4</v>
      </c>
      <c r="T70" s="9">
        <f t="shared" si="40"/>
        <v>4.107112657158145E-4</v>
      </c>
      <c r="U70" s="463">
        <f t="shared" si="47"/>
        <v>1.9995872889640769</v>
      </c>
      <c r="V70" s="465">
        <f t="shared" si="9"/>
        <v>3.998349326186707E-3</v>
      </c>
      <c r="W70" s="463">
        <f t="shared" si="41"/>
        <v>3.998349326186707E-3</v>
      </c>
      <c r="X70" s="463">
        <f t="shared" si="48"/>
        <v>1.9995872889640769</v>
      </c>
      <c r="Y70" s="463">
        <f t="shared" si="11"/>
        <v>8.7963685176107545E-2</v>
      </c>
      <c r="Z70" s="463">
        <f t="shared" si="12"/>
        <v>7.2671107822622982E-2</v>
      </c>
      <c r="AA70" s="463">
        <f t="shared" si="13"/>
        <v>0.15997440000000002</v>
      </c>
      <c r="AB70" s="463">
        <f t="shared" si="14"/>
        <v>0</v>
      </c>
      <c r="AC70" s="463">
        <f t="shared" si="49"/>
        <v>0.32541819018165918</v>
      </c>
      <c r="AD70" s="463">
        <f t="shared" si="50"/>
        <v>1.9868031959731467</v>
      </c>
      <c r="AE70" s="463">
        <f t="shared" si="17"/>
        <v>3.94738693952911E-2</v>
      </c>
      <c r="AF70" s="463">
        <f t="shared" si="18"/>
        <v>5.9291999999999997E-2</v>
      </c>
      <c r="AG70" s="463">
        <f t="shared" si="51"/>
        <v>9.9393621528884077E-2</v>
      </c>
      <c r="AH70" s="463">
        <f t="shared" si="52"/>
        <v>0</v>
      </c>
      <c r="AI70">
        <f t="shared" si="21"/>
        <v>0</v>
      </c>
      <c r="AJ70" s="464">
        <f t="shared" si="22"/>
        <v>0.4787922</v>
      </c>
      <c r="AK70">
        <f t="shared" si="23"/>
        <v>7.2000000000000008E-2</v>
      </c>
      <c r="AL70" s="464">
        <f t="shared" si="24"/>
        <v>0.22559999999999999</v>
      </c>
      <c r="AM70" s="464">
        <f t="shared" si="25"/>
        <v>0.18424406779661015</v>
      </c>
      <c r="AN70" s="464">
        <f t="shared" si="42"/>
        <v>0.29759999999999998</v>
      </c>
      <c r="AO70" s="464">
        <f t="shared" si="53"/>
        <v>1.7016948100330764</v>
      </c>
      <c r="AP70" s="100">
        <f t="shared" si="27"/>
        <v>32.94</v>
      </c>
      <c r="AQ70" s="10">
        <f t="shared" si="43"/>
        <v>0.95087726454017996</v>
      </c>
      <c r="AR70" s="77">
        <f t="shared" si="54"/>
        <v>13.667563987629686</v>
      </c>
      <c r="AS70" s="77">
        <f t="shared" si="44"/>
        <v>3.9757448611553632</v>
      </c>
      <c r="AT70" s="10"/>
      <c r="AU70">
        <f t="shared" si="45"/>
        <v>95.087726454017997</v>
      </c>
      <c r="BE70" s="31"/>
      <c r="BF70" s="32"/>
    </row>
    <row r="71" spans="1:58" ht="13" x14ac:dyDescent="0.3">
      <c r="A71" s="48" t="s">
        <v>129</v>
      </c>
      <c r="B71" s="28" t="s">
        <v>8</v>
      </c>
      <c r="C71" s="30" t="s">
        <v>148</v>
      </c>
      <c r="G71">
        <v>62</v>
      </c>
      <c r="H71">
        <f t="shared" si="0"/>
        <v>2.79</v>
      </c>
      <c r="I71" s="463">
        <f t="shared" si="1"/>
        <v>0.50325954706816012</v>
      </c>
      <c r="J71" s="464">
        <f t="shared" si="2"/>
        <v>2.2202627076536476</v>
      </c>
      <c r="K71" s="464">
        <f t="shared" si="31"/>
        <v>3.9001313538268239</v>
      </c>
      <c r="L71" s="464">
        <f t="shared" si="32"/>
        <v>1.6798686461731762</v>
      </c>
      <c r="M71" s="77">
        <f t="shared" si="3"/>
        <v>0</v>
      </c>
      <c r="N71" s="463">
        <f t="shared" si="46"/>
        <v>2.8626730877945401</v>
      </c>
      <c r="O71" s="463">
        <f t="shared" si="5"/>
        <v>9.9118542104351767E-2</v>
      </c>
      <c r="P71">
        <f t="shared" si="6"/>
        <v>0.4</v>
      </c>
      <c r="Q71" s="463">
        <f t="shared" si="34"/>
        <v>0.4991185421043518</v>
      </c>
      <c r="R71" s="9">
        <f t="shared" si="39"/>
        <v>0.64093463596776046</v>
      </c>
      <c r="S71" s="9">
        <f t="shared" si="7"/>
        <v>4.1079720758312562E-4</v>
      </c>
      <c r="T71" s="9">
        <f t="shared" si="40"/>
        <v>4.1079720758312562E-4</v>
      </c>
      <c r="U71" s="463">
        <f t="shared" si="47"/>
        <v>2.0308028601906227</v>
      </c>
      <c r="V71" s="465">
        <f t="shared" si="9"/>
        <v>4.1241602569584146E-3</v>
      </c>
      <c r="W71" s="463">
        <f t="shared" si="41"/>
        <v>4.1241602569584146E-3</v>
      </c>
      <c r="X71" s="463">
        <f t="shared" si="48"/>
        <v>2.0308028601906227</v>
      </c>
      <c r="Y71" s="463">
        <f t="shared" si="11"/>
        <v>9.0731525653085107E-2</v>
      </c>
      <c r="Z71" s="463">
        <f t="shared" si="12"/>
        <v>7.3981884861315572E-2</v>
      </c>
      <c r="AA71" s="463">
        <f t="shared" si="13"/>
        <v>0.15997440000000002</v>
      </c>
      <c r="AB71" s="463">
        <f t="shared" si="14"/>
        <v>0</v>
      </c>
      <c r="AC71" s="463">
        <f t="shared" si="49"/>
        <v>0.32971360074242129</v>
      </c>
      <c r="AD71" s="463">
        <f t="shared" si="50"/>
        <v>2.0176067383473697</v>
      </c>
      <c r="AE71" s="463">
        <f t="shared" si="17"/>
        <v>4.0707369506247114E-2</v>
      </c>
      <c r="AF71" s="463">
        <f t="shared" si="18"/>
        <v>6.0263999999999991E-2</v>
      </c>
      <c r="AG71" s="463">
        <f t="shared" si="51"/>
        <v>0.10163332556028409</v>
      </c>
      <c r="AH71" s="463">
        <f t="shared" si="52"/>
        <v>0</v>
      </c>
      <c r="AI71">
        <f t="shared" si="21"/>
        <v>0</v>
      </c>
      <c r="AJ71" s="464">
        <f t="shared" si="22"/>
        <v>0.47877239999999999</v>
      </c>
      <c r="AK71">
        <f t="shared" si="23"/>
        <v>7.2000000000000008E-2</v>
      </c>
      <c r="AL71" s="464">
        <f t="shared" si="24"/>
        <v>0.22559999999999999</v>
      </c>
      <c r="AM71" s="464">
        <f t="shared" si="25"/>
        <v>0.18424406779661015</v>
      </c>
      <c r="AN71" s="464">
        <f t="shared" si="42"/>
        <v>0.29759999999999998</v>
      </c>
      <c r="AO71" s="464">
        <f t="shared" si="53"/>
        <v>1.711372825871599</v>
      </c>
      <c r="AP71" s="100">
        <f t="shared" si="27"/>
        <v>33.480000000000004</v>
      </c>
      <c r="AQ71" s="10">
        <f t="shared" si="43"/>
        <v>0.95136953496132293</v>
      </c>
      <c r="AR71" s="77">
        <f t="shared" si="54"/>
        <v>13.847971231181694</v>
      </c>
      <c r="AS71" s="77">
        <f t="shared" si="44"/>
        <v>4.0653330224113642</v>
      </c>
      <c r="AT71" s="10"/>
      <c r="AU71">
        <f t="shared" si="45"/>
        <v>95.136953496132293</v>
      </c>
      <c r="BE71" s="31"/>
      <c r="BF71" s="32"/>
    </row>
    <row r="72" spans="1:58" x14ac:dyDescent="0.25">
      <c r="A72" s="50" t="s">
        <v>166</v>
      </c>
      <c r="B72" s="466">
        <f>(QgdTop+QgsTop/2)*(RdsonDRT+RGateTop)/(Vdd-VspTop)*1000000000</f>
        <v>3.7241379310344835</v>
      </c>
      <c r="C72" s="42" t="s">
        <v>147</v>
      </c>
      <c r="G72">
        <v>63</v>
      </c>
      <c r="H72">
        <f t="shared" si="0"/>
        <v>2.835</v>
      </c>
      <c r="I72" s="463">
        <f t="shared" si="1"/>
        <v>0.50331219503646418</v>
      </c>
      <c r="J72" s="464">
        <f t="shared" si="2"/>
        <v>2.2204949781020478</v>
      </c>
      <c r="K72" s="464">
        <f t="shared" si="31"/>
        <v>3.9452474890510238</v>
      </c>
      <c r="L72" s="464">
        <f t="shared" si="32"/>
        <v>1.7247525109489761</v>
      </c>
      <c r="M72" s="77">
        <f t="shared" si="3"/>
        <v>0</v>
      </c>
      <c r="N72" s="463">
        <f t="shared" si="46"/>
        <v>2.9065629465598537</v>
      </c>
      <c r="O72" s="463">
        <f t="shared" si="5"/>
        <v>0.10220620909268048</v>
      </c>
      <c r="P72">
        <f t="shared" si="6"/>
        <v>0.4</v>
      </c>
      <c r="Q72" s="463">
        <f t="shared" si="34"/>
        <v>0.50220620909268054</v>
      </c>
      <c r="R72" s="9">
        <f t="shared" si="39"/>
        <v>0.64100168667071478</v>
      </c>
      <c r="S72" s="9">
        <f t="shared" si="7"/>
        <v>4.1088316231470119E-4</v>
      </c>
      <c r="T72" s="9">
        <f t="shared" si="40"/>
        <v>4.1088316231470119E-4</v>
      </c>
      <c r="U72" s="463">
        <f t="shared" si="47"/>
        <v>2.0620465230154434</v>
      </c>
      <c r="V72" s="465">
        <f t="shared" si="9"/>
        <v>4.25203586308008E-3</v>
      </c>
      <c r="W72" s="463">
        <f t="shared" si="41"/>
        <v>4.25203586308008E-3</v>
      </c>
      <c r="X72" s="463">
        <f t="shared" si="48"/>
        <v>2.0620465230154434</v>
      </c>
      <c r="Y72" s="463">
        <f t="shared" si="11"/>
        <v>9.3544788987761751E-2</v>
      </c>
      <c r="Z72" s="463">
        <f t="shared" si="12"/>
        <v>7.5292661865435637E-2</v>
      </c>
      <c r="AA72" s="463">
        <f t="shared" si="13"/>
        <v>0.15997440000000002</v>
      </c>
      <c r="AB72" s="463">
        <f t="shared" si="14"/>
        <v>0</v>
      </c>
      <c r="AC72" s="463">
        <f t="shared" si="49"/>
        <v>0.33406180738840863</v>
      </c>
      <c r="AD72" s="463">
        <f t="shared" si="50"/>
        <v>2.0484316681877917</v>
      </c>
      <c r="AE72" s="463">
        <f t="shared" si="17"/>
        <v>4.1960722992346197E-2</v>
      </c>
      <c r="AF72" s="463">
        <f t="shared" si="18"/>
        <v>6.1235999999999992E-2</v>
      </c>
      <c r="AG72" s="463">
        <f t="shared" si="51"/>
        <v>0.1038942393761805</v>
      </c>
      <c r="AH72" s="463">
        <f t="shared" si="52"/>
        <v>0</v>
      </c>
      <c r="AI72">
        <f t="shared" si="21"/>
        <v>0</v>
      </c>
      <c r="AJ72" s="464">
        <f t="shared" si="22"/>
        <v>0.47875259999999997</v>
      </c>
      <c r="AK72">
        <f t="shared" si="23"/>
        <v>7.2000000000000008E-2</v>
      </c>
      <c r="AL72" s="464">
        <f t="shared" si="24"/>
        <v>0.22559999999999999</v>
      </c>
      <c r="AM72" s="464">
        <f t="shared" si="25"/>
        <v>0.18424406779661015</v>
      </c>
      <c r="AN72" s="464">
        <f t="shared" si="42"/>
        <v>0.29759999999999998</v>
      </c>
      <c r="AO72" s="464">
        <f t="shared" si="53"/>
        <v>1.7211777748826647</v>
      </c>
      <c r="AP72" s="100">
        <f t="shared" si="27"/>
        <v>34.019999999999996</v>
      </c>
      <c r="AQ72" s="10">
        <f t="shared" si="43"/>
        <v>0.951843283236955</v>
      </c>
      <c r="AR72" s="77">
        <f t="shared" si="54"/>
        <v>14.030595910313162</v>
      </c>
      <c r="AS72" s="77">
        <f t="shared" si="44"/>
        <v>4.1557695750472199</v>
      </c>
      <c r="AT72" s="10"/>
      <c r="AU72">
        <f t="shared" si="45"/>
        <v>95.184328323695496</v>
      </c>
      <c r="BE72" s="31"/>
      <c r="BF72" s="32"/>
    </row>
    <row r="73" spans="1:58" x14ac:dyDescent="0.25">
      <c r="A73" s="51" t="s">
        <v>167</v>
      </c>
      <c r="B73" s="466">
        <f>(QgdTop+QgsTop/2)*(RdsonDRT+RGateTop)/(VspTop)*1000000000</f>
        <v>2.3478260869565215</v>
      </c>
      <c r="C73" s="42" t="s">
        <v>147</v>
      </c>
      <c r="G73">
        <v>64</v>
      </c>
      <c r="H73">
        <f t="shared" ref="H73:H136" si="55">Iout*(G73/200)</f>
        <v>2.88</v>
      </c>
      <c r="I73" s="463">
        <f t="shared" si="1"/>
        <v>0.50336484537734338</v>
      </c>
      <c r="J73" s="464">
        <f t="shared" ref="J73:J136" si="56">(Vin-Vout)*I73/(Fsw*Lout2)</f>
        <v>2.2207272590176914</v>
      </c>
      <c r="K73" s="464">
        <f t="shared" si="31"/>
        <v>3.9903636295088454</v>
      </c>
      <c r="L73" s="464">
        <f t="shared" si="32"/>
        <v>1.7696363704911542</v>
      </c>
      <c r="M73" s="77">
        <f t="shared" ref="M73:M136" si="57">IF(MIN(Vin, -L73/(CossTop+CossBot)*0.00000002)&lt;0, 0, MIN(Vin, -L73/(CossTop+CossBot)*0.00000002))</f>
        <v>0</v>
      </c>
      <c r="N73" s="463">
        <f t="shared" ref="N73:N109" si="58">SQRT(H73^2+(J73^2)/12)</f>
        <v>2.9504862531304936</v>
      </c>
      <c r="O73" s="463">
        <f t="shared" si="5"/>
        <v>0.10534481241784215</v>
      </c>
      <c r="P73">
        <f t="shared" ref="P73:P136" si="59">Core_Loss</f>
        <v>0.4</v>
      </c>
      <c r="Q73" s="463">
        <f t="shared" si="34"/>
        <v>0.50534481241784213</v>
      </c>
      <c r="R73" s="9">
        <f t="shared" si="39"/>
        <v>0.64106874039530204</v>
      </c>
      <c r="S73" s="9">
        <f t="shared" si="7"/>
        <v>4.109691299120192E-4</v>
      </c>
      <c r="T73" s="9">
        <f t="shared" si="40"/>
        <v>4.109691299120192E-4</v>
      </c>
      <c r="U73" s="463">
        <f t="shared" ref="U73:U109" si="60">SQRT(I73)*SQRT(H73^2+(J73^2)/12)</f>
        <v>2.09331717282185</v>
      </c>
      <c r="V73" s="465">
        <f t="shared" si="9"/>
        <v>4.3819767860308638E-3</v>
      </c>
      <c r="W73" s="463">
        <f t="shared" si="41"/>
        <v>4.3819767860308638E-3</v>
      </c>
      <c r="X73" s="463">
        <f t="shared" ref="X73:X109" si="61">SQRT(I73)*SQRT(H73^2+(J73^2)/12)</f>
        <v>2.09331717282185</v>
      </c>
      <c r="Y73" s="463">
        <f t="shared" si="11"/>
        <v>9.6403489292678987E-2</v>
      </c>
      <c r="Z73" s="463">
        <f t="shared" ref="Z73:Z136" si="62">IF(L73&lt;0, (Vin*K73*Tf/2)*Fsw, (Vin*L73*Tr/2+Vin*K73*Tf/2)*Fsw)</f>
        <v>7.6603438834980844E-2</v>
      </c>
      <c r="AA73" s="463">
        <f t="shared" ref="AA73:AA136" si="63">(0.5*CossTop*(Vin-M73)^2-0.5*CossBot*(Vin-M73)^2+(QossBot*(Vin-M73)/Vin)*Vin)*Fsw</f>
        <v>0.15997440000000002</v>
      </c>
      <c r="AB73" s="463">
        <f t="shared" ref="AB73:AB136" si="64">IF(L73&gt;0,0,-L73*VsdTop*Deadtime*Fsw)</f>
        <v>0</v>
      </c>
      <c r="AC73" s="463">
        <f t="shared" ref="AC73:AC104" si="65">(AB73+AA73+Z73+Y73*(1+RdsonTopTc*Ta-RdsonTopTc*25))/(1-Y73*RdsonTopTc*ThetaJaTop)</f>
        <v>0.33846300255403106</v>
      </c>
      <c r="AD73" s="463">
        <f t="shared" ref="AD73:AD109" si="66">SQRT(1-I73)*SQRT(H73^2+(J73^2)/12)</f>
        <v>2.0792768800429529</v>
      </c>
      <c r="AE73" s="463">
        <f t="shared" si="17"/>
        <v>4.3233923438811564E-2</v>
      </c>
      <c r="AF73" s="463">
        <f t="shared" ref="AF73:AF136" si="67">IF(L73&lt;0, Deadtime*Fsw*IF(VfdSky&gt;0,0,VsdBot)*K73, Deadtime*Fsw*IF(VfdSky&gt;0,0,VsdBot)*(K73+L73))</f>
        <v>6.2207999999999992E-2</v>
      </c>
      <c r="AG73" s="463">
        <f t="shared" ref="AG73:AG104" si="68">(AF73+AE73*(1+RdsonBotTc*Ta-RdsonBotTc*25))/(1-AE73*RdsonBotTc*ThetaJaBot)</f>
        <v>0.10617639095200006</v>
      </c>
      <c r="AH73" s="463">
        <f t="shared" ref="AH73:AH109" si="69">IF(RDSON_sense=1, 0, AD73^2*Rshunt)</f>
        <v>0</v>
      </c>
      <c r="AI73">
        <f t="shared" ref="AI73:AI136" si="70">2*Deadtime*Fsw*IF(VfdSky&gt;0,VfdSky,0)*H73</f>
        <v>0</v>
      </c>
      <c r="AJ73" s="464">
        <f t="shared" ref="AJ73:AJ136" si="71">IF(QrrSky&gt;0,QrrSky,QrrBot)*Fsw*(Vin-H73*RdsonTop)</f>
        <v>0.47873280000000001</v>
      </c>
      <c r="AK73">
        <f t="shared" si="23"/>
        <v>7.2000000000000008E-2</v>
      </c>
      <c r="AL73" s="464">
        <f t="shared" si="24"/>
        <v>0.22559999999999999</v>
      </c>
      <c r="AM73" s="464">
        <f t="shared" si="25"/>
        <v>0.18424406779661015</v>
      </c>
      <c r="AN73" s="464">
        <f t="shared" si="42"/>
        <v>0.29759999999999998</v>
      </c>
      <c r="AO73" s="464">
        <f t="shared" ref="AO73:AO104" si="72">SUM(Q73,T73,W73,AC73,AJ73,AI73,AG73,AN73, AH73)</f>
        <v>1.7311099518398163</v>
      </c>
      <c r="AP73" s="100">
        <f t="shared" ref="AP73:AP136" si="73">Vout*H73</f>
        <v>34.56</v>
      </c>
      <c r="AQ73" s="10">
        <f t="shared" si="43"/>
        <v>0.95229933848435355</v>
      </c>
      <c r="AR73" s="77">
        <f t="shared" ref="AR73:AR109" si="74">ThetaJaTop*AC73</f>
        <v>14.215446107269305</v>
      </c>
      <c r="AS73" s="77">
        <f t="shared" si="44"/>
        <v>4.2470556380800026</v>
      </c>
      <c r="AT73" s="10"/>
      <c r="AU73">
        <f t="shared" si="45"/>
        <v>95.229933848435351</v>
      </c>
      <c r="BE73" s="31"/>
      <c r="BF73" s="32"/>
    </row>
    <row r="74" spans="1:58" ht="13" x14ac:dyDescent="0.3">
      <c r="A74" s="48" t="s">
        <v>206</v>
      </c>
      <c r="B74" s="28" t="s">
        <v>8</v>
      </c>
      <c r="C74" s="30" t="s">
        <v>148</v>
      </c>
      <c r="G74">
        <v>65</v>
      </c>
      <c r="H74">
        <f t="shared" si="55"/>
        <v>2.9250000000000003</v>
      </c>
      <c r="I74" s="463">
        <f t="shared" ref="I74:I109" si="75">(Vout+Rdcr*H74+RdsonBot*H74)/(Vin-RdsonTop*H74+RdsonBot*H74)</f>
        <v>0.50341749809095804</v>
      </c>
      <c r="J74" s="464">
        <f t="shared" si="56"/>
        <v>2.2209595504012851</v>
      </c>
      <c r="K74" s="464">
        <f t="shared" ref="K74:K137" si="76">H74+J74/2</f>
        <v>4.0354797752006428</v>
      </c>
      <c r="L74" s="464">
        <f t="shared" ref="L74:L109" si="77">H74-J74/2</f>
        <v>1.8145202247993577</v>
      </c>
      <c r="M74" s="77">
        <f t="shared" si="57"/>
        <v>0</v>
      </c>
      <c r="N74" s="463">
        <f t="shared" si="58"/>
        <v>2.994441535641756</v>
      </c>
      <c r="O74" s="463">
        <f t="shared" ref="O74:O109" si="78">(N74^2*Rdcr*(1+Ltc*Ta-Ltc*25))/(1-N74^2*Rdcr*Ltc*ThetaCa)</f>
        <v>0.1085344270735086</v>
      </c>
      <c r="P74">
        <f t="shared" si="59"/>
        <v>0.4</v>
      </c>
      <c r="Q74" s="463">
        <f t="shared" ref="Q74:Q137" si="79">O74+P74</f>
        <v>0.5085344270735086</v>
      </c>
      <c r="R74" s="9">
        <f t="shared" si="39"/>
        <v>0.64113579714172608</v>
      </c>
      <c r="S74" s="9">
        <f t="shared" ref="S74:S109" si="80">RCoutEsr*R74^2</f>
        <v>4.110551103765566E-4</v>
      </c>
      <c r="T74" s="9">
        <f t="shared" si="40"/>
        <v>4.110551103765566E-4</v>
      </c>
      <c r="U74" s="463">
        <f t="shared" si="60"/>
        <v>2.1246137689819582</v>
      </c>
      <c r="V74" s="465">
        <f t="shared" ref="V74:V109" si="81">RCinEsr*U74^2</f>
        <v>4.5139836673477214E-3</v>
      </c>
      <c r="W74" s="463">
        <f t="shared" si="41"/>
        <v>4.5139836673477214E-3</v>
      </c>
      <c r="X74" s="463">
        <f t="shared" si="61"/>
        <v>2.1246137689819582</v>
      </c>
      <c r="Y74" s="463">
        <f t="shared" ref="Y74:Y109" si="82">RdsonTop*X74^2</f>
        <v>9.9307640681649864E-2</v>
      </c>
      <c r="Z74" s="463">
        <f t="shared" si="62"/>
        <v>7.7914215769948877E-2</v>
      </c>
      <c r="AA74" s="463">
        <f t="shared" si="63"/>
        <v>0.15997440000000002</v>
      </c>
      <c r="AB74" s="463">
        <f t="shared" si="64"/>
        <v>0</v>
      </c>
      <c r="AC74" s="463">
        <f t="shared" si="65"/>
        <v>0.34291738155829438</v>
      </c>
      <c r="AD74" s="463">
        <f t="shared" si="66"/>
        <v>2.1101413324772431</v>
      </c>
      <c r="AE74" s="463">
        <f t="shared" ref="AE74:AE109" si="83">RdsonBot*AD74^2</f>
        <v>4.4526964430288356E-2</v>
      </c>
      <c r="AF74" s="463">
        <f t="shared" si="67"/>
        <v>6.318E-2</v>
      </c>
      <c r="AG74" s="463">
        <f t="shared" si="68"/>
        <v>0.1084798086835132</v>
      </c>
      <c r="AH74" s="463">
        <f t="shared" si="69"/>
        <v>0</v>
      </c>
      <c r="AI74">
        <f t="shared" si="70"/>
        <v>0</v>
      </c>
      <c r="AJ74" s="464">
        <f t="shared" si="71"/>
        <v>0.478713</v>
      </c>
      <c r="AK74">
        <f t="shared" ref="AK74:AK137" si="84">Iq*Vin</f>
        <v>7.2000000000000008E-2</v>
      </c>
      <c r="AL74" s="464">
        <f t="shared" ref="AL74:AL137" si="85">Vin*(QgTop+QgBot)*Fsw</f>
        <v>0.22559999999999999</v>
      </c>
      <c r="AM74" s="464">
        <f t="shared" ref="AM74:AM137" si="86">(Vin-Vdd)*Fsw*(QgTop+QgBot)+(RdsonDRT+RdsonDRT2)*Fsw*QgTop*Vdd/(RdsonDRT+2*RGateTop+RdsonDRT2)+(RdsonDRB+RdsonDRB2)*Fsw*QgBot*Vdd/(RdsonDRB+2*RGateBot+RdsonDRB2)</f>
        <v>0.18424406779661015</v>
      </c>
      <c r="AN74" s="464">
        <f t="shared" si="42"/>
        <v>0.29759999999999998</v>
      </c>
      <c r="AO74" s="464">
        <f t="shared" si="72"/>
        <v>1.7411696560930405</v>
      </c>
      <c r="AP74" s="100">
        <f t="shared" si="73"/>
        <v>35.1</v>
      </c>
      <c r="AQ74" s="10">
        <f t="shared" si="43"/>
        <v>0.95273848055459132</v>
      </c>
      <c r="AR74" s="77">
        <f t="shared" si="74"/>
        <v>14.402530025448364</v>
      </c>
      <c r="AS74" s="77">
        <f t="shared" si="44"/>
        <v>4.3391923473405285</v>
      </c>
      <c r="AT74" s="10"/>
      <c r="AU74">
        <f t="shared" si="45"/>
        <v>95.273848055459126</v>
      </c>
      <c r="BE74" s="31"/>
      <c r="BF74" s="32"/>
    </row>
    <row r="75" spans="1:58" ht="13" x14ac:dyDescent="0.3">
      <c r="A75" s="52" t="s">
        <v>207</v>
      </c>
      <c r="B75" s="142">
        <f>AN9</f>
        <v>0.29759999999999998</v>
      </c>
      <c r="C75" s="143" t="s">
        <v>208</v>
      </c>
      <c r="G75">
        <v>66</v>
      </c>
      <c r="H75">
        <f t="shared" si="55"/>
        <v>2.97</v>
      </c>
      <c r="I75" s="463">
        <f t="shared" si="75"/>
        <v>0.50347015317746857</v>
      </c>
      <c r="J75" s="464">
        <f t="shared" si="56"/>
        <v>2.2211918522535377</v>
      </c>
      <c r="K75" s="464">
        <f t="shared" si="76"/>
        <v>4.0805959261267688</v>
      </c>
      <c r="L75" s="464">
        <f t="shared" si="77"/>
        <v>1.8594040738732314</v>
      </c>
      <c r="M75" s="77">
        <f t="shared" si="57"/>
        <v>0</v>
      </c>
      <c r="N75" s="463">
        <f t="shared" si="58"/>
        <v>3.0384274063583936</v>
      </c>
      <c r="O75" s="463">
        <f t="shared" si="78"/>
        <v>0.11177512932932471</v>
      </c>
      <c r="P75">
        <f t="shared" si="59"/>
        <v>0.4</v>
      </c>
      <c r="Q75" s="463">
        <f t="shared" si="79"/>
        <v>0.51177512932932467</v>
      </c>
      <c r="R75" s="9">
        <f t="shared" ref="R75:R109" si="87">J75/(2*SQRT(3))</f>
        <v>0.64120285691019174</v>
      </c>
      <c r="S75" s="9">
        <f t="shared" si="80"/>
        <v>4.1114110370979185E-4</v>
      </c>
      <c r="T75" s="9">
        <f t="shared" ref="T75:T109" si="88">S75</f>
        <v>4.1114110370979185E-4</v>
      </c>
      <c r="U75" s="463">
        <f t="shared" si="60"/>
        <v>2.1559353303439917</v>
      </c>
      <c r="V75" s="465">
        <f t="shared" si="81"/>
        <v>4.6480571486254563E-3</v>
      </c>
      <c r="W75" s="463">
        <f t="shared" ref="W75:W109" si="89">V75</f>
        <v>4.6480571486254563E-3</v>
      </c>
      <c r="X75" s="463">
        <f t="shared" si="61"/>
        <v>2.1559353303439917</v>
      </c>
      <c r="Y75" s="463">
        <f t="shared" si="82"/>
        <v>0.10225725726976004</v>
      </c>
      <c r="Z75" s="463">
        <f t="shared" si="62"/>
        <v>7.9224992670337349E-2</v>
      </c>
      <c r="AA75" s="463">
        <f t="shared" si="63"/>
        <v>0.15997440000000002</v>
      </c>
      <c r="AB75" s="463">
        <f t="shared" si="64"/>
        <v>0</v>
      </c>
      <c r="AC75" s="463">
        <f t="shared" si="65"/>
        <v>0.34742514262830737</v>
      </c>
      <c r="AD75" s="463">
        <f t="shared" si="66"/>
        <v>2.1410240435558725</v>
      </c>
      <c r="AE75" s="463">
        <f t="shared" si="83"/>
        <v>4.5839839550843385E-2</v>
      </c>
      <c r="AF75" s="463">
        <f t="shared" si="67"/>
        <v>6.4152000000000001E-2</v>
      </c>
      <c r="AG75" s="463">
        <f t="shared" si="68"/>
        <v>0.11080452138795246</v>
      </c>
      <c r="AH75" s="463">
        <f t="shared" si="69"/>
        <v>0</v>
      </c>
      <c r="AI75">
        <f t="shared" si="70"/>
        <v>0</v>
      </c>
      <c r="AJ75" s="464">
        <f t="shared" si="71"/>
        <v>0.47869320000000004</v>
      </c>
      <c r="AK75">
        <f t="shared" si="84"/>
        <v>7.2000000000000008E-2</v>
      </c>
      <c r="AL75" s="464">
        <f t="shared" si="85"/>
        <v>0.22559999999999999</v>
      </c>
      <c r="AM75" s="464">
        <f t="shared" si="86"/>
        <v>0.18424406779661015</v>
      </c>
      <c r="AN75" s="464">
        <f t="shared" ref="AN75:AN109" si="90">SUM(AK75:AL75)</f>
        <v>0.29759999999999998</v>
      </c>
      <c r="AO75" s="464">
        <f t="shared" si="72"/>
        <v>1.7513571915979198</v>
      </c>
      <c r="AP75" s="100">
        <f t="shared" si="73"/>
        <v>35.64</v>
      </c>
      <c r="AQ75" s="10">
        <f t="shared" ref="AQ75:AQ109" si="91">AP75/(AP75+AO75)</f>
        <v>0.95316144362923905</v>
      </c>
      <c r="AR75" s="77">
        <f t="shared" si="74"/>
        <v>14.591855990388909</v>
      </c>
      <c r="AS75" s="77">
        <f t="shared" ref="AS75:AS109" si="92">AG75*ThetaJaBot</f>
        <v>4.4321808555180988</v>
      </c>
      <c r="AT75" s="10"/>
      <c r="AU75">
        <f t="shared" ref="AU75:AU109" si="93">AQ75*100</f>
        <v>95.316144362923907</v>
      </c>
      <c r="BE75" s="31"/>
      <c r="BF75" s="32"/>
    </row>
    <row r="76" spans="1:58" ht="13" x14ac:dyDescent="0.3">
      <c r="A76" s="52" t="s">
        <v>211</v>
      </c>
      <c r="B76" s="141">
        <f>B75*B62</f>
        <v>5.952</v>
      </c>
      <c r="C76" s="474" t="s">
        <v>442</v>
      </c>
      <c r="G76">
        <v>67</v>
      </c>
      <c r="H76">
        <f t="shared" si="55"/>
        <v>3.0150000000000001</v>
      </c>
      <c r="I76" s="463">
        <f t="shared" si="75"/>
        <v>0.50352281063703541</v>
      </c>
      <c r="J76" s="464">
        <f t="shared" si="56"/>
        <v>2.221424164575156</v>
      </c>
      <c r="K76" s="464">
        <f t="shared" si="76"/>
        <v>4.1257120822875777</v>
      </c>
      <c r="L76" s="464">
        <f t="shared" si="77"/>
        <v>1.9042879177124221</v>
      </c>
      <c r="M76" s="77">
        <f t="shared" si="57"/>
        <v>0</v>
      </c>
      <c r="N76" s="463">
        <f t="shared" si="58"/>
        <v>3.0824425558172535</v>
      </c>
      <c r="O76" s="463">
        <f t="shared" si="78"/>
        <v>0.11506699673551592</v>
      </c>
      <c r="P76">
        <f t="shared" si="59"/>
        <v>0.4</v>
      </c>
      <c r="Q76" s="463">
        <f t="shared" si="79"/>
        <v>0.51506699673551593</v>
      </c>
      <c r="R76" s="9">
        <f t="shared" si="87"/>
        <v>0.64126991970090297</v>
      </c>
      <c r="S76" s="9">
        <f t="shared" si="80"/>
        <v>4.1122710991320257E-4</v>
      </c>
      <c r="T76" s="9">
        <f t="shared" si="88"/>
        <v>4.1122710991320257E-4</v>
      </c>
      <c r="U76" s="463">
        <f t="shared" si="60"/>
        <v>2.1872809310915424</v>
      </c>
      <c r="V76" s="465">
        <f t="shared" si="81"/>
        <v>4.7841978715166848E-3</v>
      </c>
      <c r="W76" s="463">
        <f t="shared" si="89"/>
        <v>4.7841978715166848E-3</v>
      </c>
      <c r="X76" s="463">
        <f t="shared" si="61"/>
        <v>2.1872809310915424</v>
      </c>
      <c r="Y76" s="463">
        <f t="shared" si="82"/>
        <v>0.10525235317336705</v>
      </c>
      <c r="Z76" s="463">
        <f t="shared" si="62"/>
        <v>8.053576953614397E-2</v>
      </c>
      <c r="AA76" s="463">
        <f t="shared" si="63"/>
        <v>0.15997440000000002</v>
      </c>
      <c r="AB76" s="463">
        <f t="shared" si="64"/>
        <v>0</v>
      </c>
      <c r="AC76" s="463">
        <f t="shared" si="65"/>
        <v>0.35198648692320522</v>
      </c>
      <c r="AD76" s="463">
        <f t="shared" si="66"/>
        <v>2.1719240867020462</v>
      </c>
      <c r="AE76" s="463">
        <f t="shared" si="83"/>
        <v>4.7172542383965177E-2</v>
      </c>
      <c r="AF76" s="463">
        <f t="shared" si="67"/>
        <v>6.5123999999999987E-2</v>
      </c>
      <c r="AG76" s="463">
        <f t="shared" si="68"/>
        <v>0.11315055830515222</v>
      </c>
      <c r="AH76" s="463">
        <f t="shared" si="69"/>
        <v>0</v>
      </c>
      <c r="AI76">
        <f t="shared" si="70"/>
        <v>0</v>
      </c>
      <c r="AJ76" s="464">
        <f t="shared" si="71"/>
        <v>0.47867339999999997</v>
      </c>
      <c r="AK76">
        <f t="shared" si="84"/>
        <v>7.2000000000000008E-2</v>
      </c>
      <c r="AL76" s="464">
        <f t="shared" si="85"/>
        <v>0.22559999999999999</v>
      </c>
      <c r="AM76" s="464">
        <f t="shared" si="86"/>
        <v>0.18424406779661015</v>
      </c>
      <c r="AN76" s="464">
        <f t="shared" si="90"/>
        <v>0.29759999999999998</v>
      </c>
      <c r="AO76" s="464">
        <f t="shared" si="72"/>
        <v>1.761672866945303</v>
      </c>
      <c r="AP76" s="100">
        <f t="shared" si="73"/>
        <v>36.18</v>
      </c>
      <c r="AQ76" s="10">
        <f t="shared" si="91"/>
        <v>0.95356891950644407</v>
      </c>
      <c r="AR76" s="77">
        <f t="shared" si="74"/>
        <v>14.783432450774619</v>
      </c>
      <c r="AS76" s="77">
        <f t="shared" si="92"/>
        <v>4.5260223322060886</v>
      </c>
      <c r="AT76" s="10"/>
      <c r="AU76">
        <f t="shared" si="93"/>
        <v>95.35689195064441</v>
      </c>
      <c r="BE76" s="31"/>
      <c r="BF76" s="32"/>
    </row>
    <row r="77" spans="1:58" ht="13" x14ac:dyDescent="0.3">
      <c r="A77" s="52" t="s">
        <v>388</v>
      </c>
      <c r="B77" s="141">
        <f>(QgBot+QgTop)*Fsw+Iq</f>
        <v>1.2399999999999998E-2</v>
      </c>
      <c r="C77" s="34" t="s">
        <v>2</v>
      </c>
      <c r="G77">
        <v>68</v>
      </c>
      <c r="H77">
        <f t="shared" si="55"/>
        <v>3.06</v>
      </c>
      <c r="I77" s="463">
        <f t="shared" si="75"/>
        <v>0.50357547046981888</v>
      </c>
      <c r="J77" s="464">
        <f t="shared" si="56"/>
        <v>2.2216564873668481</v>
      </c>
      <c r="K77" s="464">
        <f t="shared" si="76"/>
        <v>4.1708282436834239</v>
      </c>
      <c r="L77" s="464">
        <f t="shared" si="77"/>
        <v>1.949171756316576</v>
      </c>
      <c r="M77" s="77">
        <f t="shared" si="57"/>
        <v>0</v>
      </c>
      <c r="N77" s="463">
        <f t="shared" si="58"/>
        <v>3.1264857474468464</v>
      </c>
      <c r="O77" s="463">
        <f t="shared" si="78"/>
        <v>0.11841010812757873</v>
      </c>
      <c r="P77">
        <f t="shared" si="59"/>
        <v>0.4</v>
      </c>
      <c r="Q77" s="463">
        <f t="shared" si="79"/>
        <v>0.51841010812757871</v>
      </c>
      <c r="R77" s="9">
        <f t="shared" si="87"/>
        <v>0.64133698551406415</v>
      </c>
      <c r="S77" s="9">
        <f t="shared" si="80"/>
        <v>4.1131312898826696E-4</v>
      </c>
      <c r="T77" s="9">
        <f t="shared" si="88"/>
        <v>4.1131312898826696E-4</v>
      </c>
      <c r="U77" s="463">
        <f t="shared" si="60"/>
        <v>2.2186496969399823</v>
      </c>
      <c r="V77" s="465">
        <f t="shared" si="81"/>
        <v>4.9224064777318747E-3</v>
      </c>
      <c r="W77" s="463">
        <f t="shared" si="89"/>
        <v>4.9224064777318747E-3</v>
      </c>
      <c r="X77" s="463">
        <f t="shared" si="61"/>
        <v>2.2186496969399823</v>
      </c>
      <c r="Y77" s="463">
        <f t="shared" si="82"/>
        <v>0.10829294251010124</v>
      </c>
      <c r="Z77" s="463">
        <f t="shared" si="62"/>
        <v>8.1846546367366352E-2</v>
      </c>
      <c r="AA77" s="463">
        <f t="shared" si="63"/>
        <v>0.15997440000000002</v>
      </c>
      <c r="AB77" s="463">
        <f t="shared" si="64"/>
        <v>0</v>
      </c>
      <c r="AC77" s="463">
        <f t="shared" si="65"/>
        <v>0.35660161855849848</v>
      </c>
      <c r="AD77" s="463">
        <f t="shared" si="66"/>
        <v>2.2028405868914778</v>
      </c>
      <c r="AE77" s="463">
        <f t="shared" si="83"/>
        <v>4.85250665125639E-2</v>
      </c>
      <c r="AF77" s="463">
        <f t="shared" si="67"/>
        <v>6.6095999999999988E-2</v>
      </c>
      <c r="AG77" s="463">
        <f t="shared" si="68"/>
        <v>0.11551794909870947</v>
      </c>
      <c r="AH77" s="463">
        <f t="shared" si="69"/>
        <v>0</v>
      </c>
      <c r="AI77">
        <f t="shared" si="70"/>
        <v>0</v>
      </c>
      <c r="AJ77" s="464">
        <f t="shared" si="71"/>
        <v>0.47865360000000001</v>
      </c>
      <c r="AK77">
        <f t="shared" si="84"/>
        <v>7.2000000000000008E-2</v>
      </c>
      <c r="AL77" s="464">
        <f t="shared" si="85"/>
        <v>0.22559999999999999</v>
      </c>
      <c r="AM77" s="464">
        <f t="shared" si="86"/>
        <v>0.18424406779661015</v>
      </c>
      <c r="AN77" s="464">
        <f t="shared" si="90"/>
        <v>0.29759999999999998</v>
      </c>
      <c r="AO77" s="464">
        <f t="shared" si="72"/>
        <v>1.772116995391507</v>
      </c>
      <c r="AP77" s="100">
        <f t="shared" si="73"/>
        <v>36.72</v>
      </c>
      <c r="AQ77" s="10">
        <f t="shared" si="91"/>
        <v>0.95396156060723614</v>
      </c>
      <c r="AR77" s="77">
        <f t="shared" si="74"/>
        <v>14.977267979456936</v>
      </c>
      <c r="AS77" s="77">
        <f t="shared" si="92"/>
        <v>4.6207179639483789</v>
      </c>
      <c r="AT77" s="10"/>
      <c r="AU77">
        <f t="shared" si="93"/>
        <v>95.396156060723612</v>
      </c>
      <c r="BE77" s="31"/>
      <c r="BF77" s="32"/>
    </row>
    <row r="78" spans="1:58" ht="13" x14ac:dyDescent="0.3">
      <c r="A78" s="52" t="s">
        <v>389</v>
      </c>
      <c r="B78" s="140">
        <f>QrrBot*Fsw</f>
        <v>0.02</v>
      </c>
      <c r="C78" s="34" t="s">
        <v>2</v>
      </c>
      <c r="G78">
        <v>69</v>
      </c>
      <c r="H78">
        <f t="shared" si="55"/>
        <v>3.1049999999999995</v>
      </c>
      <c r="I78" s="463">
        <f t="shared" si="75"/>
        <v>0.5036281326759795</v>
      </c>
      <c r="J78" s="464">
        <f t="shared" si="56"/>
        <v>2.2218888206293212</v>
      </c>
      <c r="K78" s="464">
        <f t="shared" si="76"/>
        <v>4.2159444103146599</v>
      </c>
      <c r="L78" s="464">
        <f t="shared" si="77"/>
        <v>1.9940555896853389</v>
      </c>
      <c r="M78" s="77">
        <f t="shared" si="57"/>
        <v>0</v>
      </c>
      <c r="N78" s="463">
        <f t="shared" si="58"/>
        <v>3.1705558126196833</v>
      </c>
      <c r="O78" s="463">
        <f t="shared" si="78"/>
        <v>0.12180454363105382</v>
      </c>
      <c r="P78">
        <f t="shared" si="59"/>
        <v>0.4</v>
      </c>
      <c r="Q78" s="463">
        <f t="shared" si="79"/>
        <v>0.52180454363105389</v>
      </c>
      <c r="R78" s="9">
        <f t="shared" si="87"/>
        <v>0.64140405434987946</v>
      </c>
      <c r="S78" s="9">
        <f t="shared" si="80"/>
        <v>4.1139916093646311E-4</v>
      </c>
      <c r="T78" s="9">
        <f t="shared" si="88"/>
        <v>4.1139916093646311E-4</v>
      </c>
      <c r="U78" s="463">
        <f t="shared" si="60"/>
        <v>2.2500408016387903</v>
      </c>
      <c r="V78" s="465">
        <f t="shared" si="81"/>
        <v>5.0626836090393304E-3</v>
      </c>
      <c r="W78" s="463">
        <f t="shared" si="89"/>
        <v>5.0626836090393304E-3</v>
      </c>
      <c r="X78" s="463">
        <f t="shared" si="61"/>
        <v>2.2500408016387903</v>
      </c>
      <c r="Y78" s="463">
        <f t="shared" si="82"/>
        <v>0.11137903939886525</v>
      </c>
      <c r="Z78" s="463">
        <f t="shared" si="62"/>
        <v>8.3157323164002206E-2</v>
      </c>
      <c r="AA78" s="463">
        <f t="shared" si="63"/>
        <v>0.15997440000000002</v>
      </c>
      <c r="AB78" s="463">
        <f t="shared" si="64"/>
        <v>0</v>
      </c>
      <c r="AC78" s="463">
        <f t="shared" si="65"/>
        <v>0.36127074463085013</v>
      </c>
      <c r="AD78" s="463">
        <f t="shared" si="66"/>
        <v>2.2337727171530077</v>
      </c>
      <c r="AE78" s="463">
        <f t="shared" si="83"/>
        <v>4.9897405518971309E-2</v>
      </c>
      <c r="AF78" s="463">
        <f t="shared" si="67"/>
        <v>6.7067999999999989E-2</v>
      </c>
      <c r="AG78" s="463">
        <f t="shared" si="68"/>
        <v>0.11790672385716561</v>
      </c>
      <c r="AH78" s="463">
        <f t="shared" si="69"/>
        <v>0</v>
      </c>
      <c r="AI78">
        <f t="shared" si="70"/>
        <v>0</v>
      </c>
      <c r="AJ78" s="464">
        <f t="shared" si="71"/>
        <v>0.4786338</v>
      </c>
      <c r="AK78">
        <f t="shared" si="84"/>
        <v>7.2000000000000008E-2</v>
      </c>
      <c r="AL78" s="464">
        <f t="shared" si="85"/>
        <v>0.22559999999999999</v>
      </c>
      <c r="AM78" s="464">
        <f t="shared" si="86"/>
        <v>0.18424406779661015</v>
      </c>
      <c r="AN78" s="464">
        <f t="shared" si="90"/>
        <v>0.29759999999999998</v>
      </c>
      <c r="AO78" s="464">
        <f t="shared" si="72"/>
        <v>1.7826898948890451</v>
      </c>
      <c r="AP78" s="100">
        <f t="shared" si="73"/>
        <v>37.259999999999991</v>
      </c>
      <c r="AQ78" s="10">
        <f t="shared" si="91"/>
        <v>0.95433998272945808</v>
      </c>
      <c r="AR78" s="77">
        <f t="shared" si="74"/>
        <v>15.173371274495706</v>
      </c>
      <c r="AS78" s="77">
        <f t="shared" si="92"/>
        <v>4.7162689542866243</v>
      </c>
      <c r="AT78" s="10"/>
      <c r="AU78">
        <f t="shared" si="93"/>
        <v>95.433998272945814</v>
      </c>
      <c r="BE78" s="31"/>
      <c r="BF78" s="32"/>
    </row>
    <row r="79" spans="1:58" ht="13" x14ac:dyDescent="0.3">
      <c r="A79" s="52" t="s">
        <v>390</v>
      </c>
      <c r="B79" s="541">
        <f>C79/Vin</f>
        <v>2.1026371836632422E-4</v>
      </c>
      <c r="C79" s="540">
        <f>Deadtime*Fsw*(Ipp/2)*(VsdTop+VsdBot)</f>
        <v>5.0463292407917811E-3</v>
      </c>
      <c r="G79">
        <v>70</v>
      </c>
      <c r="H79">
        <f t="shared" si="55"/>
        <v>3.15</v>
      </c>
      <c r="I79" s="463">
        <f t="shared" si="75"/>
        <v>0.5036807972556776</v>
      </c>
      <c r="J79" s="464">
        <f t="shared" si="56"/>
        <v>2.2221211643632834</v>
      </c>
      <c r="K79" s="464">
        <f t="shared" si="76"/>
        <v>4.2610605821816421</v>
      </c>
      <c r="L79" s="464">
        <f t="shared" si="77"/>
        <v>2.0389394178183582</v>
      </c>
      <c r="M79" s="77">
        <f t="shared" si="57"/>
        <v>0</v>
      </c>
      <c r="N79" s="463">
        <f t="shared" si="58"/>
        <v>3.2146516460977961</v>
      </c>
      <c r="O79" s="463">
        <f t="shared" si="78"/>
        <v>0.12525038466638297</v>
      </c>
      <c r="P79">
        <f t="shared" si="59"/>
        <v>0.4</v>
      </c>
      <c r="Q79" s="463">
        <f t="shared" si="79"/>
        <v>0.52525038466638296</v>
      </c>
      <c r="R79" s="9">
        <f t="shared" si="87"/>
        <v>0.64147112620855318</v>
      </c>
      <c r="S79" s="9">
        <f t="shared" si="80"/>
        <v>4.1148520575926955E-4</v>
      </c>
      <c r="T79" s="9">
        <f t="shared" si="88"/>
        <v>4.1148520575926955E-4</v>
      </c>
      <c r="U79" s="463">
        <f t="shared" si="60"/>
        <v>2.2814534637518267</v>
      </c>
      <c r="V79" s="465">
        <f t="shared" si="81"/>
        <v>5.2050299072652073E-3</v>
      </c>
      <c r="W79" s="463">
        <f t="shared" si="89"/>
        <v>5.2050299072652073E-3</v>
      </c>
      <c r="X79" s="463">
        <f t="shared" si="61"/>
        <v>2.2814534637518267</v>
      </c>
      <c r="Y79" s="463">
        <f t="shared" si="82"/>
        <v>0.11451065795983456</v>
      </c>
      <c r="Z79" s="463">
        <f t="shared" si="62"/>
        <v>8.44680999260492E-2</v>
      </c>
      <c r="AA79" s="463">
        <f t="shared" si="63"/>
        <v>0.15997440000000002</v>
      </c>
      <c r="AB79" s="463">
        <f t="shared" si="64"/>
        <v>0</v>
      </c>
      <c r="AC79" s="463">
        <f t="shared" si="65"/>
        <v>0.36599407524328947</v>
      </c>
      <c r="AD79" s="463">
        <f t="shared" si="66"/>
        <v>2.2647196953473214</v>
      </c>
      <c r="AE79" s="463">
        <f t="shared" si="83"/>
        <v>5.1289552984940645E-2</v>
      </c>
      <c r="AF79" s="463">
        <f t="shared" si="67"/>
        <v>6.8040000000000003E-2</v>
      </c>
      <c r="AG79" s="463">
        <f t="shared" si="68"/>
        <v>0.12031691309520964</v>
      </c>
      <c r="AH79" s="463">
        <f t="shared" si="69"/>
        <v>0</v>
      </c>
      <c r="AI79">
        <f t="shared" si="70"/>
        <v>0</v>
      </c>
      <c r="AJ79" s="464">
        <f t="shared" si="71"/>
        <v>0.47861400000000004</v>
      </c>
      <c r="AK79">
        <f t="shared" si="84"/>
        <v>7.2000000000000008E-2</v>
      </c>
      <c r="AL79" s="464">
        <f t="shared" si="85"/>
        <v>0.22559999999999999</v>
      </c>
      <c r="AM79" s="464">
        <f t="shared" si="86"/>
        <v>0.18424406779661015</v>
      </c>
      <c r="AN79" s="464">
        <f t="shared" si="90"/>
        <v>0.29759999999999998</v>
      </c>
      <c r="AO79" s="464">
        <f t="shared" si="72"/>
        <v>1.793391888117907</v>
      </c>
      <c r="AP79" s="100">
        <f t="shared" si="73"/>
        <v>37.799999999999997</v>
      </c>
      <c r="AQ79" s="10">
        <f t="shared" si="91"/>
        <v>0.95470476757369926</v>
      </c>
      <c r="AR79" s="77">
        <f t="shared" si="74"/>
        <v>15.371751160218158</v>
      </c>
      <c r="AS79" s="77">
        <f t="shared" si="92"/>
        <v>4.8126765238083857</v>
      </c>
      <c r="AT79" s="10"/>
      <c r="AU79">
        <f t="shared" si="93"/>
        <v>95.470476757369923</v>
      </c>
      <c r="BE79" s="31"/>
      <c r="BF79" s="32"/>
    </row>
    <row r="80" spans="1:58" ht="13" x14ac:dyDescent="0.3">
      <c r="A80" s="52" t="s">
        <v>92</v>
      </c>
      <c r="B80" s="541">
        <f>SUM(B77:B79)</f>
        <v>3.2610263718366325E-2</v>
      </c>
      <c r="C80" s="34" t="s">
        <v>2</v>
      </c>
      <c r="G80">
        <v>71</v>
      </c>
      <c r="H80">
        <f t="shared" si="55"/>
        <v>3.1949999999999998</v>
      </c>
      <c r="I80" s="463">
        <f t="shared" si="75"/>
        <v>0.50373346420907406</v>
      </c>
      <c r="J80" s="464">
        <f t="shared" si="56"/>
        <v>2.2223535185694443</v>
      </c>
      <c r="K80" s="464">
        <f t="shared" si="76"/>
        <v>4.306176759284722</v>
      </c>
      <c r="L80" s="464">
        <f t="shared" si="77"/>
        <v>2.0838232407152777</v>
      </c>
      <c r="M80" s="77">
        <f t="shared" si="57"/>
        <v>0</v>
      </c>
      <c r="N80" s="463">
        <f t="shared" si="58"/>
        <v>3.258772201835864</v>
      </c>
      <c r="O80" s="463">
        <f t="shared" si="78"/>
        <v>0.12874771395384974</v>
      </c>
      <c r="P80">
        <f t="shared" si="59"/>
        <v>0.4</v>
      </c>
      <c r="Q80" s="463">
        <f t="shared" si="79"/>
        <v>0.52874771395384979</v>
      </c>
      <c r="R80" s="9">
        <f t="shared" si="87"/>
        <v>0.64153820109029036</v>
      </c>
      <c r="S80" s="9">
        <f t="shared" si="80"/>
        <v>4.1157126345816588E-4</v>
      </c>
      <c r="T80" s="9">
        <f t="shared" si="88"/>
        <v>4.1157126345816588E-4</v>
      </c>
      <c r="U80" s="463">
        <f t="shared" si="60"/>
        <v>2.3128869436904003</v>
      </c>
      <c r="V80" s="465">
        <f t="shared" si="81"/>
        <v>5.3494460142935202E-3</v>
      </c>
      <c r="W80" s="463">
        <f t="shared" si="89"/>
        <v>5.3494460142935202E-3</v>
      </c>
      <c r="X80" s="463">
        <f t="shared" si="61"/>
        <v>2.3128869436904003</v>
      </c>
      <c r="Y80" s="463">
        <f t="shared" si="82"/>
        <v>0.11768781231445745</v>
      </c>
      <c r="Z80" s="463">
        <f t="shared" si="62"/>
        <v>8.5778876653504949E-2</v>
      </c>
      <c r="AA80" s="463">
        <f t="shared" si="63"/>
        <v>0.15997440000000002</v>
      </c>
      <c r="AB80" s="463">
        <f t="shared" si="64"/>
        <v>0</v>
      </c>
      <c r="AC80" s="463">
        <f t="shared" si="65"/>
        <v>0.3707718235308663</v>
      </c>
      <c r="AD80" s="463">
        <f t="shared" si="66"/>
        <v>2.2956807811986066</v>
      </c>
      <c r="AE80" s="463">
        <f t="shared" si="83"/>
        <v>5.270150249164645E-2</v>
      </c>
      <c r="AF80" s="463">
        <f t="shared" si="67"/>
        <v>6.901199999999999E-2</v>
      </c>
      <c r="AG80" s="463">
        <f t="shared" si="68"/>
        <v>0.1227485477549026</v>
      </c>
      <c r="AH80" s="463">
        <f t="shared" si="69"/>
        <v>0</v>
      </c>
      <c r="AI80">
        <f t="shared" si="70"/>
        <v>0</v>
      </c>
      <c r="AJ80" s="464">
        <f t="shared" si="71"/>
        <v>0.47859420000000003</v>
      </c>
      <c r="AK80">
        <f t="shared" si="84"/>
        <v>7.2000000000000008E-2</v>
      </c>
      <c r="AL80" s="464">
        <f t="shared" si="85"/>
        <v>0.22559999999999999</v>
      </c>
      <c r="AM80" s="464">
        <f t="shared" si="86"/>
        <v>0.18424406779661015</v>
      </c>
      <c r="AN80" s="464">
        <f t="shared" si="90"/>
        <v>0.29759999999999998</v>
      </c>
      <c r="AO80" s="464">
        <f t="shared" si="72"/>
        <v>1.8042233025173706</v>
      </c>
      <c r="AP80" s="100">
        <f t="shared" si="73"/>
        <v>38.339999999999996</v>
      </c>
      <c r="AQ80" s="10">
        <f t="shared" si="91"/>
        <v>0.95505646506295139</v>
      </c>
      <c r="AR80" s="77">
        <f t="shared" si="74"/>
        <v>15.572416588296385</v>
      </c>
      <c r="AS80" s="77">
        <f t="shared" si="92"/>
        <v>4.9099419101961042</v>
      </c>
      <c r="AT80" s="10"/>
      <c r="AU80">
        <f t="shared" si="93"/>
        <v>95.505646506295136</v>
      </c>
      <c r="BE80" s="31"/>
      <c r="BF80" s="32"/>
    </row>
    <row r="81" spans="1:58" ht="13" x14ac:dyDescent="0.3">
      <c r="A81" s="62"/>
      <c r="B81" s="53"/>
      <c r="C81" s="53"/>
      <c r="G81">
        <v>72</v>
      </c>
      <c r="H81">
        <f t="shared" si="55"/>
        <v>3.2399999999999998</v>
      </c>
      <c r="I81" s="463">
        <f t="shared" si="75"/>
        <v>0.50378613353632895</v>
      </c>
      <c r="J81" s="464">
        <f t="shared" si="56"/>
        <v>2.2225858832485099</v>
      </c>
      <c r="K81" s="464">
        <f t="shared" si="76"/>
        <v>4.351292941624255</v>
      </c>
      <c r="L81" s="464">
        <f t="shared" si="77"/>
        <v>2.1287070583757446</v>
      </c>
      <c r="M81" s="77">
        <f t="shared" si="57"/>
        <v>0</v>
      </c>
      <c r="N81" s="463">
        <f t="shared" si="58"/>
        <v>3.3029164891099847</v>
      </c>
      <c r="O81" s="463">
        <f t="shared" si="78"/>
        <v>0.13229661551860528</v>
      </c>
      <c r="P81">
        <f t="shared" si="59"/>
        <v>0.4</v>
      </c>
      <c r="Q81" s="463">
        <f t="shared" si="79"/>
        <v>0.5322966155186053</v>
      </c>
      <c r="R81" s="9">
        <f t="shared" si="87"/>
        <v>0.64160527899529474</v>
      </c>
      <c r="S81" s="9">
        <f t="shared" si="80"/>
        <v>4.1165733403463004E-4</v>
      </c>
      <c r="T81" s="9">
        <f t="shared" si="88"/>
        <v>4.1165733403463004E-4</v>
      </c>
      <c r="U81" s="463">
        <f t="shared" si="60"/>
        <v>2.3443405409765332</v>
      </c>
      <c r="V81" s="465">
        <f t="shared" si="81"/>
        <v>5.4959325720661447E-3</v>
      </c>
      <c r="W81" s="463">
        <f t="shared" si="89"/>
        <v>5.4959325720661447E-3</v>
      </c>
      <c r="X81" s="463">
        <f t="shared" si="61"/>
        <v>2.3443405409765332</v>
      </c>
      <c r="Y81" s="463">
        <f t="shared" si="82"/>
        <v>0.12091051658545517</v>
      </c>
      <c r="Z81" s="463">
        <f t="shared" si="62"/>
        <v>8.7089653346367132E-2</v>
      </c>
      <c r="AA81" s="463">
        <f t="shared" si="63"/>
        <v>0.15997440000000002</v>
      </c>
      <c r="AB81" s="463">
        <f t="shared" si="64"/>
        <v>0</v>
      </c>
      <c r="AC81" s="463">
        <f t="shared" si="65"/>
        <v>0.37560420568675312</v>
      </c>
      <c r="AD81" s="463">
        <f t="shared" si="66"/>
        <v>2.3266552735565451</v>
      </c>
      <c r="AE81" s="463">
        <f t="shared" si="83"/>
        <v>5.4133247619684813E-2</v>
      </c>
      <c r="AF81" s="463">
        <f t="shared" si="67"/>
        <v>6.9983999999999991E-2</v>
      </c>
      <c r="AG81" s="463">
        <f t="shared" si="68"/>
        <v>0.1252016592069238</v>
      </c>
      <c r="AH81" s="463">
        <f t="shared" si="69"/>
        <v>0</v>
      </c>
      <c r="AI81">
        <f t="shared" si="70"/>
        <v>0</v>
      </c>
      <c r="AJ81" s="464">
        <f t="shared" si="71"/>
        <v>0.47857439999999996</v>
      </c>
      <c r="AK81">
        <f t="shared" si="84"/>
        <v>7.2000000000000008E-2</v>
      </c>
      <c r="AL81" s="464">
        <f t="shared" si="85"/>
        <v>0.22559999999999999</v>
      </c>
      <c r="AM81" s="464">
        <f t="shared" si="86"/>
        <v>0.18424406779661015</v>
      </c>
      <c r="AN81" s="464">
        <f t="shared" si="90"/>
        <v>0.29759999999999998</v>
      </c>
      <c r="AO81" s="464">
        <f t="shared" si="72"/>
        <v>1.8151844703183828</v>
      </c>
      <c r="AP81" s="100">
        <f t="shared" si="73"/>
        <v>38.879999999999995</v>
      </c>
      <c r="AQ81" s="10">
        <f t="shared" si="91"/>
        <v>0.95539559547537334</v>
      </c>
      <c r="AR81" s="77">
        <f t="shared" si="74"/>
        <v>15.775376638843632</v>
      </c>
      <c r="AS81" s="77">
        <f t="shared" si="92"/>
        <v>5.0080663682769524</v>
      </c>
      <c r="AT81" s="10"/>
      <c r="AU81">
        <f t="shared" si="93"/>
        <v>95.539559547537337</v>
      </c>
      <c r="BE81" s="31"/>
      <c r="BF81" s="32"/>
    </row>
    <row r="82" spans="1:58" ht="13" x14ac:dyDescent="0.3">
      <c r="A82" s="62"/>
      <c r="B82" s="53"/>
      <c r="C82" s="53"/>
      <c r="G82">
        <v>73</v>
      </c>
      <c r="H82">
        <f t="shared" si="55"/>
        <v>3.2850000000000001</v>
      </c>
      <c r="I82" s="463">
        <f t="shared" si="75"/>
        <v>0.50383880523760272</v>
      </c>
      <c r="J82" s="464">
        <f t="shared" si="56"/>
        <v>2.2228182584011882</v>
      </c>
      <c r="K82" s="464">
        <f t="shared" si="76"/>
        <v>4.3964091292005945</v>
      </c>
      <c r="L82" s="464">
        <f t="shared" si="77"/>
        <v>2.1735908707994058</v>
      </c>
      <c r="M82" s="77">
        <f t="shared" si="57"/>
        <v>0</v>
      </c>
      <c r="N82" s="463">
        <f t="shared" si="58"/>
        <v>3.3470835689432885</v>
      </c>
      <c r="O82" s="463">
        <f t="shared" si="78"/>
        <v>0.13589717469577894</v>
      </c>
      <c r="P82">
        <f t="shared" si="59"/>
        <v>0.4</v>
      </c>
      <c r="Q82" s="463">
        <f t="shared" si="79"/>
        <v>0.53589717469577902</v>
      </c>
      <c r="R82" s="9">
        <f t="shared" si="87"/>
        <v>0.64167235992377059</v>
      </c>
      <c r="S82" s="9">
        <f t="shared" si="80"/>
        <v>4.1174341749014099E-4</v>
      </c>
      <c r="T82" s="9">
        <f t="shared" si="88"/>
        <v>4.1174341749014099E-4</v>
      </c>
      <c r="U82" s="463">
        <f t="shared" si="60"/>
        <v>2.3758135917160734</v>
      </c>
      <c r="V82" s="465">
        <f t="shared" si="81"/>
        <v>5.6444902225828292E-3</v>
      </c>
      <c r="W82" s="463">
        <f t="shared" si="89"/>
        <v>5.6444902225828292E-3</v>
      </c>
      <c r="X82" s="463">
        <f t="shared" si="61"/>
        <v>2.3758135917160734</v>
      </c>
      <c r="Y82" s="463">
        <f t="shared" si="82"/>
        <v>0.12417878489682223</v>
      </c>
      <c r="Z82" s="463">
        <f t="shared" si="62"/>
        <v>8.8400430004633448E-2</v>
      </c>
      <c r="AA82" s="463">
        <f t="shared" si="63"/>
        <v>0.15997440000000002</v>
      </c>
      <c r="AB82" s="463">
        <f t="shared" si="64"/>
        <v>0</v>
      </c>
      <c r="AC82" s="463">
        <f t="shared" si="65"/>
        <v>0.38049144098880155</v>
      </c>
      <c r="AD82" s="463">
        <f t="shared" si="66"/>
        <v>2.3576425078682544</v>
      </c>
      <c r="AE82" s="463">
        <f t="shared" si="83"/>
        <v>5.5584781949073118E-2</v>
      </c>
      <c r="AF82" s="463">
        <f t="shared" si="67"/>
        <v>7.0955999999999991E-2</v>
      </c>
      <c r="AG82" s="463">
        <f t="shared" si="68"/>
        <v>0.1276762792518383</v>
      </c>
      <c r="AH82" s="463">
        <f t="shared" si="69"/>
        <v>0</v>
      </c>
      <c r="AI82">
        <f t="shared" si="70"/>
        <v>0</v>
      </c>
      <c r="AJ82" s="464">
        <f t="shared" si="71"/>
        <v>0.4785546</v>
      </c>
      <c r="AK82">
        <f t="shared" si="84"/>
        <v>7.2000000000000008E-2</v>
      </c>
      <c r="AL82" s="464">
        <f t="shared" si="85"/>
        <v>0.22559999999999999</v>
      </c>
      <c r="AM82" s="464">
        <f t="shared" si="86"/>
        <v>0.18424406779661015</v>
      </c>
      <c r="AN82" s="464">
        <f t="shared" si="90"/>
        <v>0.29759999999999998</v>
      </c>
      <c r="AO82" s="464">
        <f t="shared" si="72"/>
        <v>1.8262757285764919</v>
      </c>
      <c r="AP82" s="100">
        <f t="shared" si="73"/>
        <v>39.42</v>
      </c>
      <c r="AQ82" s="10">
        <f t="shared" si="91"/>
        <v>0.95572265140750157</v>
      </c>
      <c r="AR82" s="77">
        <f t="shared" si="74"/>
        <v>15.980640521529665</v>
      </c>
      <c r="AS82" s="77">
        <f t="shared" si="92"/>
        <v>5.1070511700735324</v>
      </c>
      <c r="AT82" s="10"/>
      <c r="AU82">
        <f t="shared" si="93"/>
        <v>95.572265140750162</v>
      </c>
      <c r="BE82" s="31"/>
      <c r="BF82" s="32"/>
    </row>
    <row r="83" spans="1:58" ht="13" x14ac:dyDescent="0.3">
      <c r="A83" s="62"/>
      <c r="B83" s="53"/>
      <c r="C83" s="53"/>
      <c r="G83">
        <v>74</v>
      </c>
      <c r="H83">
        <f t="shared" si="55"/>
        <v>3.33</v>
      </c>
      <c r="I83" s="463">
        <f t="shared" si="75"/>
        <v>0.50389147931305633</v>
      </c>
      <c r="J83" s="464">
        <f t="shared" si="56"/>
        <v>2.2230506440281896</v>
      </c>
      <c r="K83" s="464">
        <f t="shared" si="76"/>
        <v>4.4415253220140949</v>
      </c>
      <c r="L83" s="464">
        <f t="shared" si="77"/>
        <v>2.2184746779859053</v>
      </c>
      <c r="M83" s="77">
        <f t="shared" si="57"/>
        <v>0</v>
      </c>
      <c r="N83" s="463">
        <f t="shared" si="58"/>
        <v>3.3912725508024537</v>
      </c>
      <c r="O83" s="463">
        <f t="shared" si="78"/>
        <v>0.13954947813567481</v>
      </c>
      <c r="P83">
        <f t="shared" si="59"/>
        <v>0.4</v>
      </c>
      <c r="Q83" s="463">
        <f t="shared" si="79"/>
        <v>0.53954947813567489</v>
      </c>
      <c r="R83" s="9">
        <f t="shared" si="87"/>
        <v>0.64173944387592319</v>
      </c>
      <c r="S83" s="9">
        <f t="shared" si="80"/>
        <v>4.1182951382617915E-4</v>
      </c>
      <c r="T83" s="9">
        <f t="shared" si="88"/>
        <v>4.1182951382617915E-4</v>
      </c>
      <c r="U83" s="463">
        <f t="shared" si="60"/>
        <v>2.4073054662633075</v>
      </c>
      <c r="V83" s="465">
        <f t="shared" si="81"/>
        <v>5.7951196079012003E-3</v>
      </c>
      <c r="W83" s="463">
        <f t="shared" si="89"/>
        <v>5.7951196079012003E-3</v>
      </c>
      <c r="X83" s="463">
        <f t="shared" si="61"/>
        <v>2.4073054662633075</v>
      </c>
      <c r="Y83" s="463">
        <f t="shared" si="82"/>
        <v>0.12749263137382641</v>
      </c>
      <c r="Z83" s="463">
        <f t="shared" si="62"/>
        <v>8.9711206628301496E-2</v>
      </c>
      <c r="AA83" s="463">
        <f t="shared" si="63"/>
        <v>0.15997440000000002</v>
      </c>
      <c r="AB83" s="463">
        <f t="shared" si="64"/>
        <v>0</v>
      </c>
      <c r="AC83" s="463">
        <f t="shared" si="65"/>
        <v>0.38543375182655781</v>
      </c>
      <c r="AD83" s="463">
        <f t="shared" si="66"/>
        <v>2.3886418538418392</v>
      </c>
      <c r="AE83" s="463">
        <f t="shared" si="83"/>
        <v>5.7056099059249785E-2</v>
      </c>
      <c r="AF83" s="463">
        <f t="shared" si="67"/>
        <v>7.1927999999999992E-2</v>
      </c>
      <c r="AG83" s="463">
        <f t="shared" si="68"/>
        <v>0.13017244012138579</v>
      </c>
      <c r="AH83" s="463">
        <f t="shared" si="69"/>
        <v>0</v>
      </c>
      <c r="AI83">
        <f t="shared" si="70"/>
        <v>0</v>
      </c>
      <c r="AJ83" s="464">
        <f t="shared" si="71"/>
        <v>0.47853479999999998</v>
      </c>
      <c r="AK83">
        <f t="shared" si="84"/>
        <v>7.2000000000000008E-2</v>
      </c>
      <c r="AL83" s="464">
        <f t="shared" si="85"/>
        <v>0.22559999999999999</v>
      </c>
      <c r="AM83" s="464">
        <f t="shared" si="86"/>
        <v>0.18424406779661015</v>
      </c>
      <c r="AN83" s="464">
        <f t="shared" si="90"/>
        <v>0.29759999999999998</v>
      </c>
      <c r="AO83" s="464">
        <f t="shared" si="72"/>
        <v>1.8374974192053459</v>
      </c>
      <c r="AP83" s="100">
        <f t="shared" si="73"/>
        <v>39.96</v>
      </c>
      <c r="AQ83" s="10">
        <f t="shared" si="91"/>
        <v>0.95603809958342034</v>
      </c>
      <c r="AR83" s="77">
        <f t="shared" si="74"/>
        <v>16.188217576715427</v>
      </c>
      <c r="AS83" s="77">
        <f t="shared" si="92"/>
        <v>5.2068976048554312</v>
      </c>
      <c r="AT83" s="10"/>
      <c r="AU83">
        <f t="shared" si="93"/>
        <v>95.60380995834204</v>
      </c>
      <c r="BE83" s="31"/>
      <c r="BF83" s="32"/>
    </row>
    <row r="84" spans="1:58" x14ac:dyDescent="0.25">
      <c r="G84">
        <v>75</v>
      </c>
      <c r="H84">
        <f t="shared" si="55"/>
        <v>3.375</v>
      </c>
      <c r="I84" s="463">
        <f t="shared" si="75"/>
        <v>0.50394415576284979</v>
      </c>
      <c r="J84" s="464">
        <f t="shared" si="56"/>
        <v>2.2232830401302195</v>
      </c>
      <c r="K84" s="464">
        <f t="shared" si="76"/>
        <v>4.4866415200651097</v>
      </c>
      <c r="L84" s="464">
        <f t="shared" si="77"/>
        <v>2.2633584799348903</v>
      </c>
      <c r="M84" s="77">
        <f t="shared" si="57"/>
        <v>0</v>
      </c>
      <c r="N84" s="463">
        <f t="shared" si="58"/>
        <v>3.4354825895417114</v>
      </c>
      <c r="O84" s="463">
        <f t="shared" si="78"/>
        <v>0.14325361380905477</v>
      </c>
      <c r="P84">
        <f t="shared" si="59"/>
        <v>0.4</v>
      </c>
      <c r="Q84" s="463">
        <f t="shared" si="79"/>
        <v>0.54325361380905479</v>
      </c>
      <c r="R84" s="9">
        <f t="shared" si="87"/>
        <v>0.64180653085195594</v>
      </c>
      <c r="S84" s="9">
        <f t="shared" si="80"/>
        <v>4.1191562304422272E-4</v>
      </c>
      <c r="T84" s="9">
        <f t="shared" si="88"/>
        <v>4.1191562304422272E-4</v>
      </c>
      <c r="U84" s="463">
        <f t="shared" si="60"/>
        <v>2.4388155670605274</v>
      </c>
      <c r="V84" s="465">
        <f t="shared" si="81"/>
        <v>5.9478213701367614E-3</v>
      </c>
      <c r="W84" s="463">
        <f t="shared" si="89"/>
        <v>5.9478213701367614E-3</v>
      </c>
      <c r="X84" s="463">
        <f t="shared" si="61"/>
        <v>2.4388155670605274</v>
      </c>
      <c r="Y84" s="463">
        <f t="shared" si="82"/>
        <v>0.13085207014300876</v>
      </c>
      <c r="Z84" s="463">
        <f t="shared" si="62"/>
        <v>9.1021983217368971E-2</v>
      </c>
      <c r="AA84" s="463">
        <f t="shared" si="63"/>
        <v>0.15997440000000002</v>
      </c>
      <c r="AB84" s="463">
        <f t="shared" si="64"/>
        <v>0</v>
      </c>
      <c r="AC84" s="463">
        <f t="shared" si="65"/>
        <v>0.39043136372874537</v>
      </c>
      <c r="AD84" s="463">
        <f t="shared" si="66"/>
        <v>2.4196527132850001</v>
      </c>
      <c r="AE84" s="463">
        <f t="shared" si="83"/>
        <v>5.8547192529074636E-2</v>
      </c>
      <c r="AF84" s="463">
        <f t="shared" si="67"/>
        <v>7.2899999999999993E-2</v>
      </c>
      <c r="AG84" s="463">
        <f t="shared" si="68"/>
        <v>0.13269017447979223</v>
      </c>
      <c r="AH84" s="463">
        <f t="shared" si="69"/>
        <v>0</v>
      </c>
      <c r="AI84">
        <f t="shared" si="70"/>
        <v>0</v>
      </c>
      <c r="AJ84" s="464">
        <f t="shared" si="71"/>
        <v>0.47851500000000002</v>
      </c>
      <c r="AK84">
        <f t="shared" si="84"/>
        <v>7.2000000000000008E-2</v>
      </c>
      <c r="AL84" s="464">
        <f t="shared" si="85"/>
        <v>0.22559999999999999</v>
      </c>
      <c r="AM84" s="464">
        <f t="shared" si="86"/>
        <v>0.18424406779661015</v>
      </c>
      <c r="AN84" s="464">
        <f t="shared" si="90"/>
        <v>0.29759999999999998</v>
      </c>
      <c r="AO84" s="464">
        <f t="shared" si="72"/>
        <v>1.8488498890107734</v>
      </c>
      <c r="AP84" s="100">
        <f t="shared" si="73"/>
        <v>40.5</v>
      </c>
      <c r="AQ84" s="10">
        <f t="shared" si="91"/>
        <v>0.95634238252381598</v>
      </c>
      <c r="AR84" s="77">
        <f t="shared" si="74"/>
        <v>16.398117276607305</v>
      </c>
      <c r="AS84" s="77">
        <f t="shared" si="92"/>
        <v>5.3076069791916893</v>
      </c>
      <c r="AT84" s="10"/>
      <c r="AU84">
        <f t="shared" si="93"/>
        <v>95.634238252381593</v>
      </c>
      <c r="BE84" s="31"/>
      <c r="BF84" s="32"/>
    </row>
    <row r="85" spans="1:58" x14ac:dyDescent="0.25">
      <c r="G85">
        <v>76</v>
      </c>
      <c r="H85">
        <f t="shared" si="55"/>
        <v>3.42</v>
      </c>
      <c r="I85" s="463">
        <f t="shared" si="75"/>
        <v>0.50399683458714406</v>
      </c>
      <c r="J85" s="464">
        <f t="shared" si="56"/>
        <v>2.2235154467079883</v>
      </c>
      <c r="K85" s="464">
        <f t="shared" si="76"/>
        <v>4.5317577233539943</v>
      </c>
      <c r="L85" s="464">
        <f t="shared" si="77"/>
        <v>2.3082422766460056</v>
      </c>
      <c r="M85" s="77">
        <f t="shared" si="57"/>
        <v>0</v>
      </c>
      <c r="N85" s="463">
        <f t="shared" si="58"/>
        <v>3.47971288257318</v>
      </c>
      <c r="O85" s="463">
        <f t="shared" si="78"/>
        <v>0.14700967101250853</v>
      </c>
      <c r="P85">
        <f t="shared" si="59"/>
        <v>0.4</v>
      </c>
      <c r="Q85" s="463">
        <f t="shared" si="79"/>
        <v>0.54700967101250852</v>
      </c>
      <c r="R85" s="9">
        <f t="shared" si="87"/>
        <v>0.641873620852074</v>
      </c>
      <c r="S85" s="9">
        <f t="shared" si="80"/>
        <v>4.1200174514575207E-4</v>
      </c>
      <c r="T85" s="9">
        <f t="shared" si="88"/>
        <v>4.1200174514575207E-4</v>
      </c>
      <c r="U85" s="463">
        <f t="shared" si="60"/>
        <v>2.4703433266375971</v>
      </c>
      <c r="V85" s="465">
        <f t="shared" si="81"/>
        <v>6.10259615146291E-3</v>
      </c>
      <c r="W85" s="463">
        <f t="shared" si="89"/>
        <v>6.10259615146291E-3</v>
      </c>
      <c r="X85" s="463">
        <f t="shared" si="61"/>
        <v>2.4703433266375971</v>
      </c>
      <c r="Y85" s="463">
        <f t="shared" si="82"/>
        <v>0.13425711533218401</v>
      </c>
      <c r="Z85" s="463">
        <f t="shared" si="62"/>
        <v>9.2332759771833514E-2</v>
      </c>
      <c r="AA85" s="463">
        <f t="shared" si="63"/>
        <v>0.15997440000000002</v>
      </c>
      <c r="AB85" s="463">
        <f t="shared" si="64"/>
        <v>0</v>
      </c>
      <c r="AC85" s="463">
        <f t="shared" si="65"/>
        <v>0.39548450539122093</v>
      </c>
      <c r="AD85" s="463">
        <f t="shared" si="66"/>
        <v>2.4506745181037082</v>
      </c>
      <c r="AE85" s="463">
        <f t="shared" si="83"/>
        <v>6.0058055936828419E-2</v>
      </c>
      <c r="AF85" s="463">
        <f t="shared" si="67"/>
        <v>7.3871999999999993E-2</v>
      </c>
      <c r="AG85" s="463">
        <f t="shared" si="68"/>
        <v>0.13522951542510217</v>
      </c>
      <c r="AH85" s="463">
        <f t="shared" si="69"/>
        <v>0</v>
      </c>
      <c r="AI85">
        <f t="shared" si="70"/>
        <v>0</v>
      </c>
      <c r="AJ85" s="464">
        <f t="shared" si="71"/>
        <v>0.47849520000000001</v>
      </c>
      <c r="AK85">
        <f t="shared" si="84"/>
        <v>7.2000000000000008E-2</v>
      </c>
      <c r="AL85" s="464">
        <f t="shared" si="85"/>
        <v>0.22559999999999999</v>
      </c>
      <c r="AM85" s="464">
        <f t="shared" si="86"/>
        <v>0.18424406779661015</v>
      </c>
      <c r="AN85" s="464">
        <f t="shared" si="90"/>
        <v>0.29759999999999998</v>
      </c>
      <c r="AO85" s="464">
        <f t="shared" si="72"/>
        <v>1.8603334897254404</v>
      </c>
      <c r="AP85" s="100">
        <f t="shared" si="73"/>
        <v>41.04</v>
      </c>
      <c r="AQ85" s="10">
        <f t="shared" si="91"/>
        <v>0.95663592008740472</v>
      </c>
      <c r="AR85" s="77">
        <f t="shared" si="74"/>
        <v>16.610349226431278</v>
      </c>
      <c r="AS85" s="77">
        <f t="shared" si="92"/>
        <v>5.409180617004087</v>
      </c>
      <c r="AT85" s="10"/>
      <c r="AU85">
        <f t="shared" si="93"/>
        <v>95.663592008740466</v>
      </c>
      <c r="BE85" s="31"/>
      <c r="BF85" s="32"/>
    </row>
    <row r="86" spans="1:58" x14ac:dyDescent="0.25">
      <c r="G86">
        <v>77</v>
      </c>
      <c r="H86">
        <f t="shared" si="55"/>
        <v>3.4649999999999999</v>
      </c>
      <c r="I86" s="463">
        <f t="shared" si="75"/>
        <v>0.50404951578609936</v>
      </c>
      <c r="J86" s="464">
        <f t="shared" si="56"/>
        <v>2.223747863762203</v>
      </c>
      <c r="K86" s="464">
        <f t="shared" si="76"/>
        <v>4.5768739318811011</v>
      </c>
      <c r="L86" s="464">
        <f t="shared" si="77"/>
        <v>2.3531260681188986</v>
      </c>
      <c r="M86" s="77">
        <f t="shared" si="57"/>
        <v>0</v>
      </c>
      <c r="N86" s="463">
        <f t="shared" si="58"/>
        <v>3.5239626672443971</v>
      </c>
      <c r="O86" s="463">
        <f t="shared" si="78"/>
        <v>0.15081774037391121</v>
      </c>
      <c r="P86">
        <f t="shared" si="59"/>
        <v>0.4</v>
      </c>
      <c r="Q86" s="463">
        <f t="shared" si="79"/>
        <v>0.55081774037391118</v>
      </c>
      <c r="R86" s="9">
        <f t="shared" si="87"/>
        <v>0.64194071387648166</v>
      </c>
      <c r="S86" s="9">
        <f t="shared" si="80"/>
        <v>4.1208788013224692E-4</v>
      </c>
      <c r="T86" s="9">
        <f t="shared" si="88"/>
        <v>4.1208788013224692E-4</v>
      </c>
      <c r="U86" s="463">
        <f t="shared" si="60"/>
        <v>2.5018882057579912</v>
      </c>
      <c r="V86" s="465">
        <f t="shared" si="81"/>
        <v>6.2594445941109404E-3</v>
      </c>
      <c r="W86" s="463">
        <f t="shared" si="89"/>
        <v>6.2594445941109404E-3</v>
      </c>
      <c r="X86" s="463">
        <f t="shared" si="61"/>
        <v>2.5018882057579912</v>
      </c>
      <c r="Y86" s="463">
        <f t="shared" si="82"/>
        <v>0.13770778107044068</v>
      </c>
      <c r="Z86" s="463">
        <f t="shared" si="62"/>
        <v>9.3643536291692836E-2</v>
      </c>
      <c r="AA86" s="463">
        <f t="shared" si="63"/>
        <v>0.15997440000000002</v>
      </c>
      <c r="AB86" s="463">
        <f t="shared" si="64"/>
        <v>0</v>
      </c>
      <c r="AC86" s="463">
        <f t="shared" si="65"/>
        <v>0.40059340870541021</v>
      </c>
      <c r="AD86" s="463">
        <f t="shared" si="66"/>
        <v>2.4817067284474423</v>
      </c>
      <c r="AE86" s="463">
        <f t="shared" si="83"/>
        <v>6.1588682860213073E-2</v>
      </c>
      <c r="AF86" s="463">
        <f t="shared" si="67"/>
        <v>7.4843999999999994E-2</v>
      </c>
      <c r="AG86" s="463">
        <f t="shared" si="68"/>
        <v>0.13779049649053415</v>
      </c>
      <c r="AH86" s="463">
        <f t="shared" si="69"/>
        <v>0</v>
      </c>
      <c r="AI86">
        <f t="shared" si="70"/>
        <v>0</v>
      </c>
      <c r="AJ86" s="464">
        <f t="shared" si="71"/>
        <v>0.47847540000000005</v>
      </c>
      <c r="AK86">
        <f t="shared" si="84"/>
        <v>7.2000000000000008E-2</v>
      </c>
      <c r="AL86" s="464">
        <f t="shared" si="85"/>
        <v>0.22559999999999999</v>
      </c>
      <c r="AM86" s="464">
        <f t="shared" si="86"/>
        <v>0.18424406779661015</v>
      </c>
      <c r="AN86" s="464">
        <f t="shared" si="90"/>
        <v>0.29759999999999998</v>
      </c>
      <c r="AO86" s="464">
        <f t="shared" si="72"/>
        <v>1.8719485780440985</v>
      </c>
      <c r="AP86" s="100">
        <f t="shared" si="73"/>
        <v>41.58</v>
      </c>
      <c r="AQ86" s="10">
        <f t="shared" si="91"/>
        <v>0.95691911089598458</v>
      </c>
      <c r="AR86" s="77">
        <f t="shared" si="74"/>
        <v>16.824923165627229</v>
      </c>
      <c r="AS86" s="77">
        <f t="shared" si="92"/>
        <v>5.5116198596213657</v>
      </c>
      <c r="AT86" s="10"/>
      <c r="AU86">
        <f t="shared" si="93"/>
        <v>95.691911089598463</v>
      </c>
      <c r="BE86" s="31"/>
      <c r="BF86" s="32"/>
    </row>
    <row r="87" spans="1:58" x14ac:dyDescent="0.25">
      <c r="G87">
        <v>78</v>
      </c>
      <c r="H87">
        <f t="shared" si="55"/>
        <v>3.5100000000000002</v>
      </c>
      <c r="I87" s="463">
        <f t="shared" si="75"/>
        <v>0.50410219935987666</v>
      </c>
      <c r="J87" s="464">
        <f t="shared" si="56"/>
        <v>2.2239802912935733</v>
      </c>
      <c r="K87" s="464">
        <f t="shared" si="76"/>
        <v>4.6219901456467873</v>
      </c>
      <c r="L87" s="464">
        <f t="shared" si="77"/>
        <v>2.3980098543532136</v>
      </c>
      <c r="M87" s="77">
        <f t="shared" si="57"/>
        <v>0</v>
      </c>
      <c r="N87" s="463">
        <f t="shared" si="58"/>
        <v>3.5682312184057228</v>
      </c>
      <c r="O87" s="463">
        <f t="shared" si="78"/>
        <v>0.15467791385796933</v>
      </c>
      <c r="P87">
        <f t="shared" si="59"/>
        <v>0.4</v>
      </c>
      <c r="Q87" s="463">
        <f t="shared" si="79"/>
        <v>0.55467791385796938</v>
      </c>
      <c r="R87" s="9">
        <f t="shared" si="87"/>
        <v>0.64200780992538353</v>
      </c>
      <c r="S87" s="9">
        <f t="shared" si="80"/>
        <v>4.1217402800518738E-4</v>
      </c>
      <c r="T87" s="9">
        <f t="shared" si="88"/>
        <v>4.1217402800518738E-4</v>
      </c>
      <c r="U87" s="463">
        <f t="shared" si="60"/>
        <v>2.5334496916990576</v>
      </c>
      <c r="V87" s="465">
        <f t="shared" si="81"/>
        <v>6.4183673403700502E-3</v>
      </c>
      <c r="W87" s="463">
        <f t="shared" si="89"/>
        <v>6.4183673403700502E-3</v>
      </c>
      <c r="X87" s="463">
        <f t="shared" si="61"/>
        <v>2.5334496916990576</v>
      </c>
      <c r="Y87" s="463">
        <f t="shared" si="82"/>
        <v>0.14120408148814109</v>
      </c>
      <c r="Z87" s="463">
        <f t="shared" si="62"/>
        <v>9.4954312776944536E-2</v>
      </c>
      <c r="AA87" s="463">
        <f t="shared" si="63"/>
        <v>0.15997440000000002</v>
      </c>
      <c r="AB87" s="463">
        <f t="shared" si="64"/>
        <v>0</v>
      </c>
      <c r="AC87" s="463">
        <f t="shared" si="65"/>
        <v>0.40575830878723068</v>
      </c>
      <c r="AD87" s="463">
        <f t="shared" si="66"/>
        <v>2.5127488309887114</v>
      </c>
      <c r="AE87" s="463">
        <f t="shared" si="83"/>
        <v>6.313906687635136E-2</v>
      </c>
      <c r="AF87" s="463">
        <f t="shared" si="67"/>
        <v>7.5816000000000008E-2</v>
      </c>
      <c r="AG87" s="463">
        <f t="shared" si="68"/>
        <v>0.14037315164585729</v>
      </c>
      <c r="AH87" s="463">
        <f t="shared" si="69"/>
        <v>0</v>
      </c>
      <c r="AI87">
        <f t="shared" si="70"/>
        <v>0</v>
      </c>
      <c r="AJ87" s="464">
        <f t="shared" si="71"/>
        <v>0.47845559999999998</v>
      </c>
      <c r="AK87">
        <f t="shared" si="84"/>
        <v>7.2000000000000008E-2</v>
      </c>
      <c r="AL87" s="464">
        <f t="shared" si="85"/>
        <v>0.22559999999999999</v>
      </c>
      <c r="AM87" s="464">
        <f t="shared" si="86"/>
        <v>0.18424406779661015</v>
      </c>
      <c r="AN87" s="464">
        <f t="shared" si="90"/>
        <v>0.29759999999999998</v>
      </c>
      <c r="AO87" s="464">
        <f t="shared" si="72"/>
        <v>1.8836955156594324</v>
      </c>
      <c r="AP87" s="100">
        <f t="shared" si="73"/>
        <v>42.120000000000005</v>
      </c>
      <c r="AQ87" s="10">
        <f t="shared" si="91"/>
        <v>0.95719233365322487</v>
      </c>
      <c r="AR87" s="77">
        <f t="shared" si="74"/>
        <v>17.04184896906369</v>
      </c>
      <c r="AS87" s="77">
        <f t="shared" si="92"/>
        <v>5.6149260658342914</v>
      </c>
      <c r="AT87" s="10"/>
      <c r="AU87">
        <f t="shared" si="93"/>
        <v>95.719233365322481</v>
      </c>
      <c r="BE87" s="31"/>
      <c r="BF87" s="32"/>
    </row>
    <row r="88" spans="1:58" x14ac:dyDescent="0.25">
      <c r="G88">
        <v>79</v>
      </c>
      <c r="H88">
        <f t="shared" si="55"/>
        <v>3.5550000000000002</v>
      </c>
      <c r="I88" s="463">
        <f t="shared" si="75"/>
        <v>0.50415488530863606</v>
      </c>
      <c r="J88" s="464">
        <f t="shared" si="56"/>
        <v>2.2242127293028062</v>
      </c>
      <c r="K88" s="464">
        <f t="shared" si="76"/>
        <v>4.6671063646514028</v>
      </c>
      <c r="L88" s="464">
        <f t="shared" si="77"/>
        <v>2.442893635348597</v>
      </c>
      <c r="M88" s="77">
        <f t="shared" si="57"/>
        <v>0</v>
      </c>
      <c r="N88" s="463">
        <f t="shared" si="58"/>
        <v>3.6125178461519125</v>
      </c>
      <c r="O88" s="463">
        <f t="shared" si="78"/>
        <v>0.15859028477185536</v>
      </c>
      <c r="P88">
        <f t="shared" si="59"/>
        <v>0.4</v>
      </c>
      <c r="Q88" s="463">
        <f t="shared" si="79"/>
        <v>0.55859028477185535</v>
      </c>
      <c r="R88" s="9">
        <f t="shared" si="87"/>
        <v>0.64207490899898378</v>
      </c>
      <c r="S88" s="9">
        <f t="shared" si="80"/>
        <v>4.1226018876605331E-4</v>
      </c>
      <c r="T88" s="9">
        <f t="shared" si="88"/>
        <v>4.1226018876605331E-4</v>
      </c>
      <c r="U88" s="463">
        <f t="shared" si="60"/>
        <v>2.5650272966554062</v>
      </c>
      <c r="V88" s="465">
        <f t="shared" si="81"/>
        <v>6.579365032587341E-3</v>
      </c>
      <c r="W88" s="463">
        <f t="shared" si="89"/>
        <v>6.579365032587341E-3</v>
      </c>
      <c r="X88" s="463">
        <f t="shared" si="61"/>
        <v>2.5650272966554062</v>
      </c>
      <c r="Y88" s="463">
        <f t="shared" si="82"/>
        <v>0.14474603071692149</v>
      </c>
      <c r="Z88" s="463">
        <f t="shared" si="62"/>
        <v>9.6265089227586309E-2</v>
      </c>
      <c r="AA88" s="463">
        <f t="shared" si="63"/>
        <v>0.15997440000000002</v>
      </c>
      <c r="AB88" s="463">
        <f t="shared" si="64"/>
        <v>0</v>
      </c>
      <c r="AC88" s="463">
        <f t="shared" si="65"/>
        <v>0.4109794440065076</v>
      </c>
      <c r="AD88" s="463">
        <f t="shared" si="66"/>
        <v>2.5438003373257718</v>
      </c>
      <c r="AE88" s="463">
        <f t="shared" si="83"/>
        <v>6.4709201561787111E-2</v>
      </c>
      <c r="AF88" s="463">
        <f t="shared" si="67"/>
        <v>7.6787999999999981E-2</v>
      </c>
      <c r="AG88" s="463">
        <f t="shared" si="68"/>
        <v>0.14297751529879074</v>
      </c>
      <c r="AH88" s="463">
        <f t="shared" si="69"/>
        <v>0</v>
      </c>
      <c r="AI88">
        <f t="shared" si="70"/>
        <v>0</v>
      </c>
      <c r="AJ88" s="464">
        <f t="shared" si="71"/>
        <v>0.47843580000000002</v>
      </c>
      <c r="AK88">
        <f t="shared" si="84"/>
        <v>7.2000000000000008E-2</v>
      </c>
      <c r="AL88" s="464">
        <f t="shared" si="85"/>
        <v>0.22559999999999999</v>
      </c>
      <c r="AM88" s="464">
        <f t="shared" si="86"/>
        <v>0.18424406779661015</v>
      </c>
      <c r="AN88" s="464">
        <f t="shared" si="90"/>
        <v>0.29759999999999998</v>
      </c>
      <c r="AO88" s="464">
        <f t="shared" si="72"/>
        <v>1.8955746692985072</v>
      </c>
      <c r="AP88" s="100">
        <f t="shared" si="73"/>
        <v>42.660000000000004</v>
      </c>
      <c r="AQ88" s="10">
        <f t="shared" si="91"/>
        <v>0.9574559483663293</v>
      </c>
      <c r="AR88" s="77">
        <f t="shared" si="74"/>
        <v>17.261136648273318</v>
      </c>
      <c r="AS88" s="77">
        <f t="shared" si="92"/>
        <v>5.7191006119516299</v>
      </c>
      <c r="AT88" s="10"/>
      <c r="AU88">
        <f t="shared" si="93"/>
        <v>95.745594836632932</v>
      </c>
      <c r="BE88" s="31"/>
      <c r="BF88" s="32"/>
    </row>
    <row r="89" spans="1:58" x14ac:dyDescent="0.25">
      <c r="G89">
        <v>80</v>
      </c>
      <c r="H89">
        <f t="shared" si="55"/>
        <v>3.6</v>
      </c>
      <c r="I89" s="463">
        <f t="shared" si="75"/>
        <v>0.50420757363253854</v>
      </c>
      <c r="J89" s="464">
        <f t="shared" si="56"/>
        <v>2.2244451777906113</v>
      </c>
      <c r="K89" s="464">
        <f t="shared" si="76"/>
        <v>4.7122225888953055</v>
      </c>
      <c r="L89" s="464">
        <f t="shared" si="77"/>
        <v>2.4877774111046946</v>
      </c>
      <c r="M89" s="77">
        <f t="shared" si="57"/>
        <v>0</v>
      </c>
      <c r="N89" s="463">
        <f t="shared" si="58"/>
        <v>3.6568218937236097</v>
      </c>
      <c r="O89" s="463">
        <f t="shared" si="78"/>
        <v>0.16255494777093263</v>
      </c>
      <c r="P89">
        <f t="shared" si="59"/>
        <v>0.4</v>
      </c>
      <c r="Q89" s="463">
        <f t="shared" si="79"/>
        <v>0.56255494777093262</v>
      </c>
      <c r="R89" s="9">
        <f t="shared" si="87"/>
        <v>0.64214201109748725</v>
      </c>
      <c r="S89" s="9">
        <f t="shared" si="80"/>
        <v>4.1234636241632542E-4</v>
      </c>
      <c r="T89" s="9">
        <f t="shared" si="88"/>
        <v>4.1234636241632542E-4</v>
      </c>
      <c r="U89" s="463">
        <f t="shared" si="60"/>
        <v>2.5966205562553495</v>
      </c>
      <c r="V89" s="465">
        <f t="shared" si="81"/>
        <v>6.7424383131678414E-3</v>
      </c>
      <c r="W89" s="463">
        <f t="shared" si="89"/>
        <v>6.7424383131678414E-3</v>
      </c>
      <c r="X89" s="463">
        <f t="shared" si="61"/>
        <v>2.5966205562553495</v>
      </c>
      <c r="Y89" s="463">
        <f t="shared" si="82"/>
        <v>0.1483336428896925</v>
      </c>
      <c r="Z89" s="463">
        <f t="shared" si="62"/>
        <v>9.7575865643615797E-2</v>
      </c>
      <c r="AA89" s="463">
        <f t="shared" si="63"/>
        <v>0.15997440000000002</v>
      </c>
      <c r="AB89" s="463">
        <f t="shared" si="64"/>
        <v>0</v>
      </c>
      <c r="AC89" s="463">
        <f t="shared" si="65"/>
        <v>0.41625705601689245</v>
      </c>
      <c r="AD89" s="463">
        <f t="shared" si="66"/>
        <v>2.5748607824984417</v>
      </c>
      <c r="AE89" s="463">
        <f t="shared" si="83"/>
        <v>6.6299080492484869E-2</v>
      </c>
      <c r="AF89" s="463">
        <f t="shared" si="67"/>
        <v>7.7759999999999996E-2</v>
      </c>
      <c r="AG89" s="463">
        <f t="shared" si="68"/>
        <v>0.14560362229642537</v>
      </c>
      <c r="AH89" s="463">
        <f t="shared" si="69"/>
        <v>0</v>
      </c>
      <c r="AI89">
        <f t="shared" si="70"/>
        <v>0</v>
      </c>
      <c r="AJ89" s="464">
        <f t="shared" si="71"/>
        <v>0.47841600000000001</v>
      </c>
      <c r="AK89">
        <f t="shared" si="84"/>
        <v>7.2000000000000008E-2</v>
      </c>
      <c r="AL89" s="464">
        <f t="shared" si="85"/>
        <v>0.22559999999999999</v>
      </c>
      <c r="AM89" s="464">
        <f t="shared" si="86"/>
        <v>0.18424406779661015</v>
      </c>
      <c r="AN89" s="464">
        <f t="shared" si="90"/>
        <v>0.29759999999999998</v>
      </c>
      <c r="AO89" s="464">
        <f t="shared" si="72"/>
        <v>1.9075864107598344</v>
      </c>
      <c r="AP89" s="100">
        <f t="shared" si="73"/>
        <v>43.2</v>
      </c>
      <c r="AQ89" s="10">
        <f t="shared" si="91"/>
        <v>0.95771029747881165</v>
      </c>
      <c r="AR89" s="77">
        <f t="shared" si="74"/>
        <v>17.482796352709482</v>
      </c>
      <c r="AS89" s="77">
        <f t="shared" si="92"/>
        <v>5.8241448918570153</v>
      </c>
      <c r="AT89" s="10"/>
      <c r="AU89">
        <f t="shared" si="93"/>
        <v>95.771029747881158</v>
      </c>
      <c r="BE89" s="31"/>
      <c r="BF89" s="32"/>
    </row>
    <row r="90" spans="1:58" x14ac:dyDescent="0.25">
      <c r="G90">
        <v>81</v>
      </c>
      <c r="H90">
        <f t="shared" si="55"/>
        <v>3.6450000000000005</v>
      </c>
      <c r="I90" s="463">
        <f t="shared" si="75"/>
        <v>0.50426026433174465</v>
      </c>
      <c r="J90" s="464">
        <f t="shared" si="56"/>
        <v>2.2246776367576966</v>
      </c>
      <c r="K90" s="464">
        <f t="shared" si="76"/>
        <v>4.757338818378849</v>
      </c>
      <c r="L90" s="464">
        <f t="shared" si="77"/>
        <v>2.5326611816211519</v>
      </c>
      <c r="M90" s="77">
        <f t="shared" si="57"/>
        <v>0</v>
      </c>
      <c r="N90" s="463">
        <f t="shared" si="58"/>
        <v>3.7011427355558024</v>
      </c>
      <c r="O90" s="463">
        <f t="shared" si="78"/>
        <v>0.16657199886456953</v>
      </c>
      <c r="P90">
        <f t="shared" si="59"/>
        <v>0.4</v>
      </c>
      <c r="Q90" s="463">
        <f t="shared" si="79"/>
        <v>0.56657199886456955</v>
      </c>
      <c r="R90" s="9">
        <f t="shared" si="87"/>
        <v>0.64220911622109833</v>
      </c>
      <c r="S90" s="9">
        <f t="shared" si="80"/>
        <v>4.1243254895748419E-4</v>
      </c>
      <c r="T90" s="9">
        <f t="shared" si="88"/>
        <v>4.1243254895748419E-4</v>
      </c>
      <c r="U90" s="463">
        <f t="shared" si="60"/>
        <v>2.6282290281812362</v>
      </c>
      <c r="V90" s="465">
        <f t="shared" si="81"/>
        <v>6.9075878245744848E-3</v>
      </c>
      <c r="W90" s="463">
        <f t="shared" si="89"/>
        <v>6.9075878245744848E-3</v>
      </c>
      <c r="X90" s="463">
        <f t="shared" si="61"/>
        <v>2.6282290281812362</v>
      </c>
      <c r="Y90" s="463">
        <f t="shared" si="82"/>
        <v>0.15196693214063867</v>
      </c>
      <c r="Z90" s="463">
        <f t="shared" si="62"/>
        <v>9.8886642025030669E-2</v>
      </c>
      <c r="AA90" s="463">
        <f t="shared" si="63"/>
        <v>0.15997440000000002</v>
      </c>
      <c r="AB90" s="463">
        <f t="shared" si="64"/>
        <v>0</v>
      </c>
      <c r="AC90" s="463">
        <f t="shared" si="65"/>
        <v>0.42159138978628807</v>
      </c>
      <c r="AD90" s="463">
        <f t="shared" si="66"/>
        <v>2.6059297236078725</v>
      </c>
      <c r="AE90" s="463">
        <f t="shared" si="83"/>
        <v>6.790869724383003E-2</v>
      </c>
      <c r="AF90" s="463">
        <f t="shared" si="67"/>
        <v>7.8731999999999996E-2</v>
      </c>
      <c r="AG90" s="463">
        <f t="shared" si="68"/>
        <v>0.14825150792666736</v>
      </c>
      <c r="AH90" s="463">
        <f t="shared" si="69"/>
        <v>0</v>
      </c>
      <c r="AI90">
        <f t="shared" si="70"/>
        <v>0</v>
      </c>
      <c r="AJ90" s="464">
        <f t="shared" si="71"/>
        <v>0.47839619999999999</v>
      </c>
      <c r="AK90">
        <f t="shared" si="84"/>
        <v>7.2000000000000008E-2</v>
      </c>
      <c r="AL90" s="464">
        <f t="shared" si="85"/>
        <v>0.22559999999999999</v>
      </c>
      <c r="AM90" s="464">
        <f t="shared" si="86"/>
        <v>0.18424406779661015</v>
      </c>
      <c r="AN90" s="464">
        <f t="shared" si="90"/>
        <v>0.29759999999999998</v>
      </c>
      <c r="AO90" s="464">
        <f t="shared" si="72"/>
        <v>1.9197311169510569</v>
      </c>
      <c r="AP90" s="100">
        <f t="shared" si="73"/>
        <v>43.740000000000009</v>
      </c>
      <c r="AQ90" s="10">
        <f t="shared" si="91"/>
        <v>0.9579557069218404</v>
      </c>
      <c r="AR90" s="77">
        <f t="shared" si="74"/>
        <v>17.706838371024098</v>
      </c>
      <c r="AS90" s="77">
        <f t="shared" si="92"/>
        <v>5.9300603170666939</v>
      </c>
      <c r="AT90" s="10"/>
      <c r="AU90">
        <f t="shared" si="93"/>
        <v>95.795570692184043</v>
      </c>
      <c r="BE90" s="31"/>
      <c r="BF90" s="32"/>
    </row>
    <row r="91" spans="1:58" x14ac:dyDescent="0.25">
      <c r="G91">
        <v>82</v>
      </c>
      <c r="H91">
        <f t="shared" si="55"/>
        <v>3.69</v>
      </c>
      <c r="I91" s="463">
        <f t="shared" si="75"/>
        <v>0.5043129574064148</v>
      </c>
      <c r="J91" s="464">
        <f t="shared" si="56"/>
        <v>2.2249101062047711</v>
      </c>
      <c r="K91" s="464">
        <f t="shared" si="76"/>
        <v>4.8024550531023857</v>
      </c>
      <c r="L91" s="464">
        <f t="shared" si="77"/>
        <v>2.5775449468976142</v>
      </c>
      <c r="M91" s="77">
        <f t="shared" si="57"/>
        <v>0</v>
      </c>
      <c r="N91" s="463">
        <f t="shared" si="58"/>
        <v>3.7454797754614839</v>
      </c>
      <c r="O91" s="463">
        <f t="shared" si="78"/>
        <v>0.17064153542204499</v>
      </c>
      <c r="P91">
        <f t="shared" si="59"/>
        <v>0.4</v>
      </c>
      <c r="Q91" s="463">
        <f t="shared" si="79"/>
        <v>0.57064153542204499</v>
      </c>
      <c r="R91" s="9">
        <f t="shared" si="87"/>
        <v>0.64227622437002174</v>
      </c>
      <c r="S91" s="9">
        <f t="shared" si="80"/>
        <v>4.1251874839101052E-4</v>
      </c>
      <c r="T91" s="9">
        <f t="shared" si="88"/>
        <v>4.1251874839101052E-4</v>
      </c>
      <c r="U91" s="463">
        <f t="shared" si="60"/>
        <v>2.6598522908853695</v>
      </c>
      <c r="V91" s="465">
        <f t="shared" si="81"/>
        <v>7.0748142093281481E-3</v>
      </c>
      <c r="W91" s="463">
        <f t="shared" si="89"/>
        <v>7.0748142093281481E-3</v>
      </c>
      <c r="X91" s="463">
        <f t="shared" si="61"/>
        <v>2.6598522908853695</v>
      </c>
      <c r="Y91" s="463">
        <f t="shared" si="82"/>
        <v>0.15564591260521923</v>
      </c>
      <c r="Z91" s="463">
        <f t="shared" si="62"/>
        <v>0.10019741837182856</v>
      </c>
      <c r="AA91" s="463">
        <f t="shared" si="63"/>
        <v>0.15997440000000002</v>
      </c>
      <c r="AB91" s="463">
        <f t="shared" si="64"/>
        <v>0</v>
      </c>
      <c r="AC91" s="463">
        <f t="shared" si="65"/>
        <v>0.42698269362779162</v>
      </c>
      <c r="AD91" s="463">
        <f t="shared" si="66"/>
        <v>2.6370067385319405</v>
      </c>
      <c r="AE91" s="463">
        <f t="shared" si="83"/>
        <v>6.9538045390628619E-2</v>
      </c>
      <c r="AF91" s="463">
        <f t="shared" si="67"/>
        <v>7.9703999999999997E-2</v>
      </c>
      <c r="AG91" s="463">
        <f t="shared" si="68"/>
        <v>0.15092120791970526</v>
      </c>
      <c r="AH91" s="463">
        <f t="shared" si="69"/>
        <v>0</v>
      </c>
      <c r="AI91">
        <f t="shared" si="70"/>
        <v>0</v>
      </c>
      <c r="AJ91" s="464">
        <f t="shared" si="71"/>
        <v>0.47837640000000003</v>
      </c>
      <c r="AK91">
        <f t="shared" si="84"/>
        <v>7.2000000000000008E-2</v>
      </c>
      <c r="AL91" s="464">
        <f t="shared" si="85"/>
        <v>0.22559999999999999</v>
      </c>
      <c r="AM91" s="464">
        <f t="shared" si="86"/>
        <v>0.18424406779661015</v>
      </c>
      <c r="AN91" s="464">
        <f t="shared" si="90"/>
        <v>0.29759999999999998</v>
      </c>
      <c r="AO91" s="464">
        <f t="shared" si="72"/>
        <v>1.932009169927261</v>
      </c>
      <c r="AP91" s="100">
        <f t="shared" si="73"/>
        <v>44.28</v>
      </c>
      <c r="AQ91" s="10">
        <f t="shared" si="91"/>
        <v>0.95819248709089822</v>
      </c>
      <c r="AR91" s="77">
        <f t="shared" si="74"/>
        <v>17.933273132367248</v>
      </c>
      <c r="AS91" s="77">
        <f t="shared" si="92"/>
        <v>6.0368483167882108</v>
      </c>
      <c r="AT91" s="10"/>
      <c r="AU91">
        <f t="shared" si="93"/>
        <v>95.81924870908982</v>
      </c>
      <c r="BE91" s="31"/>
      <c r="BF91" s="32"/>
    </row>
    <row r="92" spans="1:58" x14ac:dyDescent="0.25">
      <c r="G92">
        <v>83</v>
      </c>
      <c r="H92">
        <f t="shared" si="55"/>
        <v>3.7349999999999999</v>
      </c>
      <c r="I92" s="463">
        <f t="shared" si="75"/>
        <v>0.50436565285670987</v>
      </c>
      <c r="J92" s="464">
        <f t="shared" si="56"/>
        <v>2.2251425861325433</v>
      </c>
      <c r="K92" s="464">
        <f t="shared" si="76"/>
        <v>4.847571293066272</v>
      </c>
      <c r="L92" s="464">
        <f t="shared" si="77"/>
        <v>2.6224287069337282</v>
      </c>
      <c r="M92" s="77">
        <f t="shared" si="57"/>
        <v>0</v>
      </c>
      <c r="N92" s="463">
        <f t="shared" si="58"/>
        <v>3.7898324449398002</v>
      </c>
      <c r="O92" s="463">
        <f t="shared" si="78"/>
        <v>0.17476365617854631</v>
      </c>
      <c r="P92">
        <f t="shared" si="59"/>
        <v>0.4</v>
      </c>
      <c r="Q92" s="463">
        <f t="shared" si="79"/>
        <v>0.5747636561785463</v>
      </c>
      <c r="R92" s="9">
        <f t="shared" si="87"/>
        <v>0.64234333554446199</v>
      </c>
      <c r="S92" s="9">
        <f t="shared" si="80"/>
        <v>4.1260496071838528E-4</v>
      </c>
      <c r="T92" s="9">
        <f t="shared" si="88"/>
        <v>4.1260496071838528E-4</v>
      </c>
      <c r="U92" s="463">
        <f t="shared" si="60"/>
        <v>2.6914899423939223</v>
      </c>
      <c r="V92" s="465">
        <f t="shared" si="81"/>
        <v>7.2441181100076392E-3</v>
      </c>
      <c r="W92" s="463">
        <f t="shared" si="89"/>
        <v>7.2441181100076392E-3</v>
      </c>
      <c r="X92" s="463">
        <f t="shared" si="61"/>
        <v>2.6914899423939223</v>
      </c>
      <c r="Y92" s="463">
        <f t="shared" si="82"/>
        <v>0.15937059842016804</v>
      </c>
      <c r="Z92" s="463">
        <f t="shared" si="62"/>
        <v>0.10150819468400718</v>
      </c>
      <c r="AA92" s="463">
        <f t="shared" si="63"/>
        <v>0.15997440000000002</v>
      </c>
      <c r="AB92" s="463">
        <f t="shared" si="64"/>
        <v>0</v>
      </c>
      <c r="AC92" s="463">
        <f t="shared" si="65"/>
        <v>0.43243121923115996</v>
      </c>
      <c r="AD92" s="463">
        <f t="shared" si="66"/>
        <v>2.6680914247286851</v>
      </c>
      <c r="AE92" s="463">
        <f t="shared" si="83"/>
        <v>7.1187118507107447E-2</v>
      </c>
      <c r="AF92" s="463">
        <f t="shared" si="67"/>
        <v>8.0675999999999998E-2</v>
      </c>
      <c r="AG92" s="463">
        <f t="shared" si="68"/>
        <v>0.15361275844949912</v>
      </c>
      <c r="AH92" s="463">
        <f t="shared" si="69"/>
        <v>0</v>
      </c>
      <c r="AI92">
        <f t="shared" si="70"/>
        <v>0</v>
      </c>
      <c r="AJ92" s="464">
        <f t="shared" si="71"/>
        <v>0.47835659999999997</v>
      </c>
      <c r="AK92">
        <f t="shared" si="84"/>
        <v>7.2000000000000008E-2</v>
      </c>
      <c r="AL92" s="464">
        <f t="shared" si="85"/>
        <v>0.22559999999999999</v>
      </c>
      <c r="AM92" s="464">
        <f t="shared" si="86"/>
        <v>0.18424406779661015</v>
      </c>
      <c r="AN92" s="464">
        <f t="shared" si="90"/>
        <v>0.29759999999999998</v>
      </c>
      <c r="AO92" s="464">
        <f t="shared" si="72"/>
        <v>1.9444209569299313</v>
      </c>
      <c r="AP92" s="100">
        <f t="shared" si="73"/>
        <v>44.82</v>
      </c>
      <c r="AQ92" s="10">
        <f t="shared" si="91"/>
        <v>0.95842093375387361</v>
      </c>
      <c r="AR92" s="77">
        <f t="shared" si="74"/>
        <v>18.162111207708719</v>
      </c>
      <c r="AS92" s="77">
        <f t="shared" si="92"/>
        <v>6.1445103379799644</v>
      </c>
      <c r="AT92" s="10"/>
      <c r="AU92">
        <f t="shared" si="93"/>
        <v>95.842093375387364</v>
      </c>
      <c r="BE92" s="31"/>
      <c r="BF92" s="32"/>
    </row>
    <row r="93" spans="1:58" x14ac:dyDescent="0.25">
      <c r="G93">
        <v>84</v>
      </c>
      <c r="H93">
        <f t="shared" si="55"/>
        <v>3.78</v>
      </c>
      <c r="I93" s="463">
        <f t="shared" si="75"/>
        <v>0.50441835068279051</v>
      </c>
      <c r="J93" s="464">
        <f t="shared" si="56"/>
        <v>2.2253750765417224</v>
      </c>
      <c r="K93" s="464">
        <f t="shared" si="76"/>
        <v>4.8926875382708612</v>
      </c>
      <c r="L93" s="464">
        <f t="shared" si="77"/>
        <v>2.6673124617291384</v>
      </c>
      <c r="M93" s="77">
        <f t="shared" si="57"/>
        <v>0</v>
      </c>
      <c r="N93" s="463">
        <f t="shared" si="58"/>
        <v>3.8342002015989056</v>
      </c>
      <c r="O93" s="463">
        <f t="shared" si="78"/>
        <v>0.17893846124125759</v>
      </c>
      <c r="P93">
        <f t="shared" si="59"/>
        <v>0.4</v>
      </c>
      <c r="Q93" s="463">
        <f t="shared" si="79"/>
        <v>0.57893846124125758</v>
      </c>
      <c r="R93" s="9">
        <f t="shared" si="87"/>
        <v>0.6424104497446238</v>
      </c>
      <c r="S93" s="9">
        <f t="shared" si="80"/>
        <v>4.1269118594108986E-4</v>
      </c>
      <c r="T93" s="9">
        <f t="shared" si="88"/>
        <v>4.1269118594108986E-4</v>
      </c>
      <c r="U93" s="463">
        <f t="shared" si="60"/>
        <v>2.7231415991919539</v>
      </c>
      <c r="V93" s="465">
        <f t="shared" si="81"/>
        <v>7.4155001692497117E-3</v>
      </c>
      <c r="W93" s="463">
        <f t="shared" si="89"/>
        <v>7.4155001692497117E-3</v>
      </c>
      <c r="X93" s="463">
        <f t="shared" si="61"/>
        <v>2.7231415991919539</v>
      </c>
      <c r="Y93" s="463">
        <f t="shared" si="82"/>
        <v>0.16314100372349366</v>
      </c>
      <c r="Z93" s="463">
        <f t="shared" si="62"/>
        <v>0.10281897096156413</v>
      </c>
      <c r="AA93" s="463">
        <f t="shared" si="63"/>
        <v>0.15997440000000002</v>
      </c>
      <c r="AB93" s="463">
        <f t="shared" si="64"/>
        <v>0</v>
      </c>
      <c r="AC93" s="463">
        <f t="shared" si="65"/>
        <v>0.4379372216948062</v>
      </c>
      <c r="AD93" s="463">
        <f t="shared" si="66"/>
        <v>2.699183398120879</v>
      </c>
      <c r="AE93" s="463">
        <f t="shared" si="83"/>
        <v>7.2855910166913757E-2</v>
      </c>
      <c r="AF93" s="463">
        <f t="shared" si="67"/>
        <v>8.1647999999999984E-2</v>
      </c>
      <c r="AG93" s="463">
        <f t="shared" si="68"/>
        <v>0.15632619613529264</v>
      </c>
      <c r="AH93" s="463">
        <f t="shared" si="69"/>
        <v>0</v>
      </c>
      <c r="AI93">
        <f t="shared" si="70"/>
        <v>0</v>
      </c>
      <c r="AJ93" s="464">
        <f t="shared" si="71"/>
        <v>0.47833680000000001</v>
      </c>
      <c r="AK93">
        <f t="shared" si="84"/>
        <v>7.2000000000000008E-2</v>
      </c>
      <c r="AL93" s="464">
        <f t="shared" si="85"/>
        <v>0.22559999999999999</v>
      </c>
      <c r="AM93" s="464">
        <f t="shared" si="86"/>
        <v>0.18424406779661015</v>
      </c>
      <c r="AN93" s="464">
        <f t="shared" si="90"/>
        <v>0.29759999999999998</v>
      </c>
      <c r="AO93" s="464">
        <f t="shared" si="72"/>
        <v>1.9569668704265473</v>
      </c>
      <c r="AP93" s="100">
        <f t="shared" si="73"/>
        <v>45.36</v>
      </c>
      <c r="AQ93" s="10">
        <f t="shared" si="91"/>
        <v>0.95864132889613285</v>
      </c>
      <c r="AR93" s="77">
        <f t="shared" si="74"/>
        <v>18.393363311181862</v>
      </c>
      <c r="AS93" s="77">
        <f t="shared" si="92"/>
        <v>6.2530478454117056</v>
      </c>
      <c r="AT93" s="10"/>
      <c r="AU93">
        <f t="shared" si="93"/>
        <v>95.864132889613288</v>
      </c>
      <c r="BE93" s="31"/>
      <c r="BF93" s="32"/>
    </row>
    <row r="94" spans="1:58" x14ac:dyDescent="0.25">
      <c r="G94">
        <v>85</v>
      </c>
      <c r="H94">
        <f t="shared" si="55"/>
        <v>3.8249999999999997</v>
      </c>
      <c r="I94" s="463">
        <f t="shared" si="75"/>
        <v>0.50447105088481714</v>
      </c>
      <c r="J94" s="464">
        <f t="shared" si="56"/>
        <v>2.2256075774330166</v>
      </c>
      <c r="K94" s="464">
        <f t="shared" si="76"/>
        <v>4.9378037887165078</v>
      </c>
      <c r="L94" s="464">
        <f t="shared" si="77"/>
        <v>2.7121962112834916</v>
      </c>
      <c r="M94" s="77">
        <f t="shared" si="57"/>
        <v>0</v>
      </c>
      <c r="N94" s="463">
        <f t="shared" si="58"/>
        <v>3.8785825276846442</v>
      </c>
      <c r="O94" s="463">
        <f t="shared" si="78"/>
        <v>0.18316605209554296</v>
      </c>
      <c r="P94">
        <f t="shared" si="59"/>
        <v>0.4</v>
      </c>
      <c r="Q94" s="463">
        <f t="shared" si="79"/>
        <v>0.58316605209554295</v>
      </c>
      <c r="R94" s="9">
        <f t="shared" si="87"/>
        <v>0.64247756697071157</v>
      </c>
      <c r="S94" s="9">
        <f t="shared" si="80"/>
        <v>4.1277742406060518E-4</v>
      </c>
      <c r="T94" s="9">
        <f t="shared" si="88"/>
        <v>4.1277742406060518E-4</v>
      </c>
      <c r="U94" s="463">
        <f t="shared" si="60"/>
        <v>2.7548068951832283</v>
      </c>
      <c r="V94" s="465">
        <f t="shared" si="81"/>
        <v>7.5889610297490591E-3</v>
      </c>
      <c r="W94" s="463">
        <f t="shared" si="89"/>
        <v>7.5889610297490591E-3</v>
      </c>
      <c r="X94" s="463">
        <f t="shared" si="61"/>
        <v>2.7548068951832283</v>
      </c>
      <c r="Y94" s="463">
        <f t="shared" si="82"/>
        <v>0.16695714265447928</v>
      </c>
      <c r="Z94" s="463">
        <f t="shared" si="62"/>
        <v>0.10412974720449714</v>
      </c>
      <c r="AA94" s="463">
        <f t="shared" si="63"/>
        <v>0.15997440000000002</v>
      </c>
      <c r="AB94" s="463">
        <f t="shared" si="64"/>
        <v>0</v>
      </c>
      <c r="AC94" s="463">
        <f t="shared" si="65"/>
        <v>0.44350095955833618</v>
      </c>
      <c r="AD94" s="463">
        <f t="shared" si="66"/>
        <v>2.7302822920554468</v>
      </c>
      <c r="AE94" s="463">
        <f t="shared" si="83"/>
        <v>7.4544413943115451E-2</v>
      </c>
      <c r="AF94" s="463">
        <f t="shared" si="67"/>
        <v>8.2619999999999985E-2</v>
      </c>
      <c r="AG94" s="463">
        <f t="shared" si="68"/>
        <v>0.15906155804314825</v>
      </c>
      <c r="AH94" s="463">
        <f t="shared" si="69"/>
        <v>0</v>
      </c>
      <c r="AI94">
        <f t="shared" si="70"/>
        <v>0</v>
      </c>
      <c r="AJ94" s="464">
        <f t="shared" si="71"/>
        <v>0.47831699999999999</v>
      </c>
      <c r="AK94">
        <f t="shared" si="84"/>
        <v>7.2000000000000008E-2</v>
      </c>
      <c r="AL94" s="464">
        <f t="shared" si="85"/>
        <v>0.22559999999999999</v>
      </c>
      <c r="AM94" s="464">
        <f t="shared" si="86"/>
        <v>0.18424406779661015</v>
      </c>
      <c r="AN94" s="464">
        <f t="shared" si="90"/>
        <v>0.29759999999999998</v>
      </c>
      <c r="AO94" s="464">
        <f t="shared" si="72"/>
        <v>1.969647308150837</v>
      </c>
      <c r="AP94" s="100">
        <f t="shared" si="73"/>
        <v>45.9</v>
      </c>
      <c r="AQ94" s="10">
        <f t="shared" si="91"/>
        <v>0.9588539415076186</v>
      </c>
      <c r="AR94" s="77">
        <f t="shared" si="74"/>
        <v>18.627040301450119</v>
      </c>
      <c r="AS94" s="77">
        <f t="shared" si="92"/>
        <v>6.3624623217259302</v>
      </c>
      <c r="AT94" s="10"/>
      <c r="AU94">
        <f t="shared" si="93"/>
        <v>95.885394150761854</v>
      </c>
      <c r="BE94" s="31"/>
      <c r="BF94" s="32"/>
    </row>
    <row r="95" spans="1:58" x14ac:dyDescent="0.25">
      <c r="G95">
        <v>86</v>
      </c>
      <c r="H95">
        <f t="shared" si="55"/>
        <v>3.87</v>
      </c>
      <c r="I95" s="463">
        <f t="shared" si="75"/>
        <v>0.50452375346295086</v>
      </c>
      <c r="J95" s="464">
        <f t="shared" si="56"/>
        <v>2.2258400888071357</v>
      </c>
      <c r="K95" s="464">
        <f t="shared" si="76"/>
        <v>4.9829200444035679</v>
      </c>
      <c r="L95" s="464">
        <f t="shared" si="77"/>
        <v>2.7570799555964323</v>
      </c>
      <c r="M95" s="77">
        <f t="shared" si="57"/>
        <v>0</v>
      </c>
      <c r="N95" s="463">
        <f t="shared" si="58"/>
        <v>3.9229789287069097</v>
      </c>
      <c r="O95" s="463">
        <f t="shared" si="78"/>
        <v>0.18744653161122238</v>
      </c>
      <c r="P95">
        <f t="shared" si="59"/>
        <v>0.4</v>
      </c>
      <c r="Q95" s="463">
        <f t="shared" si="79"/>
        <v>0.5874465316112224</v>
      </c>
      <c r="R95" s="9">
        <f t="shared" si="87"/>
        <v>0.64254468722293023</v>
      </c>
      <c r="S95" s="9">
        <f t="shared" si="80"/>
        <v>4.1286367507841328E-4</v>
      </c>
      <c r="T95" s="9">
        <f t="shared" si="88"/>
        <v>4.1286367507841328E-4</v>
      </c>
      <c r="U95" s="463">
        <f t="shared" si="60"/>
        <v>2.7864854807190969</v>
      </c>
      <c r="V95" s="465">
        <f t="shared" si="81"/>
        <v>7.7645013342583372E-3</v>
      </c>
      <c r="W95" s="463">
        <f t="shared" si="89"/>
        <v>7.7645013342583372E-3</v>
      </c>
      <c r="X95" s="463">
        <f t="shared" si="61"/>
        <v>2.7864854807190969</v>
      </c>
      <c r="Y95" s="463">
        <f t="shared" si="82"/>
        <v>0.1708190293536834</v>
      </c>
      <c r="Z95" s="463">
        <f t="shared" si="62"/>
        <v>0.10544052341280381</v>
      </c>
      <c r="AA95" s="463">
        <f t="shared" si="63"/>
        <v>0.15997440000000002</v>
      </c>
      <c r="AB95" s="463">
        <f t="shared" si="64"/>
        <v>0</v>
      </c>
      <c r="AC95" s="463">
        <f t="shared" si="65"/>
        <v>0.44912269483563283</v>
      </c>
      <c r="AD95" s="463">
        <f t="shared" si="66"/>
        <v>2.7613877563319633</v>
      </c>
      <c r="AE95" s="463">
        <f t="shared" si="83"/>
        <v>7.6252623408200743E-2</v>
      </c>
      <c r="AF95" s="463">
        <f t="shared" si="67"/>
        <v>8.3592E-2</v>
      </c>
      <c r="AG95" s="463">
        <f t="shared" si="68"/>
        <v>0.16181888168750533</v>
      </c>
      <c r="AH95" s="463">
        <f t="shared" si="69"/>
        <v>0</v>
      </c>
      <c r="AI95">
        <f t="shared" si="70"/>
        <v>0</v>
      </c>
      <c r="AJ95" s="464">
        <f t="shared" si="71"/>
        <v>0.47829720000000003</v>
      </c>
      <c r="AK95">
        <f t="shared" si="84"/>
        <v>7.2000000000000008E-2</v>
      </c>
      <c r="AL95" s="464">
        <f t="shared" si="85"/>
        <v>0.22559999999999999</v>
      </c>
      <c r="AM95" s="464">
        <f t="shared" si="86"/>
        <v>0.18424406779661015</v>
      </c>
      <c r="AN95" s="464">
        <f t="shared" si="90"/>
        <v>0.29759999999999998</v>
      </c>
      <c r="AO95" s="464">
        <f t="shared" si="72"/>
        <v>1.9824626731436972</v>
      </c>
      <c r="AP95" s="100">
        <f t="shared" si="73"/>
        <v>46.44</v>
      </c>
      <c r="AQ95" s="10">
        <f t="shared" si="91"/>
        <v>0.95905902831655809</v>
      </c>
      <c r="AR95" s="77">
        <f t="shared" si="74"/>
        <v>18.863153183096578</v>
      </c>
      <c r="AS95" s="77">
        <f t="shared" si="92"/>
        <v>6.4727552675002133</v>
      </c>
      <c r="AT95" s="10"/>
      <c r="AU95">
        <f t="shared" si="93"/>
        <v>95.905902831655808</v>
      </c>
      <c r="BE95" s="31"/>
      <c r="BF95" s="32"/>
    </row>
    <row r="96" spans="1:58" x14ac:dyDescent="0.25">
      <c r="G96">
        <v>87</v>
      </c>
      <c r="H96">
        <f t="shared" si="55"/>
        <v>3.915</v>
      </c>
      <c r="I96" s="463">
        <f t="shared" si="75"/>
        <v>0.50457645841735199</v>
      </c>
      <c r="J96" s="464">
        <f t="shared" si="56"/>
        <v>2.2260726106647879</v>
      </c>
      <c r="K96" s="464">
        <f t="shared" si="76"/>
        <v>5.0280363053323942</v>
      </c>
      <c r="L96" s="464">
        <f t="shared" si="77"/>
        <v>2.8019636946676059</v>
      </c>
      <c r="M96" s="77">
        <f t="shared" si="57"/>
        <v>0</v>
      </c>
      <c r="N96" s="463">
        <f t="shared" si="58"/>
        <v>3.9673889321562608</v>
      </c>
      <c r="O96" s="463">
        <f t="shared" si="78"/>
        <v>0.19178000404894238</v>
      </c>
      <c r="P96">
        <f t="shared" si="59"/>
        <v>0.4</v>
      </c>
      <c r="Q96" s="463">
        <f t="shared" si="79"/>
        <v>0.59178000404894238</v>
      </c>
      <c r="R96" s="9">
        <f t="shared" si="87"/>
        <v>0.64261181050148419</v>
      </c>
      <c r="S96" s="9">
        <f t="shared" si="80"/>
        <v>4.129499389959954E-4</v>
      </c>
      <c r="T96" s="9">
        <f t="shared" si="88"/>
        <v>4.129499389959954E-4</v>
      </c>
      <c r="U96" s="463">
        <f t="shared" si="60"/>
        <v>2.8181770216911781</v>
      </c>
      <c r="V96" s="465">
        <f t="shared" si="81"/>
        <v>7.9421217255881589E-3</v>
      </c>
      <c r="W96" s="463">
        <f t="shared" si="89"/>
        <v>7.9421217255881589E-3</v>
      </c>
      <c r="X96" s="463">
        <f t="shared" si="61"/>
        <v>2.8181770216911781</v>
      </c>
      <c r="Y96" s="463">
        <f t="shared" si="82"/>
        <v>0.17472667796293948</v>
      </c>
      <c r="Z96" s="463">
        <f t="shared" si="62"/>
        <v>0.10675129958648179</v>
      </c>
      <c r="AA96" s="463">
        <f t="shared" si="63"/>
        <v>0.15997440000000002</v>
      </c>
      <c r="AB96" s="463">
        <f t="shared" si="64"/>
        <v>0</v>
      </c>
      <c r="AC96" s="463">
        <f t="shared" si="65"/>
        <v>0.4548026930484948</v>
      </c>
      <c r="AD96" s="463">
        <f t="shared" si="66"/>
        <v>2.7924994562949941</v>
      </c>
      <c r="AE96" s="463">
        <f t="shared" si="83"/>
        <v>7.7980532134078379E-2</v>
      </c>
      <c r="AF96" s="463">
        <f t="shared" si="67"/>
        <v>8.4563999999999986E-2</v>
      </c>
      <c r="AG96" s="463">
        <f t="shared" si="68"/>
        <v>0.1645982050327614</v>
      </c>
      <c r="AH96" s="463">
        <f t="shared" si="69"/>
        <v>0</v>
      </c>
      <c r="AI96">
        <f t="shared" si="70"/>
        <v>0</v>
      </c>
      <c r="AJ96" s="464">
        <f t="shared" si="71"/>
        <v>0.47827740000000002</v>
      </c>
      <c r="AK96">
        <f t="shared" si="84"/>
        <v>7.2000000000000008E-2</v>
      </c>
      <c r="AL96" s="464">
        <f t="shared" si="85"/>
        <v>0.22559999999999999</v>
      </c>
      <c r="AM96" s="464">
        <f t="shared" si="86"/>
        <v>0.18424406779661015</v>
      </c>
      <c r="AN96" s="464">
        <f t="shared" si="90"/>
        <v>0.29759999999999998</v>
      </c>
      <c r="AO96" s="464">
        <f t="shared" si="72"/>
        <v>1.9954133737947828</v>
      </c>
      <c r="AP96" s="100">
        <f t="shared" si="73"/>
        <v>46.980000000000004</v>
      </c>
      <c r="AQ96" s="10">
        <f t="shared" si="91"/>
        <v>0.95925683447395937</v>
      </c>
      <c r="AR96" s="77">
        <f t="shared" si="74"/>
        <v>19.101713108036783</v>
      </c>
      <c r="AS96" s="77">
        <f t="shared" si="92"/>
        <v>6.5839282013104565</v>
      </c>
      <c r="AT96" s="10"/>
      <c r="AU96">
        <f t="shared" si="93"/>
        <v>95.92568344739594</v>
      </c>
      <c r="BE96" s="31"/>
      <c r="BF96" s="32"/>
    </row>
    <row r="97" spans="7:58" x14ac:dyDescent="0.25">
      <c r="G97">
        <v>88</v>
      </c>
      <c r="H97">
        <f t="shared" si="55"/>
        <v>3.96</v>
      </c>
      <c r="I97" s="463">
        <f t="shared" si="75"/>
        <v>0.5046291657481814</v>
      </c>
      <c r="J97" s="464">
        <f t="shared" si="56"/>
        <v>2.2263051430066825</v>
      </c>
      <c r="K97" s="464">
        <f t="shared" si="76"/>
        <v>5.073152571503341</v>
      </c>
      <c r="L97" s="464">
        <f t="shared" si="77"/>
        <v>2.8468474284966589</v>
      </c>
      <c r="M97" s="77">
        <f t="shared" si="57"/>
        <v>0</v>
      </c>
      <c r="N97" s="463">
        <f t="shared" si="58"/>
        <v>4.0118120863039977</v>
      </c>
      <c r="O97" s="463">
        <f t="shared" si="78"/>
        <v>0.19616657506664195</v>
      </c>
      <c r="P97">
        <f t="shared" si="59"/>
        <v>0.4</v>
      </c>
      <c r="Q97" s="463">
        <f t="shared" si="79"/>
        <v>0.59616657506664195</v>
      </c>
      <c r="R97" s="9">
        <f t="shared" si="87"/>
        <v>0.64267893680657828</v>
      </c>
      <c r="S97" s="9">
        <f t="shared" si="80"/>
        <v>4.1303621581483387E-4</v>
      </c>
      <c r="T97" s="9">
        <f t="shared" si="88"/>
        <v>4.1303621581483387E-4</v>
      </c>
      <c r="U97" s="463">
        <f t="shared" si="60"/>
        <v>2.8498811986830446</v>
      </c>
      <c r="V97" s="465">
        <f t="shared" si="81"/>
        <v>8.1218228466071064E-3</v>
      </c>
      <c r="W97" s="463">
        <f t="shared" si="89"/>
        <v>8.1218228466071064E-3</v>
      </c>
      <c r="X97" s="463">
        <f t="shared" si="61"/>
        <v>2.8498811986830446</v>
      </c>
      <c r="Y97" s="463">
        <f t="shared" si="82"/>
        <v>0.17868010262535633</v>
      </c>
      <c r="Z97" s="463">
        <f t="shared" si="62"/>
        <v>0.10806207572552876</v>
      </c>
      <c r="AA97" s="463">
        <f t="shared" si="63"/>
        <v>0.15997440000000002</v>
      </c>
      <c r="AB97" s="463">
        <f t="shared" si="64"/>
        <v>0</v>
      </c>
      <c r="AC97" s="463">
        <f t="shared" si="65"/>
        <v>0.46054122326084146</v>
      </c>
      <c r="AD97" s="463">
        <f t="shared" si="66"/>
        <v>2.8236170719854576</v>
      </c>
      <c r="AE97" s="463">
        <f t="shared" si="83"/>
        <v>7.9728133692077291E-2</v>
      </c>
      <c r="AF97" s="463">
        <f t="shared" si="67"/>
        <v>8.5535999999999987E-2</v>
      </c>
      <c r="AG97" s="463">
        <f t="shared" si="68"/>
        <v>0.16739956649487717</v>
      </c>
      <c r="AH97" s="463">
        <f t="shared" si="69"/>
        <v>0</v>
      </c>
      <c r="AI97">
        <f t="shared" si="70"/>
        <v>0</v>
      </c>
      <c r="AJ97" s="464">
        <f t="shared" si="71"/>
        <v>0.47825760000000006</v>
      </c>
      <c r="AK97">
        <f t="shared" si="84"/>
        <v>7.2000000000000008E-2</v>
      </c>
      <c r="AL97" s="464">
        <f t="shared" si="85"/>
        <v>0.22559999999999999</v>
      </c>
      <c r="AM97" s="464">
        <f t="shared" si="86"/>
        <v>0.18424406779661015</v>
      </c>
      <c r="AN97" s="464">
        <f t="shared" si="90"/>
        <v>0.29759999999999998</v>
      </c>
      <c r="AO97" s="464">
        <f t="shared" si="72"/>
        <v>2.0084998238847822</v>
      </c>
      <c r="AP97" s="100">
        <f t="shared" si="73"/>
        <v>47.519999999999996</v>
      </c>
      <c r="AQ97" s="10">
        <f t="shared" si="91"/>
        <v>0.95944759419270365</v>
      </c>
      <c r="AR97" s="77">
        <f t="shared" si="74"/>
        <v>19.342731376955342</v>
      </c>
      <c r="AS97" s="77">
        <f t="shared" si="92"/>
        <v>6.6959826597950869</v>
      </c>
      <c r="AT97" s="10"/>
      <c r="AU97">
        <f t="shared" si="93"/>
        <v>95.944759419270369</v>
      </c>
      <c r="BE97" s="31"/>
      <c r="BF97" s="32"/>
    </row>
    <row r="98" spans="7:58" x14ac:dyDescent="0.25">
      <c r="G98">
        <v>89</v>
      </c>
      <c r="H98">
        <f t="shared" si="55"/>
        <v>4.0049999999999999</v>
      </c>
      <c r="I98" s="463">
        <f t="shared" si="75"/>
        <v>0.50468187545559984</v>
      </c>
      <c r="J98" s="464">
        <f t="shared" si="56"/>
        <v>2.2265376858335286</v>
      </c>
      <c r="K98" s="464">
        <f t="shared" si="76"/>
        <v>5.1182688429167644</v>
      </c>
      <c r="L98" s="464">
        <f t="shared" si="77"/>
        <v>2.8917311570832354</v>
      </c>
      <c r="M98" s="77">
        <f t="shared" si="57"/>
        <v>0</v>
      </c>
      <c r="N98" s="463">
        <f t="shared" si="58"/>
        <v>4.0562479590794753</v>
      </c>
      <c r="O98" s="463">
        <f t="shared" si="78"/>
        <v>0.20060635172611432</v>
      </c>
      <c r="P98">
        <f t="shared" si="59"/>
        <v>0.4</v>
      </c>
      <c r="Q98" s="463">
        <f t="shared" si="79"/>
        <v>0.60060635172611432</v>
      </c>
      <c r="R98" s="9">
        <f t="shared" si="87"/>
        <v>0.64274606613841712</v>
      </c>
      <c r="S98" s="9">
        <f t="shared" si="80"/>
        <v>4.1312250553641046E-4</v>
      </c>
      <c r="T98" s="9">
        <f t="shared" si="88"/>
        <v>4.1312250553641046E-4</v>
      </c>
      <c r="U98" s="463">
        <f t="shared" si="60"/>
        <v>2.8815977061765126</v>
      </c>
      <c r="V98" s="465">
        <f t="shared" si="81"/>
        <v>8.3036053402417379E-3</v>
      </c>
      <c r="W98" s="463">
        <f t="shared" si="89"/>
        <v>8.3036053402417379E-3</v>
      </c>
      <c r="X98" s="463">
        <f t="shared" si="61"/>
        <v>2.8815977061765126</v>
      </c>
      <c r="Y98" s="463">
        <f t="shared" si="82"/>
        <v>0.18267931748531824</v>
      </c>
      <c r="Z98" s="463">
        <f t="shared" si="62"/>
        <v>0.1093728518299424</v>
      </c>
      <c r="AA98" s="463">
        <f t="shared" si="63"/>
        <v>0.15997440000000002</v>
      </c>
      <c r="AB98" s="463">
        <f t="shared" si="64"/>
        <v>0</v>
      </c>
      <c r="AC98" s="463">
        <f t="shared" si="65"/>
        <v>0.46633855811348823</v>
      </c>
      <c r="AD98" s="463">
        <f t="shared" si="66"/>
        <v>2.8547402973466203</v>
      </c>
      <c r="AE98" s="463">
        <f t="shared" si="83"/>
        <v>8.1495421652946709E-2</v>
      </c>
      <c r="AF98" s="463">
        <f t="shared" si="67"/>
        <v>8.6507999999999988E-2</v>
      </c>
      <c r="AG98" s="463">
        <f t="shared" si="68"/>
        <v>0.17022300494300457</v>
      </c>
      <c r="AH98" s="463">
        <f t="shared" si="69"/>
        <v>0</v>
      </c>
      <c r="AI98">
        <f t="shared" si="70"/>
        <v>0</v>
      </c>
      <c r="AJ98" s="464">
        <f t="shared" si="71"/>
        <v>0.47823779999999999</v>
      </c>
      <c r="AK98">
        <f t="shared" si="84"/>
        <v>7.2000000000000008E-2</v>
      </c>
      <c r="AL98" s="464">
        <f t="shared" si="85"/>
        <v>0.22559999999999999</v>
      </c>
      <c r="AM98" s="464">
        <f t="shared" si="86"/>
        <v>0.18424406779661015</v>
      </c>
      <c r="AN98" s="464">
        <f t="shared" si="90"/>
        <v>0.29759999999999998</v>
      </c>
      <c r="AO98" s="464">
        <f t="shared" si="72"/>
        <v>2.0217224426283855</v>
      </c>
      <c r="AP98" s="100">
        <f t="shared" si="73"/>
        <v>48.06</v>
      </c>
      <c r="AQ98" s="10">
        <f t="shared" si="91"/>
        <v>0.9596315313447058</v>
      </c>
      <c r="AR98" s="77">
        <f t="shared" si="74"/>
        <v>19.586219440766506</v>
      </c>
      <c r="AS98" s="77">
        <f t="shared" si="92"/>
        <v>6.808920197720183</v>
      </c>
      <c r="AT98" s="10"/>
      <c r="AU98">
        <f t="shared" si="93"/>
        <v>95.963153134470573</v>
      </c>
      <c r="BE98" s="31"/>
      <c r="BF98" s="32"/>
    </row>
    <row r="99" spans="7:58" x14ac:dyDescent="0.25">
      <c r="G99">
        <v>90</v>
      </c>
      <c r="H99">
        <f t="shared" si="55"/>
        <v>4.05</v>
      </c>
      <c r="I99" s="463">
        <f t="shared" si="75"/>
        <v>0.50473458753976796</v>
      </c>
      <c r="J99" s="464">
        <f t="shared" si="56"/>
        <v>2.2267702391460351</v>
      </c>
      <c r="K99" s="464">
        <f t="shared" si="76"/>
        <v>5.1633851195730172</v>
      </c>
      <c r="L99" s="464">
        <f t="shared" si="77"/>
        <v>2.9366148804269825</v>
      </c>
      <c r="M99" s="77">
        <f t="shared" si="57"/>
        <v>0</v>
      </c>
      <c r="N99" s="463">
        <f t="shared" si="58"/>
        <v>4.1006961370189581</v>
      </c>
      <c r="O99" s="463">
        <f t="shared" si="78"/>
        <v>0.20509944249966564</v>
      </c>
      <c r="P99">
        <f t="shared" si="59"/>
        <v>0.4</v>
      </c>
      <c r="Q99" s="463">
        <f t="shared" si="79"/>
        <v>0.60509944249966563</v>
      </c>
      <c r="R99" s="9">
        <f t="shared" si="87"/>
        <v>0.64281319849720542</v>
      </c>
      <c r="S99" s="9">
        <f t="shared" si="80"/>
        <v>4.1320880816220765E-4</v>
      </c>
      <c r="T99" s="9">
        <f t="shared" si="88"/>
        <v>4.1320880816220765E-4</v>
      </c>
      <c r="U99" s="463">
        <f t="shared" si="60"/>
        <v>2.9133262518085052</v>
      </c>
      <c r="V99" s="465">
        <f t="shared" si="81"/>
        <v>8.4874698494765942E-3</v>
      </c>
      <c r="W99" s="463">
        <f t="shared" si="89"/>
        <v>8.4874698494765942E-3</v>
      </c>
      <c r="X99" s="463">
        <f t="shared" si="61"/>
        <v>2.9133262518085052</v>
      </c>
      <c r="Y99" s="463">
        <f t="shared" si="82"/>
        <v>0.18672433668848507</v>
      </c>
      <c r="Z99" s="463">
        <f t="shared" si="62"/>
        <v>0.11068362789972032</v>
      </c>
      <c r="AA99" s="463">
        <f t="shared" si="63"/>
        <v>0.15997440000000002</v>
      </c>
      <c r="AB99" s="463">
        <f t="shared" si="64"/>
        <v>0</v>
      </c>
      <c r="AC99" s="463">
        <f t="shared" si="65"/>
        <v>0.47219497385950626</v>
      </c>
      <c r="AD99" s="463">
        <f t="shared" si="66"/>
        <v>2.8858688394806875</v>
      </c>
      <c r="AE99" s="463">
        <f t="shared" si="83"/>
        <v>8.3282389586856104E-2</v>
      </c>
      <c r="AF99" s="463">
        <f t="shared" si="67"/>
        <v>8.7479999999999988E-2</v>
      </c>
      <c r="AG99" s="463">
        <f t="shared" si="68"/>
        <v>0.17306855970113869</v>
      </c>
      <c r="AH99" s="463">
        <f t="shared" si="69"/>
        <v>0</v>
      </c>
      <c r="AI99">
        <f t="shared" si="70"/>
        <v>0</v>
      </c>
      <c r="AJ99" s="464">
        <f t="shared" si="71"/>
        <v>0.47821800000000003</v>
      </c>
      <c r="AK99">
        <f t="shared" si="84"/>
        <v>7.2000000000000008E-2</v>
      </c>
      <c r="AL99" s="464">
        <f t="shared" si="85"/>
        <v>0.22559999999999999</v>
      </c>
      <c r="AM99" s="464">
        <f t="shared" si="86"/>
        <v>0.18424406779661015</v>
      </c>
      <c r="AN99" s="464">
        <f t="shared" si="90"/>
        <v>0.29759999999999998</v>
      </c>
      <c r="AO99" s="464">
        <f t="shared" si="72"/>
        <v>2.0350816547179496</v>
      </c>
      <c r="AP99" s="100">
        <f t="shared" si="73"/>
        <v>48.599999999999994</v>
      </c>
      <c r="AQ99" s="10">
        <f t="shared" si="91"/>
        <v>0.95980886001931964</v>
      </c>
      <c r="AR99" s="77">
        <f t="shared" si="74"/>
        <v>19.832188902099261</v>
      </c>
      <c r="AS99" s="77">
        <f t="shared" si="92"/>
        <v>6.9227423880455472</v>
      </c>
      <c r="AT99" s="10"/>
      <c r="AU99">
        <f t="shared" si="93"/>
        <v>95.980886001931964</v>
      </c>
      <c r="BE99" s="31"/>
      <c r="BF99" s="32"/>
    </row>
    <row r="100" spans="7:58" x14ac:dyDescent="0.25">
      <c r="G100">
        <v>91</v>
      </c>
      <c r="H100">
        <f t="shared" si="55"/>
        <v>4.0949999999999998</v>
      </c>
      <c r="I100" s="463">
        <f t="shared" si="75"/>
        <v>0.50478730200084676</v>
      </c>
      <c r="J100" s="464">
        <f t="shared" si="56"/>
        <v>2.227002802944912</v>
      </c>
      <c r="K100" s="464">
        <f t="shared" si="76"/>
        <v>5.2085014014724553</v>
      </c>
      <c r="L100" s="464">
        <f t="shared" si="77"/>
        <v>2.9814985985275437</v>
      </c>
      <c r="M100" s="77">
        <f t="shared" si="57"/>
        <v>0</v>
      </c>
      <c r="N100" s="463">
        <f t="shared" si="58"/>
        <v>4.1451562242807816</v>
      </c>
      <c r="O100" s="463">
        <f t="shared" si="78"/>
        <v>0.20964595727687113</v>
      </c>
      <c r="P100">
        <f t="shared" si="59"/>
        <v>0.4</v>
      </c>
      <c r="Q100" s="463">
        <f t="shared" si="79"/>
        <v>0.6096459572768711</v>
      </c>
      <c r="R100" s="9">
        <f t="shared" si="87"/>
        <v>0.64288033388314803</v>
      </c>
      <c r="S100" s="9">
        <f t="shared" si="80"/>
        <v>4.1329512369370788E-4</v>
      </c>
      <c r="T100" s="9">
        <f t="shared" si="88"/>
        <v>4.1329512369370788E-4</v>
      </c>
      <c r="U100" s="463">
        <f t="shared" si="60"/>
        <v>2.9450665556747948</v>
      </c>
      <c r="V100" s="465">
        <f t="shared" si="81"/>
        <v>8.6734170173541989E-3</v>
      </c>
      <c r="W100" s="463">
        <f t="shared" si="89"/>
        <v>8.6734170173541989E-3</v>
      </c>
      <c r="X100" s="463">
        <f t="shared" si="61"/>
        <v>2.9450665556747948</v>
      </c>
      <c r="Y100" s="463">
        <f t="shared" si="82"/>
        <v>0.19081517438179235</v>
      </c>
      <c r="Z100" s="463">
        <f t="shared" si="62"/>
        <v>0.11199440393486022</v>
      </c>
      <c r="AA100" s="463">
        <f t="shared" si="63"/>
        <v>0.15997440000000002</v>
      </c>
      <c r="AB100" s="463">
        <f t="shared" si="64"/>
        <v>0</v>
      </c>
      <c r="AC100" s="463">
        <f t="shared" si="65"/>
        <v>0.47811075040017081</v>
      </c>
      <c r="AD100" s="463">
        <f t="shared" si="66"/>
        <v>2.9170024179522893</v>
      </c>
      <c r="AE100" s="463">
        <f t="shared" si="83"/>
        <v>8.5089031063395035E-2</v>
      </c>
      <c r="AF100" s="463">
        <f t="shared" si="67"/>
        <v>8.8451999999999989E-2</v>
      </c>
      <c r="AG100" s="463">
        <f t="shared" si="68"/>
        <v>0.1759362705497933</v>
      </c>
      <c r="AH100" s="463">
        <f t="shared" si="69"/>
        <v>0</v>
      </c>
      <c r="AI100">
        <f t="shared" si="70"/>
        <v>0</v>
      </c>
      <c r="AJ100" s="464">
        <f t="shared" si="71"/>
        <v>0.47819820000000002</v>
      </c>
      <c r="AK100">
        <f t="shared" si="84"/>
        <v>7.2000000000000008E-2</v>
      </c>
      <c r="AL100" s="464">
        <f t="shared" si="85"/>
        <v>0.22559999999999999</v>
      </c>
      <c r="AM100" s="464">
        <f t="shared" si="86"/>
        <v>0.18424406779661015</v>
      </c>
      <c r="AN100" s="464">
        <f t="shared" si="90"/>
        <v>0.29759999999999998</v>
      </c>
      <c r="AO100" s="464">
        <f t="shared" si="72"/>
        <v>2.0485778903678833</v>
      </c>
      <c r="AP100" s="100">
        <f t="shared" si="73"/>
        <v>49.14</v>
      </c>
      <c r="AQ100" s="10">
        <f t="shared" si="91"/>
        <v>0.95997978504588699</v>
      </c>
      <c r="AR100" s="77">
        <f t="shared" si="74"/>
        <v>20.080651516807173</v>
      </c>
      <c r="AS100" s="77">
        <f t="shared" si="92"/>
        <v>7.0374508219917322</v>
      </c>
      <c r="AT100" s="10"/>
      <c r="AU100">
        <f t="shared" si="93"/>
        <v>95.997978504588701</v>
      </c>
      <c r="BE100" s="31"/>
      <c r="BF100" s="32"/>
    </row>
    <row r="101" spans="7:58" x14ac:dyDescent="0.25">
      <c r="G101">
        <v>92</v>
      </c>
      <c r="H101">
        <f t="shared" si="55"/>
        <v>4.1400000000000006</v>
      </c>
      <c r="I101" s="463">
        <f t="shared" si="75"/>
        <v>0.50484001883899676</v>
      </c>
      <c r="J101" s="464">
        <f t="shared" si="56"/>
        <v>2.2272353772308677</v>
      </c>
      <c r="K101" s="464">
        <f t="shared" si="76"/>
        <v>5.2536176886154342</v>
      </c>
      <c r="L101" s="464">
        <f t="shared" si="77"/>
        <v>3.0263823113845669</v>
      </c>
      <c r="M101" s="77">
        <f t="shared" si="57"/>
        <v>0</v>
      </c>
      <c r="N101" s="463">
        <f t="shared" si="58"/>
        <v>4.1896278417220305</v>
      </c>
      <c r="O101" s="463">
        <f t="shared" si="78"/>
        <v>0.21424600737142957</v>
      </c>
      <c r="P101">
        <f t="shared" si="59"/>
        <v>0.4</v>
      </c>
      <c r="Q101" s="463">
        <f t="shared" si="79"/>
        <v>0.61424600737142954</v>
      </c>
      <c r="R101" s="9">
        <f t="shared" si="87"/>
        <v>0.64294747229644966</v>
      </c>
      <c r="S101" s="9">
        <f t="shared" si="80"/>
        <v>4.1338145213239391E-4</v>
      </c>
      <c r="T101" s="9">
        <f t="shared" si="88"/>
        <v>4.1338145213239391E-4</v>
      </c>
      <c r="U101" s="463">
        <f t="shared" si="60"/>
        <v>2.9768183496772327</v>
      </c>
      <c r="V101" s="465">
        <f t="shared" si="81"/>
        <v>8.8614474869750832E-3</v>
      </c>
      <c r="W101" s="463">
        <f t="shared" si="89"/>
        <v>8.8614474869750832E-3</v>
      </c>
      <c r="X101" s="463">
        <f t="shared" si="61"/>
        <v>2.9768183496772327</v>
      </c>
      <c r="Y101" s="463">
        <f t="shared" si="82"/>
        <v>0.19495184471345181</v>
      </c>
      <c r="Z101" s="463">
        <f t="shared" si="62"/>
        <v>0.11330517993535977</v>
      </c>
      <c r="AA101" s="463">
        <f t="shared" si="63"/>
        <v>0.15997440000000002</v>
      </c>
      <c r="AB101" s="463">
        <f t="shared" si="64"/>
        <v>0</v>
      </c>
      <c r="AC101" s="463">
        <f t="shared" si="65"/>
        <v>0.48408617132151094</v>
      </c>
      <c r="AD101" s="463">
        <f t="shared" si="66"/>
        <v>2.948140764135478</v>
      </c>
      <c r="AE101" s="463">
        <f t="shared" si="83"/>
        <v>8.6915339651573206E-2</v>
      </c>
      <c r="AF101" s="463">
        <f t="shared" si="67"/>
        <v>8.9424000000000003E-2</v>
      </c>
      <c r="AG101" s="463">
        <f t="shared" si="68"/>
        <v>0.17882617772770054</v>
      </c>
      <c r="AH101" s="463">
        <f t="shared" si="69"/>
        <v>0</v>
      </c>
      <c r="AI101">
        <f t="shared" si="70"/>
        <v>0</v>
      </c>
      <c r="AJ101" s="464">
        <f t="shared" si="71"/>
        <v>0.4781784</v>
      </c>
      <c r="AK101">
        <f t="shared" si="84"/>
        <v>7.2000000000000008E-2</v>
      </c>
      <c r="AL101" s="464">
        <f t="shared" si="85"/>
        <v>0.22559999999999999</v>
      </c>
      <c r="AM101" s="464">
        <f t="shared" si="86"/>
        <v>0.18424406779661015</v>
      </c>
      <c r="AN101" s="464">
        <f t="shared" si="90"/>
        <v>0.29759999999999998</v>
      </c>
      <c r="AO101" s="464">
        <f t="shared" si="72"/>
        <v>2.0622115853597482</v>
      </c>
      <c r="AP101" s="100">
        <f t="shared" si="73"/>
        <v>49.680000000000007</v>
      </c>
      <c r="AQ101" s="10">
        <f t="shared" si="91"/>
        <v>0.9601445024830898</v>
      </c>
      <c r="AR101" s="77">
        <f t="shared" si="74"/>
        <v>20.33161919550346</v>
      </c>
      <c r="AS101" s="77">
        <f t="shared" si="92"/>
        <v>7.1530471091080212</v>
      </c>
      <c r="AT101" s="10"/>
      <c r="AU101">
        <f t="shared" si="93"/>
        <v>96.014450248308975</v>
      </c>
      <c r="BE101" s="31"/>
      <c r="BF101" s="32"/>
    </row>
    <row r="102" spans="7:58" x14ac:dyDescent="0.25">
      <c r="G102">
        <v>93</v>
      </c>
      <c r="H102">
        <f t="shared" si="55"/>
        <v>4.1850000000000005</v>
      </c>
      <c r="I102" s="463">
        <f t="shared" si="75"/>
        <v>0.50489273805437873</v>
      </c>
      <c r="J102" s="464">
        <f t="shared" si="56"/>
        <v>2.2274679620046118</v>
      </c>
      <c r="K102" s="464">
        <f t="shared" si="76"/>
        <v>5.2987339810023064</v>
      </c>
      <c r="L102" s="464">
        <f t="shared" si="77"/>
        <v>3.0712660189976946</v>
      </c>
      <c r="M102" s="77">
        <f t="shared" si="57"/>
        <v>0</v>
      </c>
      <c r="N102" s="463">
        <f t="shared" si="58"/>
        <v>4.2341106260323134</v>
      </c>
      <c r="O102" s="463">
        <f t="shared" si="78"/>
        <v>0.21889970552811661</v>
      </c>
      <c r="P102">
        <f t="shared" si="59"/>
        <v>0.4</v>
      </c>
      <c r="Q102" s="463">
        <f t="shared" si="79"/>
        <v>0.61889970552811668</v>
      </c>
      <c r="R102" s="9">
        <f t="shared" si="87"/>
        <v>0.64301461373731494</v>
      </c>
      <c r="S102" s="9">
        <f t="shared" si="80"/>
        <v>4.1346779347974831E-4</v>
      </c>
      <c r="T102" s="9">
        <f t="shared" si="88"/>
        <v>4.1346779347974831E-4</v>
      </c>
      <c r="U102" s="463">
        <f t="shared" si="60"/>
        <v>3.0085813769113416</v>
      </c>
      <c r="V102" s="465">
        <f t="shared" si="81"/>
        <v>9.0515619014977441E-3</v>
      </c>
      <c r="W102" s="463">
        <f t="shared" si="89"/>
        <v>9.0515619014977441E-3</v>
      </c>
      <c r="X102" s="463">
        <f t="shared" si="61"/>
        <v>3.0085813769113416</v>
      </c>
      <c r="Y102" s="463">
        <f t="shared" si="82"/>
        <v>0.19913436183295036</v>
      </c>
      <c r="Z102" s="463">
        <f t="shared" si="62"/>
        <v>0.11461595590121658</v>
      </c>
      <c r="AA102" s="463">
        <f t="shared" si="63"/>
        <v>0.15997440000000002</v>
      </c>
      <c r="AB102" s="463">
        <f t="shared" si="64"/>
        <v>0</v>
      </c>
      <c r="AC102" s="463">
        <f t="shared" si="65"/>
        <v>0.49012152393146613</v>
      </c>
      <c r="AD102" s="463">
        <f t="shared" si="66"/>
        <v>2.9792836206011009</v>
      </c>
      <c r="AE102" s="463">
        <f t="shared" si="83"/>
        <v>8.8761308919820051E-2</v>
      </c>
      <c r="AF102" s="463">
        <f t="shared" si="67"/>
        <v>9.0396000000000004E-2</v>
      </c>
      <c r="AG102" s="463">
        <f t="shared" si="68"/>
        <v>0.18173832193353401</v>
      </c>
      <c r="AH102" s="463">
        <f t="shared" si="69"/>
        <v>0</v>
      </c>
      <c r="AI102">
        <f t="shared" si="70"/>
        <v>0</v>
      </c>
      <c r="AJ102" s="464">
        <f t="shared" si="71"/>
        <v>0.47815859999999999</v>
      </c>
      <c r="AK102">
        <f t="shared" si="84"/>
        <v>7.2000000000000008E-2</v>
      </c>
      <c r="AL102" s="464">
        <f t="shared" si="85"/>
        <v>0.22559999999999999</v>
      </c>
      <c r="AM102" s="464">
        <f t="shared" si="86"/>
        <v>0.18424406779661015</v>
      </c>
      <c r="AN102" s="464">
        <f t="shared" si="90"/>
        <v>0.29759999999999998</v>
      </c>
      <c r="AO102" s="464">
        <f t="shared" si="72"/>
        <v>2.0759831810880942</v>
      </c>
      <c r="AP102" s="100">
        <f t="shared" si="73"/>
        <v>50.220000000000006</v>
      </c>
      <c r="AQ102" s="10">
        <f t="shared" si="91"/>
        <v>0.960303200077538</v>
      </c>
      <c r="AR102" s="77">
        <f t="shared" si="74"/>
        <v>20.585104005121579</v>
      </c>
      <c r="AS102" s="77">
        <f t="shared" si="92"/>
        <v>7.2695328773413603</v>
      </c>
      <c r="AT102" s="10"/>
      <c r="AU102">
        <f t="shared" si="93"/>
        <v>96.030320007753801</v>
      </c>
      <c r="BE102" s="31"/>
      <c r="BF102" s="32"/>
    </row>
    <row r="103" spans="7:58" x14ac:dyDescent="0.25">
      <c r="G103">
        <v>94</v>
      </c>
      <c r="H103">
        <f t="shared" si="55"/>
        <v>4.2299999999999995</v>
      </c>
      <c r="I103" s="463">
        <f t="shared" si="75"/>
        <v>0.50494545964715376</v>
      </c>
      <c r="J103" s="464">
        <f t="shared" si="56"/>
        <v>2.2277005572668545</v>
      </c>
      <c r="K103" s="464">
        <f t="shared" si="76"/>
        <v>5.3438502786334272</v>
      </c>
      <c r="L103" s="464">
        <f t="shared" si="77"/>
        <v>3.1161497213665723</v>
      </c>
      <c r="M103" s="77">
        <f t="shared" si="57"/>
        <v>0</v>
      </c>
      <c r="N103" s="463">
        <f t="shared" si="58"/>
        <v>4.2786042289206012</v>
      </c>
      <c r="O103" s="463">
        <f t="shared" si="78"/>
        <v>0.22360716592983909</v>
      </c>
      <c r="P103">
        <f t="shared" si="59"/>
        <v>0.4</v>
      </c>
      <c r="Q103" s="463">
        <f t="shared" si="79"/>
        <v>0.62360716592983911</v>
      </c>
      <c r="R103" s="9">
        <f t="shared" si="87"/>
        <v>0.64308175820594893</v>
      </c>
      <c r="S103" s="9">
        <f t="shared" si="80"/>
        <v>4.1355414773725456E-4</v>
      </c>
      <c r="T103" s="9">
        <f t="shared" si="88"/>
        <v>4.1355414773725456E-4</v>
      </c>
      <c r="U103" s="463">
        <f t="shared" si="60"/>
        <v>3.0403553910914316</v>
      </c>
      <c r="V103" s="465">
        <f t="shared" si="81"/>
        <v>9.2437609041387328E-3</v>
      </c>
      <c r="W103" s="463">
        <f t="shared" si="89"/>
        <v>9.2437609041387328E-3</v>
      </c>
      <c r="X103" s="463">
        <f t="shared" si="61"/>
        <v>3.0403553910914316</v>
      </c>
      <c r="Y103" s="463">
        <f t="shared" si="82"/>
        <v>0.20336273989105208</v>
      </c>
      <c r="Z103" s="463">
        <f t="shared" si="62"/>
        <v>0.11592673183242831</v>
      </c>
      <c r="AA103" s="463">
        <f t="shared" si="63"/>
        <v>0.15997440000000002</v>
      </c>
      <c r="AB103" s="463">
        <f t="shared" si="64"/>
        <v>0</v>
      </c>
      <c r="AC103" s="463">
        <f t="shared" si="65"/>
        <v>0.49621709929766628</v>
      </c>
      <c r="AD103" s="463">
        <f t="shared" si="66"/>
        <v>3.0104307405417123</v>
      </c>
      <c r="AE103" s="463">
        <f t="shared" si="83"/>
        <v>9.0626932435985227E-2</v>
      </c>
      <c r="AF103" s="463">
        <f t="shared" si="67"/>
        <v>9.1367999999999977E-2</v>
      </c>
      <c r="AG103" s="463">
        <f t="shared" si="68"/>
        <v>0.18467274432765729</v>
      </c>
      <c r="AH103" s="463">
        <f t="shared" si="69"/>
        <v>0</v>
      </c>
      <c r="AI103">
        <f t="shared" si="70"/>
        <v>0</v>
      </c>
      <c r="AJ103" s="464">
        <f t="shared" si="71"/>
        <v>0.47813879999999997</v>
      </c>
      <c r="AK103">
        <f t="shared" si="84"/>
        <v>7.2000000000000008E-2</v>
      </c>
      <c r="AL103" s="464">
        <f t="shared" si="85"/>
        <v>0.22559999999999999</v>
      </c>
      <c r="AM103" s="464">
        <f t="shared" si="86"/>
        <v>0.18424406779661015</v>
      </c>
      <c r="AN103" s="464">
        <f t="shared" si="90"/>
        <v>0.29759999999999998</v>
      </c>
      <c r="AO103" s="464">
        <f t="shared" si="72"/>
        <v>2.0898931246070385</v>
      </c>
      <c r="AP103" s="100">
        <f t="shared" si="73"/>
        <v>50.759999999999991</v>
      </c>
      <c r="AQ103" s="10">
        <f t="shared" si="91"/>
        <v>0.96045605769382381</v>
      </c>
      <c r="AR103" s="77">
        <f t="shared" si="74"/>
        <v>20.841118170501982</v>
      </c>
      <c r="AS103" s="77">
        <f t="shared" si="92"/>
        <v>7.3869097731062912</v>
      </c>
      <c r="AT103" s="10"/>
      <c r="AU103">
        <f t="shared" si="93"/>
        <v>96.045605769382377</v>
      </c>
      <c r="BE103" s="31"/>
      <c r="BF103" s="32"/>
    </row>
    <row r="104" spans="7:58" x14ac:dyDescent="0.25">
      <c r="G104">
        <v>95</v>
      </c>
      <c r="H104">
        <f t="shared" si="55"/>
        <v>4.2749999999999995</v>
      </c>
      <c r="I104" s="463">
        <f t="shared" si="75"/>
        <v>0.50499818361748228</v>
      </c>
      <c r="J104" s="464">
        <f t="shared" si="56"/>
        <v>2.2279331630183044</v>
      </c>
      <c r="K104" s="464">
        <f t="shared" si="76"/>
        <v>5.3889665815091519</v>
      </c>
      <c r="L104" s="464">
        <f t="shared" si="77"/>
        <v>3.1610334184908471</v>
      </c>
      <c r="M104" s="77">
        <f t="shared" si="57"/>
        <v>0</v>
      </c>
      <c r="N104" s="463">
        <f t="shared" si="58"/>
        <v>4.3231083163513713</v>
      </c>
      <c r="O104" s="463">
        <f t="shared" si="78"/>
        <v>0.22836850420478896</v>
      </c>
      <c r="P104">
        <f t="shared" si="59"/>
        <v>0.4</v>
      </c>
      <c r="Q104" s="463">
        <f t="shared" si="79"/>
        <v>0.62836850420478896</v>
      </c>
      <c r="R104" s="9">
        <f t="shared" si="87"/>
        <v>0.64314890570255623</v>
      </c>
      <c r="S104" s="9">
        <f t="shared" si="80"/>
        <v>4.1364051490639557E-4</v>
      </c>
      <c r="T104" s="9">
        <f t="shared" si="88"/>
        <v>4.1364051490639557E-4</v>
      </c>
      <c r="U104" s="463">
        <f t="shared" si="60"/>
        <v>3.0721401560105583</v>
      </c>
      <c r="V104" s="465">
        <f t="shared" si="81"/>
        <v>9.4380451381725784E-3</v>
      </c>
      <c r="W104" s="463">
        <f t="shared" si="89"/>
        <v>9.4380451381725784E-3</v>
      </c>
      <c r="X104" s="463">
        <f t="shared" si="61"/>
        <v>3.0721401560105583</v>
      </c>
      <c r="Y104" s="463">
        <f t="shared" si="82"/>
        <v>0.20763699303979671</v>
      </c>
      <c r="Z104" s="463">
        <f t="shared" si="62"/>
        <v>0.11723750772899259</v>
      </c>
      <c r="AA104" s="463">
        <f t="shared" si="63"/>
        <v>0.15997440000000002</v>
      </c>
      <c r="AB104" s="463">
        <f t="shared" si="64"/>
        <v>0</v>
      </c>
      <c r="AC104" s="463">
        <f t="shared" si="65"/>
        <v>0.5023731922858351</v>
      </c>
      <c r="AD104" s="463">
        <f t="shared" si="66"/>
        <v>3.0415818872313487</v>
      </c>
      <c r="AE104" s="463">
        <f t="shared" si="83"/>
        <v>9.2512203767338125E-2</v>
      </c>
      <c r="AF104" s="463">
        <f t="shared" si="67"/>
        <v>9.2339999999999978E-2</v>
      </c>
      <c r="AG104" s="463">
        <f t="shared" si="68"/>
        <v>0.18762948653389566</v>
      </c>
      <c r="AH104" s="463">
        <f t="shared" si="69"/>
        <v>0</v>
      </c>
      <c r="AI104">
        <f t="shared" si="70"/>
        <v>0</v>
      </c>
      <c r="AJ104" s="464">
        <f t="shared" si="71"/>
        <v>0.47811900000000002</v>
      </c>
      <c r="AK104">
        <f t="shared" si="84"/>
        <v>7.2000000000000008E-2</v>
      </c>
      <c r="AL104" s="464">
        <f t="shared" si="85"/>
        <v>0.22559999999999999</v>
      </c>
      <c r="AM104" s="464">
        <f t="shared" si="86"/>
        <v>0.18424406779661015</v>
      </c>
      <c r="AN104" s="464">
        <f t="shared" si="90"/>
        <v>0.29759999999999998</v>
      </c>
      <c r="AO104" s="464">
        <f t="shared" si="72"/>
        <v>2.1039418686775986</v>
      </c>
      <c r="AP104" s="100">
        <f t="shared" si="73"/>
        <v>51.3</v>
      </c>
      <c r="AQ104" s="10">
        <f t="shared" si="91"/>
        <v>0.96060324771809391</v>
      </c>
      <c r="AR104" s="77">
        <f t="shared" si="74"/>
        <v>21.099674076005073</v>
      </c>
      <c r="AS104" s="77">
        <f t="shared" si="92"/>
        <v>7.5051794613558265</v>
      </c>
      <c r="AT104" s="10"/>
      <c r="AU104">
        <f t="shared" si="93"/>
        <v>96.060324771809391</v>
      </c>
      <c r="BE104" s="31"/>
      <c r="BF104" s="32"/>
    </row>
    <row r="105" spans="7:58" x14ac:dyDescent="0.25">
      <c r="G105">
        <v>96</v>
      </c>
      <c r="H105">
        <f t="shared" si="55"/>
        <v>4.32</v>
      </c>
      <c r="I105" s="463">
        <f t="shared" si="75"/>
        <v>0.5050509099655256</v>
      </c>
      <c r="J105" s="464">
        <f t="shared" si="56"/>
        <v>2.2281657792596716</v>
      </c>
      <c r="K105" s="464">
        <f t="shared" si="76"/>
        <v>5.4340828896298365</v>
      </c>
      <c r="L105" s="464">
        <f t="shared" si="77"/>
        <v>3.2059171103701645</v>
      </c>
      <c r="M105" s="77">
        <f t="shared" si="57"/>
        <v>0</v>
      </c>
      <c r="N105" s="463">
        <f t="shared" si="58"/>
        <v>4.3676225678266496</v>
      </c>
      <c r="O105" s="463">
        <f t="shared" si="78"/>
        <v>0.23318383743369975</v>
      </c>
      <c r="P105">
        <f t="shared" si="59"/>
        <v>0.4</v>
      </c>
      <c r="Q105" s="463">
        <f t="shared" si="79"/>
        <v>0.63318383743369977</v>
      </c>
      <c r="R105" s="9">
        <f t="shared" si="87"/>
        <v>0.6432160562273419</v>
      </c>
      <c r="S105" s="9">
        <f t="shared" si="80"/>
        <v>4.1372689498865508E-4</v>
      </c>
      <c r="T105" s="9">
        <f t="shared" si="88"/>
        <v>4.1372689498865508E-4</v>
      </c>
      <c r="U105" s="463">
        <f t="shared" si="60"/>
        <v>3.1039354450329433</v>
      </c>
      <c r="V105" s="465">
        <f t="shared" si="81"/>
        <v>9.6344152469318555E-3</v>
      </c>
      <c r="W105" s="463">
        <f t="shared" si="89"/>
        <v>9.6344152469318555E-3</v>
      </c>
      <c r="X105" s="463">
        <f t="shared" si="61"/>
        <v>3.1039354450329433</v>
      </c>
      <c r="Y105" s="463">
        <f t="shared" si="82"/>
        <v>0.2119571354325008</v>
      </c>
      <c r="Z105" s="463">
        <f t="shared" si="62"/>
        <v>0.11854828359090722</v>
      </c>
      <c r="AA105" s="463">
        <f t="shared" si="63"/>
        <v>0.15997440000000002</v>
      </c>
      <c r="AB105" s="463">
        <f t="shared" si="64"/>
        <v>0</v>
      </c>
      <c r="AC105" s="463">
        <f t="shared" ref="AC105:AC109" si="94">(AB105+AA105+Z105+Y105*(1+RdsonTopTc*Ta-RdsonTopTc*25))/(1-Y105*RdsonTopTc*ThetaJaTop)</f>
        <v>0.508590101598836</v>
      </c>
      <c r="AD105" s="463">
        <f t="shared" si="66"/>
        <v>3.0727368335177676</v>
      </c>
      <c r="AE105" s="463">
        <f t="shared" si="83"/>
        <v>9.441711648056797E-2</v>
      </c>
      <c r="AF105" s="463">
        <f t="shared" si="67"/>
        <v>9.3311999999999992E-2</v>
      </c>
      <c r="AG105" s="463">
        <f t="shared" ref="AG105:AG109" si="95">(AF105+AE105*(1+RdsonBotTc*Ta-RdsonBotTc*25))/(1-AE105*RdsonBotTc*ThetaJaBot)</f>
        <v>0.19060859064133268</v>
      </c>
      <c r="AH105" s="463">
        <f t="shared" si="69"/>
        <v>0</v>
      </c>
      <c r="AI105">
        <f t="shared" si="70"/>
        <v>0</v>
      </c>
      <c r="AJ105" s="464">
        <f t="shared" si="71"/>
        <v>0.4780992</v>
      </c>
      <c r="AK105">
        <f t="shared" si="84"/>
        <v>7.2000000000000008E-2</v>
      </c>
      <c r="AL105" s="464">
        <f t="shared" si="85"/>
        <v>0.22559999999999999</v>
      </c>
      <c r="AM105" s="464">
        <f t="shared" si="86"/>
        <v>0.18424406779661015</v>
      </c>
      <c r="AN105" s="464">
        <f t="shared" si="90"/>
        <v>0.29759999999999998</v>
      </c>
      <c r="AO105" s="464">
        <f t="shared" ref="AO105:AO109" si="96">SUM(Q105,T105,W105,AC105,AJ105,AI105,AG105,AN105, AH105)</f>
        <v>2.1181298718157886</v>
      </c>
      <c r="AP105" s="100">
        <f t="shared" si="73"/>
        <v>51.84</v>
      </c>
      <c r="AQ105" s="10">
        <f t="shared" si="91"/>
        <v>0.96074493543702</v>
      </c>
      <c r="AR105" s="77">
        <f t="shared" si="74"/>
        <v>21.360784267151111</v>
      </c>
      <c r="AS105" s="77">
        <f t="shared" si="92"/>
        <v>7.6243436256533066</v>
      </c>
      <c r="AT105" s="10"/>
      <c r="AU105">
        <f t="shared" si="93"/>
        <v>96.074493543702005</v>
      </c>
      <c r="BE105" s="31"/>
      <c r="BF105" s="32"/>
    </row>
    <row r="106" spans="7:58" x14ac:dyDescent="0.25">
      <c r="G106">
        <v>97</v>
      </c>
      <c r="H106">
        <f t="shared" si="55"/>
        <v>4.3650000000000002</v>
      </c>
      <c r="I106" s="463">
        <f t="shared" si="75"/>
        <v>0.50510363869144403</v>
      </c>
      <c r="J106" s="464">
        <f t="shared" si="56"/>
        <v>2.2283984059916646</v>
      </c>
      <c r="K106" s="464">
        <f t="shared" si="76"/>
        <v>5.479199202995833</v>
      </c>
      <c r="L106" s="464">
        <f t="shared" si="77"/>
        <v>3.2508007970041679</v>
      </c>
      <c r="M106" s="77">
        <f t="shared" si="57"/>
        <v>0</v>
      </c>
      <c r="N106" s="463">
        <f t="shared" si="58"/>
        <v>4.412146675710761</v>
      </c>
      <c r="O106" s="463">
        <f t="shared" si="78"/>
        <v>0.23805328415720448</v>
      </c>
      <c r="P106">
        <f t="shared" si="59"/>
        <v>0.4</v>
      </c>
      <c r="Q106" s="463">
        <f t="shared" si="79"/>
        <v>0.63805328415720453</v>
      </c>
      <c r="R106" s="9">
        <f t="shared" si="87"/>
        <v>0.64328320978051035</v>
      </c>
      <c r="S106" s="9">
        <f t="shared" si="80"/>
        <v>4.1381328798551609E-4</v>
      </c>
      <c r="T106" s="9">
        <f t="shared" si="88"/>
        <v>4.1381328798551609E-4</v>
      </c>
      <c r="U106" s="463">
        <f t="shared" si="60"/>
        <v>3.1357410406165789</v>
      </c>
      <c r="V106" s="465">
        <f t="shared" si="81"/>
        <v>9.8328718738071447E-3</v>
      </c>
      <c r="W106" s="463">
        <f t="shared" si="89"/>
        <v>9.8328718738071447E-3</v>
      </c>
      <c r="X106" s="463">
        <f t="shared" si="61"/>
        <v>3.1357410406165789</v>
      </c>
      <c r="Y106" s="463">
        <f t="shared" si="82"/>
        <v>0.21632318122375718</v>
      </c>
      <c r="Z106" s="463">
        <f t="shared" si="62"/>
        <v>0.11985905941816968</v>
      </c>
      <c r="AA106" s="463">
        <f t="shared" si="63"/>
        <v>0.15997440000000002</v>
      </c>
      <c r="AB106" s="463">
        <f t="shared" si="64"/>
        <v>0</v>
      </c>
      <c r="AC106" s="463">
        <f t="shared" si="94"/>
        <v>0.5148681298163641</v>
      </c>
      <c r="AD106" s="463">
        <f t="shared" si="66"/>
        <v>3.1038953613448981</v>
      </c>
      <c r="AE106" s="463">
        <f t="shared" si="83"/>
        <v>9.6341664141783759E-2</v>
      </c>
      <c r="AF106" s="463">
        <f t="shared" si="67"/>
        <v>9.4283999999999993E-2</v>
      </c>
      <c r="AG106" s="463">
        <f t="shared" si="95"/>
        <v>0.19361009920613168</v>
      </c>
      <c r="AH106" s="463">
        <f t="shared" si="69"/>
        <v>0</v>
      </c>
      <c r="AI106">
        <f t="shared" si="70"/>
        <v>0</v>
      </c>
      <c r="AJ106" s="464">
        <f t="shared" si="71"/>
        <v>0.47807940000000004</v>
      </c>
      <c r="AK106">
        <f t="shared" si="84"/>
        <v>7.2000000000000008E-2</v>
      </c>
      <c r="AL106" s="464">
        <f t="shared" si="85"/>
        <v>0.22559999999999999</v>
      </c>
      <c r="AM106" s="464">
        <f t="shared" si="86"/>
        <v>0.18424406779661015</v>
      </c>
      <c r="AN106" s="464">
        <f t="shared" si="90"/>
        <v>0.29759999999999998</v>
      </c>
      <c r="AO106" s="464">
        <f t="shared" si="96"/>
        <v>2.1324575983414928</v>
      </c>
      <c r="AP106" s="100">
        <f t="shared" si="73"/>
        <v>52.38</v>
      </c>
      <c r="AQ106" s="10">
        <f t="shared" si="91"/>
        <v>0.96088127939389811</v>
      </c>
      <c r="AR106" s="77">
        <f t="shared" si="74"/>
        <v>21.624461452287292</v>
      </c>
      <c r="AS106" s="77">
        <f t="shared" si="92"/>
        <v>7.7444039682452672</v>
      </c>
      <c r="AT106" s="10"/>
      <c r="AU106">
        <f t="shared" si="93"/>
        <v>96.088127939389807</v>
      </c>
      <c r="BE106" s="31"/>
      <c r="BF106" s="32"/>
    </row>
    <row r="107" spans="7:58" x14ac:dyDescent="0.25">
      <c r="G107">
        <v>98</v>
      </c>
      <c r="H107">
        <f t="shared" si="55"/>
        <v>4.41</v>
      </c>
      <c r="I107" s="463">
        <f t="shared" si="75"/>
        <v>0.50515636979539891</v>
      </c>
      <c r="J107" s="464">
        <f t="shared" si="56"/>
        <v>2.2286310432149952</v>
      </c>
      <c r="K107" s="464">
        <f t="shared" si="76"/>
        <v>5.5243155216074982</v>
      </c>
      <c r="L107" s="464">
        <f t="shared" si="77"/>
        <v>3.2956844783925026</v>
      </c>
      <c r="M107" s="77">
        <f t="shared" si="57"/>
        <v>0</v>
      </c>
      <c r="N107" s="463">
        <f t="shared" si="58"/>
        <v>4.4566803445948944</v>
      </c>
      <c r="O107" s="463">
        <f t="shared" si="78"/>
        <v>0.24297696438329883</v>
      </c>
      <c r="P107">
        <f t="shared" si="59"/>
        <v>0.4</v>
      </c>
      <c r="Q107" s="463">
        <f t="shared" si="79"/>
        <v>0.64297696438329888</v>
      </c>
      <c r="R107" s="9">
        <f t="shared" si="87"/>
        <v>0.64335036636226706</v>
      </c>
      <c r="S107" s="9">
        <f t="shared" si="80"/>
        <v>4.1389969389846328E-4</v>
      </c>
      <c r="T107" s="9">
        <f t="shared" si="88"/>
        <v>4.1389969389846328E-4</v>
      </c>
      <c r="U107" s="463">
        <f t="shared" si="60"/>
        <v>3.1675567338639845</v>
      </c>
      <c r="V107" s="465">
        <f t="shared" si="81"/>
        <v>1.0033415662247074E-2</v>
      </c>
      <c r="W107" s="463">
        <f t="shared" si="89"/>
        <v>1.0033415662247074E-2</v>
      </c>
      <c r="X107" s="463">
        <f t="shared" si="61"/>
        <v>3.1675567338639845</v>
      </c>
      <c r="Y107" s="463">
        <f t="shared" si="82"/>
        <v>0.2207351445694356</v>
      </c>
      <c r="Z107" s="463">
        <f t="shared" si="62"/>
        <v>0.12116983521077772</v>
      </c>
      <c r="AA107" s="463">
        <f t="shared" si="63"/>
        <v>0.15997440000000002</v>
      </c>
      <c r="AB107" s="463">
        <f t="shared" si="64"/>
        <v>0</v>
      </c>
      <c r="AC107" s="463">
        <f t="shared" si="94"/>
        <v>0.52120758343529994</v>
      </c>
      <c r="AD107" s="463">
        <f t="shared" si="66"/>
        <v>3.1350572613034347</v>
      </c>
      <c r="AE107" s="463">
        <f t="shared" si="83"/>
        <v>9.8285840316513925E-2</v>
      </c>
      <c r="AF107" s="463">
        <f t="shared" si="67"/>
        <v>9.5255999999999993E-2</v>
      </c>
      <c r="AG107" s="463">
        <f t="shared" si="95"/>
        <v>0.19663405525338151</v>
      </c>
      <c r="AH107" s="463">
        <f t="shared" si="69"/>
        <v>0</v>
      </c>
      <c r="AI107">
        <f t="shared" si="70"/>
        <v>0</v>
      </c>
      <c r="AJ107" s="464">
        <f t="shared" si="71"/>
        <v>0.47805959999999997</v>
      </c>
      <c r="AK107">
        <f t="shared" si="84"/>
        <v>7.2000000000000008E-2</v>
      </c>
      <c r="AL107" s="464">
        <f t="shared" si="85"/>
        <v>0.22559999999999999</v>
      </c>
      <c r="AM107" s="464">
        <f t="shared" si="86"/>
        <v>0.18424406779661015</v>
      </c>
      <c r="AN107" s="464">
        <f t="shared" si="90"/>
        <v>0.29759999999999998</v>
      </c>
      <c r="AO107" s="464">
        <f t="shared" si="96"/>
        <v>2.1469255184281257</v>
      </c>
      <c r="AP107" s="100">
        <f t="shared" si="73"/>
        <v>52.92</v>
      </c>
      <c r="AQ107" s="10">
        <f t="shared" si="91"/>
        <v>0.96101243172347328</v>
      </c>
      <c r="AR107" s="77">
        <f t="shared" si="74"/>
        <v>21.890718504282596</v>
      </c>
      <c r="AS107" s="77">
        <f t="shared" si="92"/>
        <v>7.8653622101352605</v>
      </c>
      <c r="AT107" s="10"/>
      <c r="AU107">
        <f t="shared" si="93"/>
        <v>96.101243172347324</v>
      </c>
      <c r="BE107" s="31"/>
      <c r="BF107" s="32"/>
    </row>
    <row r="108" spans="7:58" x14ac:dyDescent="0.25">
      <c r="G108">
        <v>99</v>
      </c>
      <c r="H108">
        <f t="shared" si="55"/>
        <v>4.4550000000000001</v>
      </c>
      <c r="I108" s="463">
        <f t="shared" si="75"/>
        <v>0.50520910327755064</v>
      </c>
      <c r="J108" s="464">
        <f t="shared" si="56"/>
        <v>2.2288636909303703</v>
      </c>
      <c r="K108" s="464">
        <f t="shared" si="76"/>
        <v>5.5694318454651857</v>
      </c>
      <c r="L108" s="464">
        <f t="shared" si="77"/>
        <v>3.3405681545348149</v>
      </c>
      <c r="M108" s="77">
        <f t="shared" si="57"/>
        <v>0</v>
      </c>
      <c r="N108" s="463">
        <f t="shared" si="58"/>
        <v>4.5012232906987606</v>
      </c>
      <c r="O108" s="463">
        <f t="shared" si="78"/>
        <v>0.24795499959490694</v>
      </c>
      <c r="P108">
        <f t="shared" si="59"/>
        <v>0.4</v>
      </c>
      <c r="Q108" s="463">
        <f t="shared" si="79"/>
        <v>0.64795499959490699</v>
      </c>
      <c r="R108" s="9">
        <f t="shared" si="87"/>
        <v>0.6434175259728161</v>
      </c>
      <c r="S108" s="9">
        <f t="shared" si="80"/>
        <v>4.1398611272897945E-4</v>
      </c>
      <c r="T108" s="9">
        <f t="shared" si="88"/>
        <v>4.1398611272897945E-4</v>
      </c>
      <c r="U108" s="463">
        <f t="shared" si="60"/>
        <v>3.1993823240991839</v>
      </c>
      <c r="V108" s="465">
        <f t="shared" si="81"/>
        <v>1.0236047255758296E-2</v>
      </c>
      <c r="W108" s="463">
        <f t="shared" si="89"/>
        <v>1.0236047255758296E-2</v>
      </c>
      <c r="X108" s="463">
        <f t="shared" si="61"/>
        <v>3.1993823240991839</v>
      </c>
      <c r="Y108" s="463">
        <f t="shared" si="82"/>
        <v>0.2251930396266825</v>
      </c>
      <c r="Z108" s="463">
        <f t="shared" si="62"/>
        <v>0.12248061096872896</v>
      </c>
      <c r="AA108" s="463">
        <f t="shared" si="63"/>
        <v>0.15997440000000002</v>
      </c>
      <c r="AB108" s="463">
        <f t="shared" si="64"/>
        <v>0</v>
      </c>
      <c r="AC108" s="463">
        <f t="shared" si="94"/>
        <v>0.52760877291073072</v>
      </c>
      <c r="AD108" s="463">
        <f t="shared" si="66"/>
        <v>3.1662223322076866</v>
      </c>
      <c r="AE108" s="463">
        <f t="shared" si="83"/>
        <v>0.10024963856970683</v>
      </c>
      <c r="AF108" s="463">
        <f t="shared" si="67"/>
        <v>9.6227999999999994E-2</v>
      </c>
      <c r="AG108" s="463">
        <f t="shared" si="95"/>
        <v>0.19968050227896827</v>
      </c>
      <c r="AH108" s="463">
        <f t="shared" si="69"/>
        <v>0</v>
      </c>
      <c r="AI108">
        <f t="shared" si="70"/>
        <v>0</v>
      </c>
      <c r="AJ108" s="464">
        <f t="shared" si="71"/>
        <v>0.47803980000000001</v>
      </c>
      <c r="AK108">
        <f t="shared" si="84"/>
        <v>7.2000000000000008E-2</v>
      </c>
      <c r="AL108" s="464">
        <f t="shared" si="85"/>
        <v>0.22559999999999999</v>
      </c>
      <c r="AM108" s="464">
        <f t="shared" si="86"/>
        <v>0.18424406779661015</v>
      </c>
      <c r="AN108" s="464">
        <f t="shared" si="90"/>
        <v>0.29759999999999998</v>
      </c>
      <c r="AO108" s="464">
        <f t="shared" si="96"/>
        <v>2.1615341081530932</v>
      </c>
      <c r="AP108" s="100">
        <f t="shared" si="73"/>
        <v>53.46</v>
      </c>
      <c r="AQ108" s="10">
        <f t="shared" si="91"/>
        <v>0.9611385384669523</v>
      </c>
      <c r="AR108" s="77">
        <f t="shared" si="74"/>
        <v>22.159568462250689</v>
      </c>
      <c r="AS108" s="77">
        <f t="shared" si="92"/>
        <v>7.987220091158731</v>
      </c>
      <c r="AT108" s="10"/>
      <c r="AU108">
        <f t="shared" si="93"/>
        <v>96.113853846695235</v>
      </c>
      <c r="BE108" s="31"/>
      <c r="BF108" s="32"/>
    </row>
    <row r="109" spans="7:58" x14ac:dyDescent="0.25">
      <c r="G109">
        <v>100</v>
      </c>
      <c r="H109">
        <f t="shared" si="55"/>
        <v>4.5</v>
      </c>
      <c r="I109" s="463">
        <f t="shared" si="75"/>
        <v>0.50526183913806066</v>
      </c>
      <c r="J109" s="464">
        <f t="shared" si="56"/>
        <v>2.2290963491385027</v>
      </c>
      <c r="K109" s="464">
        <f t="shared" si="76"/>
        <v>5.6145481745692516</v>
      </c>
      <c r="L109" s="464">
        <f t="shared" si="77"/>
        <v>3.3854518254307484</v>
      </c>
      <c r="M109" s="77">
        <f t="shared" si="57"/>
        <v>0</v>
      </c>
      <c r="N109" s="463">
        <f t="shared" si="58"/>
        <v>4.5457752413068722</v>
      </c>
      <c r="O109" s="463">
        <f t="shared" si="78"/>
        <v>0.2529875127575531</v>
      </c>
      <c r="P109">
        <f t="shared" si="59"/>
        <v>0.4</v>
      </c>
      <c r="Q109" s="463">
        <f t="shared" si="79"/>
        <v>0.65298751275755307</v>
      </c>
      <c r="R109" s="9">
        <f t="shared" si="87"/>
        <v>0.6434846886123633</v>
      </c>
      <c r="S109" s="9">
        <f t="shared" si="80"/>
        <v>4.1407254447855017E-4</v>
      </c>
      <c r="T109" s="9">
        <f t="shared" si="88"/>
        <v>4.1407254447855017E-4</v>
      </c>
      <c r="U109" s="463">
        <f t="shared" si="60"/>
        <v>3.2312176184691643</v>
      </c>
      <c r="V109" s="465">
        <f t="shared" si="81"/>
        <v>1.0440767297905537E-2</v>
      </c>
      <c r="W109" s="463">
        <f t="shared" si="89"/>
        <v>1.0440767297905537E-2</v>
      </c>
      <c r="X109" s="463">
        <f t="shared" si="61"/>
        <v>3.2312176184691643</v>
      </c>
      <c r="Y109" s="463">
        <f t="shared" si="82"/>
        <v>0.22969688055392182</v>
      </c>
      <c r="Z109" s="463">
        <f t="shared" si="62"/>
        <v>0.12379138669202108</v>
      </c>
      <c r="AA109" s="463">
        <f t="shared" si="63"/>
        <v>0.15997440000000002</v>
      </c>
      <c r="AB109" s="463">
        <f t="shared" si="64"/>
        <v>0</v>
      </c>
      <c r="AC109" s="463">
        <f t="shared" si="94"/>
        <v>0.53407201269765425</v>
      </c>
      <c r="AD109" s="463">
        <f t="shared" si="66"/>
        <v>3.1973903806968917</v>
      </c>
      <c r="AE109" s="463">
        <f t="shared" si="83"/>
        <v>0.10223305246573014</v>
      </c>
      <c r="AF109" s="463">
        <f t="shared" si="67"/>
        <v>9.7199999999999995E-2</v>
      </c>
      <c r="AG109" s="463">
        <f t="shared" si="95"/>
        <v>0.20274948425147096</v>
      </c>
      <c r="AH109" s="463">
        <f t="shared" si="69"/>
        <v>0</v>
      </c>
      <c r="AI109">
        <f t="shared" si="70"/>
        <v>0</v>
      </c>
      <c r="AJ109" s="464">
        <f t="shared" si="71"/>
        <v>0.47802</v>
      </c>
      <c r="AK109">
        <f t="shared" si="84"/>
        <v>7.2000000000000008E-2</v>
      </c>
      <c r="AL109" s="464">
        <f t="shared" si="85"/>
        <v>0.22559999999999999</v>
      </c>
      <c r="AM109" s="464">
        <f t="shared" si="86"/>
        <v>0.18424406779661015</v>
      </c>
      <c r="AN109" s="464">
        <f t="shared" si="90"/>
        <v>0.29759999999999998</v>
      </c>
      <c r="AO109" s="464">
        <f t="shared" si="96"/>
        <v>2.1762838495490624</v>
      </c>
      <c r="AP109" s="100">
        <f t="shared" si="73"/>
        <v>54</v>
      </c>
      <c r="AQ109" s="10">
        <f t="shared" si="91"/>
        <v>0.96125973986856139</v>
      </c>
      <c r="AR109" s="77">
        <f t="shared" si="74"/>
        <v>22.431024533301478</v>
      </c>
      <c r="AS109" s="77">
        <f t="shared" si="92"/>
        <v>8.1099793700588378</v>
      </c>
      <c r="AT109" s="10"/>
      <c r="AU109">
        <f t="shared" si="93"/>
        <v>96.125973986856138</v>
      </c>
      <c r="BE109" s="31"/>
      <c r="BF109" s="32"/>
    </row>
    <row r="110" spans="7:58" x14ac:dyDescent="0.25">
      <c r="G110">
        <v>101</v>
      </c>
      <c r="H110">
        <f t="shared" si="55"/>
        <v>4.5449999999999999</v>
      </c>
      <c r="I110" s="463">
        <f t="shared" ref="I110:I173" si="97">(Vout+Rdcr*H110+RdsonBot*H110)/(Vin-RdsonTop*H110+RdsonBot*H110)</f>
        <v>0.5053145773770894</v>
      </c>
      <c r="J110" s="464">
        <f t="shared" si="56"/>
        <v>2.2293290178401</v>
      </c>
      <c r="K110" s="464">
        <f t="shared" si="76"/>
        <v>5.6596645089200504</v>
      </c>
      <c r="L110" s="464">
        <f t="shared" ref="L110:L173" si="98">H110-J110/2</f>
        <v>3.4303354910799499</v>
      </c>
      <c r="M110" s="77">
        <f t="shared" si="57"/>
        <v>0</v>
      </c>
      <c r="N110" s="463">
        <f t="shared" ref="N110:N173" si="99">SQRT(H110^2+(J110^2)/12)</f>
        <v>4.5903359342371299</v>
      </c>
      <c r="O110" s="463">
        <f t="shared" ref="O110:O173" si="100">(N110^2*Rdcr*(1+Ltc*Ta-Ltc*25))/(1-N110^2*Rdcr*Ltc*ThetaCa)</f>
        <v>0.25807462832713979</v>
      </c>
      <c r="P110">
        <f t="shared" si="59"/>
        <v>0.4</v>
      </c>
      <c r="Q110" s="463">
        <f t="shared" si="79"/>
        <v>0.65807462832713981</v>
      </c>
      <c r="R110" s="9">
        <f t="shared" ref="R110:R173" si="101">J110/(2*SQRT(3))</f>
        <v>0.64355185428111294</v>
      </c>
      <c r="S110" s="9">
        <f t="shared" ref="S110:S173" si="102">RCoutEsr*R110^2</f>
        <v>4.1415898914865884E-4</v>
      </c>
      <c r="T110" s="9">
        <f t="shared" ref="T110:T173" si="103">S110</f>
        <v>4.1415898914865884E-4</v>
      </c>
      <c r="U110" s="463">
        <f t="shared" ref="U110:U173" si="104">SQRT(I110)*SQRT(H110^2+(J110^2)/12)</f>
        <v>3.2630624315681658</v>
      </c>
      <c r="V110" s="465">
        <f t="shared" ref="V110:V173" si="105">RCinEsr*U110^2</f>
        <v>1.0647576432311552E-2</v>
      </c>
      <c r="W110" s="463">
        <f t="shared" ref="W110:W173" si="106">V110</f>
        <v>1.0647576432311552E-2</v>
      </c>
      <c r="X110" s="463">
        <f t="shared" ref="X110:X173" si="107">SQRT(I110)*SQRT(H110^2+(J110^2)/12)</f>
        <v>3.2630624315681658</v>
      </c>
      <c r="Y110" s="463">
        <f t="shared" ref="Y110:Y173" si="108">RdsonTop*X110^2</f>
        <v>0.23424668151085409</v>
      </c>
      <c r="Z110" s="463">
        <f t="shared" si="62"/>
        <v>0.12510216238065175</v>
      </c>
      <c r="AA110" s="463">
        <f t="shared" si="63"/>
        <v>0.15997440000000002</v>
      </c>
      <c r="AB110" s="463">
        <f t="shared" si="64"/>
        <v>0</v>
      </c>
      <c r="AC110" s="463">
        <f t="shared" ref="AC110:AC173" si="109">(AB110+AA110+Z110+Y110*(1+RdsonTopTc*Ta-RdsonTopTc*25))/(1-Y110*RdsonTopTc*ThetaJaTop)</f>
        <v>0.5405976212933723</v>
      </c>
      <c r="AD110" s="463">
        <f t="shared" ref="AD110:AD173" si="110">SQRT(1-I110)*SQRT(H110^2+(J110^2)/12)</f>
        <v>3.2285612208593966</v>
      </c>
      <c r="AE110" s="463">
        <f t="shared" ref="AE110:AE173" si="111">RdsonBot*AD110^2</f>
        <v>0.10423607556837118</v>
      </c>
      <c r="AF110" s="463">
        <f t="shared" si="67"/>
        <v>9.8171999999999982E-2</v>
      </c>
      <c r="AG110" s="463">
        <f t="shared" ref="AG110:AG173" si="112">(AF110+AE110*(1+RdsonBotTc*Ta-RdsonBotTc*25))/(1-AE110*RdsonBotTc*ThetaJaBot)</f>
        <v>0.20584104561408348</v>
      </c>
      <c r="AH110" s="463">
        <f t="shared" ref="AH110:AH173" si="113">IF(RDSON_sense=1, 0, AD110^2*Rshunt)</f>
        <v>0</v>
      </c>
      <c r="AI110">
        <f t="shared" si="70"/>
        <v>0</v>
      </c>
      <c r="AJ110" s="464">
        <f t="shared" si="71"/>
        <v>0.47800020000000004</v>
      </c>
      <c r="AK110">
        <f t="shared" si="84"/>
        <v>7.2000000000000008E-2</v>
      </c>
      <c r="AL110" s="464">
        <f t="shared" si="85"/>
        <v>0.22559999999999999</v>
      </c>
      <c r="AM110" s="464">
        <f t="shared" si="86"/>
        <v>0.18424406779661015</v>
      </c>
      <c r="AN110" s="464">
        <f t="shared" ref="AN110:AN173" si="114">SUM(AK110:AL110)</f>
        <v>0.29759999999999998</v>
      </c>
      <c r="AO110" s="464">
        <f t="shared" ref="AO110:AO173" si="115">SUM(Q110,T110,W110,AC110,AJ110,AI110,AG110,AN110, AH110)</f>
        <v>2.1911752306560559</v>
      </c>
      <c r="AP110" s="100">
        <f t="shared" si="73"/>
        <v>54.54</v>
      </c>
      <c r="AQ110" s="10">
        <f t="shared" ref="AQ110:AQ173" si="116">AP110/(AP110+AO110)</f>
        <v>0.96137617065489589</v>
      </c>
      <c r="AR110" s="77">
        <f t="shared" ref="AR110:AR173" si="117">ThetaJaTop*AC110</f>
        <v>22.705100094321637</v>
      </c>
      <c r="AS110" s="77">
        <f t="shared" ref="AS110:AS173" si="118">AG110*ThetaJaBot</f>
        <v>8.2336418245633389</v>
      </c>
      <c r="AT110" s="10"/>
      <c r="AU110">
        <f t="shared" ref="AU110:AU173" si="119">AQ110*100</f>
        <v>96.137617065489593</v>
      </c>
    </row>
    <row r="111" spans="7:58" x14ac:dyDescent="0.25">
      <c r="G111">
        <v>102</v>
      </c>
      <c r="H111">
        <f t="shared" si="55"/>
        <v>4.59</v>
      </c>
      <c r="I111" s="463">
        <f t="shared" si="97"/>
        <v>0.50536731799479806</v>
      </c>
      <c r="J111" s="464">
        <f t="shared" si="56"/>
        <v>2.2295616970358734</v>
      </c>
      <c r="K111" s="464">
        <f t="shared" si="76"/>
        <v>5.7047808485179363</v>
      </c>
      <c r="L111" s="464">
        <f t="shared" si="98"/>
        <v>3.4752191514820634</v>
      </c>
      <c r="M111" s="77">
        <f t="shared" si="57"/>
        <v>0</v>
      </c>
      <c r="N111" s="463">
        <f t="shared" si="99"/>
        <v>4.6349051173395974</v>
      </c>
      <c r="O111" s="463">
        <f t="shared" si="100"/>
        <v>0.26321647225783207</v>
      </c>
      <c r="P111">
        <f t="shared" si="59"/>
        <v>0.4</v>
      </c>
      <c r="Q111" s="463">
        <f t="shared" si="79"/>
        <v>0.66321647225783209</v>
      </c>
      <c r="R111" s="9">
        <f t="shared" si="101"/>
        <v>0.64361902297927021</v>
      </c>
      <c r="S111" s="9">
        <f t="shared" si="102"/>
        <v>4.1424544674079035E-4</v>
      </c>
      <c r="T111" s="9">
        <f t="shared" si="103"/>
        <v>4.1424544674079035E-4</v>
      </c>
      <c r="U111" s="463">
        <f t="shared" si="104"/>
        <v>3.2949165850833242</v>
      </c>
      <c r="V111" s="465">
        <f t="shared" si="105"/>
        <v>1.0856475302657154E-2</v>
      </c>
      <c r="W111" s="463">
        <f t="shared" si="106"/>
        <v>1.0856475302657154E-2</v>
      </c>
      <c r="X111" s="463">
        <f t="shared" si="107"/>
        <v>3.2949165850833242</v>
      </c>
      <c r="Y111" s="463">
        <f t="shared" si="108"/>
        <v>0.23884245665845738</v>
      </c>
      <c r="Z111" s="463">
        <f t="shared" si="62"/>
        <v>0.12641293803461856</v>
      </c>
      <c r="AA111" s="463">
        <f t="shared" si="63"/>
        <v>0.15997440000000002</v>
      </c>
      <c r="AB111" s="463">
        <f t="shared" si="64"/>
        <v>0</v>
      </c>
      <c r="AC111" s="463">
        <f t="shared" si="109"/>
        <v>0.54718592128058896</v>
      </c>
      <c r="AD111" s="463">
        <f t="shared" si="110"/>
        <v>3.2597346738781723</v>
      </c>
      <c r="AE111" s="463">
        <f t="shared" si="111"/>
        <v>0.10625870144083635</v>
      </c>
      <c r="AF111" s="463">
        <f t="shared" si="67"/>
        <v>9.9143999999999982E-2</v>
      </c>
      <c r="AG111" s="463">
        <f t="shared" si="112"/>
        <v>0.20895523128656104</v>
      </c>
      <c r="AH111" s="463">
        <f t="shared" si="113"/>
        <v>0</v>
      </c>
      <c r="AI111">
        <f t="shared" si="70"/>
        <v>0</v>
      </c>
      <c r="AJ111" s="464">
        <f t="shared" si="71"/>
        <v>0.47798040000000003</v>
      </c>
      <c r="AK111">
        <f t="shared" si="84"/>
        <v>7.2000000000000008E-2</v>
      </c>
      <c r="AL111" s="464">
        <f t="shared" si="85"/>
        <v>0.22559999999999999</v>
      </c>
      <c r="AM111" s="464">
        <f t="shared" si="86"/>
        <v>0.18424406779661015</v>
      </c>
      <c r="AN111" s="464">
        <f t="shared" si="114"/>
        <v>0.29759999999999998</v>
      </c>
      <c r="AO111" s="464">
        <f t="shared" si="115"/>
        <v>2.2062087455743802</v>
      </c>
      <c r="AP111" s="100">
        <f t="shared" si="73"/>
        <v>55.08</v>
      </c>
      <c r="AQ111" s="10">
        <f t="shared" si="116"/>
        <v>0.96148796029821371</v>
      </c>
      <c r="AR111" s="77">
        <f t="shared" si="117"/>
        <v>22.981808693784735</v>
      </c>
      <c r="AS111" s="77">
        <f t="shared" si="118"/>
        <v>8.3582092514624424</v>
      </c>
      <c r="AT111" s="10"/>
      <c r="AU111">
        <f t="shared" si="119"/>
        <v>96.148796029821369</v>
      </c>
    </row>
    <row r="112" spans="7:58" x14ac:dyDescent="0.25">
      <c r="G112">
        <v>103</v>
      </c>
      <c r="H112">
        <f t="shared" si="55"/>
        <v>4.6349999999999998</v>
      </c>
      <c r="I112" s="463">
        <f t="shared" si="97"/>
        <v>0.50542006099134751</v>
      </c>
      <c r="J112" s="464">
        <f t="shared" si="56"/>
        <v>2.2297943867265331</v>
      </c>
      <c r="K112" s="464">
        <f t="shared" si="76"/>
        <v>5.7498971933632665</v>
      </c>
      <c r="L112" s="464">
        <f t="shared" si="98"/>
        <v>3.520102806636733</v>
      </c>
      <c r="M112" s="77">
        <f t="shared" si="57"/>
        <v>0</v>
      </c>
      <c r="N112" s="463">
        <f t="shared" si="99"/>
        <v>4.6794825480234916</v>
      </c>
      <c r="O112" s="463">
        <f t="shared" si="100"/>
        <v>0.26841317201005138</v>
      </c>
      <c r="P112">
        <f t="shared" si="59"/>
        <v>0.4</v>
      </c>
      <c r="Q112" s="463">
        <f t="shared" si="79"/>
        <v>0.66841317201005146</v>
      </c>
      <c r="R112" s="9">
        <f t="shared" si="101"/>
        <v>0.64368619470704025</v>
      </c>
      <c r="S112" s="9">
        <f t="shared" si="102"/>
        <v>4.1433191725642971E-4</v>
      </c>
      <c r="T112" s="9">
        <f t="shared" si="103"/>
        <v>4.1433191725642971E-4</v>
      </c>
      <c r="U112" s="463">
        <f t="shared" si="104"/>
        <v>3.3267799074602529</v>
      </c>
      <c r="V112" s="465">
        <f t="shared" si="105"/>
        <v>1.1067464552681249E-2</v>
      </c>
      <c r="W112" s="463">
        <f t="shared" si="106"/>
        <v>1.1067464552681249E-2</v>
      </c>
      <c r="X112" s="463">
        <f t="shared" si="107"/>
        <v>3.3267799074602529</v>
      </c>
      <c r="Y112" s="463">
        <f t="shared" si="108"/>
        <v>0.24348422015898746</v>
      </c>
      <c r="Z112" s="463">
        <f t="shared" si="62"/>
        <v>0.12772371365391921</v>
      </c>
      <c r="AA112" s="463">
        <f t="shared" si="63"/>
        <v>0.15997440000000002</v>
      </c>
      <c r="AB112" s="463">
        <f t="shared" si="64"/>
        <v>0</v>
      </c>
      <c r="AC112" s="463">
        <f t="shared" si="109"/>
        <v>0.55383723937122253</v>
      </c>
      <c r="AD112" s="463">
        <f t="shared" si="110"/>
        <v>3.2909105676962995</v>
      </c>
      <c r="AE112" s="463">
        <f t="shared" si="111"/>
        <v>0.10830092364575182</v>
      </c>
      <c r="AF112" s="463">
        <f t="shared" si="67"/>
        <v>0.10011599999999998</v>
      </c>
      <c r="AG112" s="463">
        <f t="shared" si="112"/>
        <v>0.21209208666719373</v>
      </c>
      <c r="AH112" s="463">
        <f t="shared" si="113"/>
        <v>0</v>
      </c>
      <c r="AI112">
        <f t="shared" si="70"/>
        <v>0</v>
      </c>
      <c r="AJ112" s="464">
        <f t="shared" si="71"/>
        <v>0.47796059999999996</v>
      </c>
      <c r="AK112">
        <f t="shared" si="84"/>
        <v>7.2000000000000008E-2</v>
      </c>
      <c r="AL112" s="464">
        <f t="shared" si="85"/>
        <v>0.22559999999999999</v>
      </c>
      <c r="AM112" s="464">
        <f t="shared" si="86"/>
        <v>0.18424406779661015</v>
      </c>
      <c r="AN112" s="464">
        <f t="shared" si="114"/>
        <v>0.29759999999999998</v>
      </c>
      <c r="AO112" s="464">
        <f t="shared" si="115"/>
        <v>2.2213848945184052</v>
      </c>
      <c r="AP112" s="100">
        <f t="shared" si="73"/>
        <v>55.62</v>
      </c>
      <c r="AQ112" s="10">
        <f t="shared" si="116"/>
        <v>0.96159523326473939</v>
      </c>
      <c r="AR112" s="77">
        <f t="shared" si="117"/>
        <v>23.261164053591347</v>
      </c>
      <c r="AS112" s="77">
        <f t="shared" si="118"/>
        <v>8.483683466687749</v>
      </c>
      <c r="AT112" s="10"/>
      <c r="AU112">
        <f t="shared" si="119"/>
        <v>96.159523326473945</v>
      </c>
    </row>
    <row r="113" spans="7:47" x14ac:dyDescent="0.25">
      <c r="G113">
        <v>104</v>
      </c>
      <c r="H113">
        <f t="shared" si="55"/>
        <v>4.68</v>
      </c>
      <c r="I113" s="463">
        <f t="shared" si="97"/>
        <v>0.50547280636689851</v>
      </c>
      <c r="J113" s="464">
        <f t="shared" si="56"/>
        <v>2.2300270869127874</v>
      </c>
      <c r="K113" s="464">
        <f t="shared" si="76"/>
        <v>5.7950135434563936</v>
      </c>
      <c r="L113" s="464">
        <f t="shared" si="98"/>
        <v>3.5649864565436058</v>
      </c>
      <c r="M113" s="77">
        <f t="shared" si="57"/>
        <v>0</v>
      </c>
      <c r="N113" s="463">
        <f t="shared" si="99"/>
        <v>4.7240679928105456</v>
      </c>
      <c r="O113" s="463">
        <f t="shared" si="100"/>
        <v>0.27366485655857642</v>
      </c>
      <c r="P113">
        <f t="shared" si="59"/>
        <v>0.4</v>
      </c>
      <c r="Q113" s="463">
        <f t="shared" si="79"/>
        <v>0.67366485655857644</v>
      </c>
      <c r="R113" s="9">
        <f t="shared" si="101"/>
        <v>0.64375336946462747</v>
      </c>
      <c r="S113" s="9">
        <f t="shared" si="102"/>
        <v>4.1441840069706115E-4</v>
      </c>
      <c r="T113" s="9">
        <f t="shared" si="103"/>
        <v>4.1441840069706115E-4</v>
      </c>
      <c r="U113" s="463">
        <f t="shared" si="104"/>
        <v>3.3586522335872737</v>
      </c>
      <c r="V113" s="465">
        <f t="shared" si="105"/>
        <v>1.1280544826180783E-2</v>
      </c>
      <c r="W113" s="463">
        <f t="shared" si="106"/>
        <v>1.1280544826180783E-2</v>
      </c>
      <c r="X113" s="463">
        <f t="shared" si="107"/>
        <v>3.3586522335872737</v>
      </c>
      <c r="Y113" s="463">
        <f t="shared" si="108"/>
        <v>0.24817198617597722</v>
      </c>
      <c r="Z113" s="463">
        <f t="shared" si="62"/>
        <v>0.12903448923855135</v>
      </c>
      <c r="AA113" s="463">
        <f t="shared" si="63"/>
        <v>0.15997440000000002</v>
      </c>
      <c r="AB113" s="463">
        <f t="shared" si="64"/>
        <v>0</v>
      </c>
      <c r="AC113" s="463">
        <f t="shared" si="109"/>
        <v>0.56055190645094377</v>
      </c>
      <c r="AD113" s="463">
        <f t="shared" si="110"/>
        <v>3.3220887367010952</v>
      </c>
      <c r="AE113" s="463">
        <f t="shared" si="111"/>
        <v>0.11036273574516278</v>
      </c>
      <c r="AF113" s="463">
        <f t="shared" si="67"/>
        <v>0.10108799999999998</v>
      </c>
      <c r="AG113" s="463">
        <f t="shared" si="112"/>
        <v>0.21525165763480406</v>
      </c>
      <c r="AH113" s="463">
        <f t="shared" si="113"/>
        <v>0</v>
      </c>
      <c r="AI113">
        <f t="shared" si="70"/>
        <v>0</v>
      </c>
      <c r="AJ113" s="464">
        <f t="shared" si="71"/>
        <v>0.4779408</v>
      </c>
      <c r="AK113">
        <f t="shared" si="84"/>
        <v>7.2000000000000008E-2</v>
      </c>
      <c r="AL113" s="464">
        <f t="shared" si="85"/>
        <v>0.22559999999999999</v>
      </c>
      <c r="AM113" s="464">
        <f t="shared" si="86"/>
        <v>0.18424406779661015</v>
      </c>
      <c r="AN113" s="464">
        <f t="shared" si="114"/>
        <v>0.29759999999999998</v>
      </c>
      <c r="AO113" s="464">
        <f t="shared" si="115"/>
        <v>2.2367041838712023</v>
      </c>
      <c r="AP113" s="100">
        <f t="shared" si="73"/>
        <v>56.16</v>
      </c>
      <c r="AQ113" s="10">
        <f t="shared" si="116"/>
        <v>0.96169810924896393</v>
      </c>
      <c r="AR113" s="77">
        <f t="shared" si="117"/>
        <v>23.543180070939638</v>
      </c>
      <c r="AS113" s="77">
        <f t="shared" si="118"/>
        <v>8.6100663053921629</v>
      </c>
      <c r="AT113" s="10"/>
      <c r="AU113">
        <f t="shared" si="119"/>
        <v>96.169810924896396</v>
      </c>
    </row>
    <row r="114" spans="7:47" x14ac:dyDescent="0.25">
      <c r="G114">
        <v>105</v>
      </c>
      <c r="H114">
        <f t="shared" si="55"/>
        <v>4.7250000000000005</v>
      </c>
      <c r="I114" s="463">
        <f t="shared" si="97"/>
        <v>0.50552555412161237</v>
      </c>
      <c r="J114" s="464">
        <f t="shared" si="56"/>
        <v>2.2302597975953486</v>
      </c>
      <c r="K114" s="464">
        <f t="shared" si="76"/>
        <v>5.8401298987976746</v>
      </c>
      <c r="L114" s="464">
        <f t="shared" si="98"/>
        <v>3.6098701012023264</v>
      </c>
      <c r="M114" s="77">
        <f t="shared" si="57"/>
        <v>0</v>
      </c>
      <c r="N114" s="463">
        <f t="shared" si="99"/>
        <v>4.768661226913081</v>
      </c>
      <c r="O114" s="463">
        <f t="shared" si="100"/>
        <v>0.27897165640075633</v>
      </c>
      <c r="P114">
        <f t="shared" si="59"/>
        <v>0.4</v>
      </c>
      <c r="Q114" s="463">
        <f t="shared" si="79"/>
        <v>0.67897165640075641</v>
      </c>
      <c r="R114" s="9">
        <f t="shared" si="101"/>
        <v>0.64382054725223747</v>
      </c>
      <c r="S114" s="9">
        <f t="shared" si="102"/>
        <v>4.1450489706417056E-4</v>
      </c>
      <c r="T114" s="9">
        <f t="shared" si="103"/>
        <v>4.1450489706417056E-4</v>
      </c>
      <c r="U114" s="463">
        <f t="shared" si="104"/>
        <v>3.3905334044971167</v>
      </c>
      <c r="V114" s="465">
        <f t="shared" si="105"/>
        <v>1.1495716767010809E-2</v>
      </c>
      <c r="W114" s="463">
        <f t="shared" si="106"/>
        <v>1.1495716767010809E-2</v>
      </c>
      <c r="X114" s="463">
        <f t="shared" si="107"/>
        <v>3.3905334044971167</v>
      </c>
      <c r="Y114" s="463">
        <f t="shared" si="108"/>
        <v>0.25290576887423777</v>
      </c>
      <c r="Z114" s="463">
        <f t="shared" si="62"/>
        <v>0.13034526478851266</v>
      </c>
      <c r="AA114" s="463">
        <f t="shared" si="63"/>
        <v>0.15997440000000002</v>
      </c>
      <c r="AB114" s="463">
        <f t="shared" si="64"/>
        <v>0</v>
      </c>
      <c r="AC114" s="463">
        <f t="shared" si="109"/>
        <v>0.56733025762445255</v>
      </c>
      <c r="AD114" s="463">
        <f t="shared" si="110"/>
        <v>3.3532690214257137</v>
      </c>
      <c r="AE114" s="463">
        <f t="shared" si="111"/>
        <v>0.11244413130053364</v>
      </c>
      <c r="AF114" s="463">
        <f t="shared" si="67"/>
        <v>0.10206</v>
      </c>
      <c r="AG114" s="463">
        <f t="shared" si="112"/>
        <v>0.21843399055077212</v>
      </c>
      <c r="AH114" s="463">
        <f t="shared" si="113"/>
        <v>0</v>
      </c>
      <c r="AI114">
        <f t="shared" si="70"/>
        <v>0</v>
      </c>
      <c r="AJ114" s="464">
        <f t="shared" si="71"/>
        <v>0.47792099999999998</v>
      </c>
      <c r="AK114">
        <f t="shared" si="84"/>
        <v>7.2000000000000008E-2</v>
      </c>
      <c r="AL114" s="464">
        <f t="shared" si="85"/>
        <v>0.22559999999999999</v>
      </c>
      <c r="AM114" s="464">
        <f t="shared" si="86"/>
        <v>0.18424406779661015</v>
      </c>
      <c r="AN114" s="464">
        <f t="shared" si="114"/>
        <v>0.29759999999999998</v>
      </c>
      <c r="AO114" s="464">
        <f t="shared" si="115"/>
        <v>2.2521671262400562</v>
      </c>
      <c r="AP114" s="100">
        <f t="shared" si="73"/>
        <v>56.7</v>
      </c>
      <c r="AQ114" s="10">
        <f t="shared" si="116"/>
        <v>0.96179670339485113</v>
      </c>
      <c r="AR114" s="77">
        <f t="shared" si="117"/>
        <v>23.827870820227005</v>
      </c>
      <c r="AS114" s="77">
        <f t="shared" si="118"/>
        <v>8.7373596220308851</v>
      </c>
      <c r="AT114" s="10"/>
      <c r="AU114">
        <f t="shared" si="119"/>
        <v>96.179670339485114</v>
      </c>
    </row>
    <row r="115" spans="7:47" x14ac:dyDescent="0.25">
      <c r="G115">
        <v>106</v>
      </c>
      <c r="H115">
        <f t="shared" si="55"/>
        <v>4.7700000000000005</v>
      </c>
      <c r="I115" s="463">
        <f t="shared" si="97"/>
        <v>0.50557830425564976</v>
      </c>
      <c r="J115" s="464">
        <f t="shared" si="56"/>
        <v>2.2304925187749252</v>
      </c>
      <c r="K115" s="464">
        <f t="shared" si="76"/>
        <v>5.885246259387463</v>
      </c>
      <c r="L115" s="464">
        <f t="shared" si="98"/>
        <v>3.6547537406125379</v>
      </c>
      <c r="M115" s="77">
        <f t="shared" si="57"/>
        <v>0</v>
      </c>
      <c r="N115" s="463">
        <f t="shared" si="99"/>
        <v>4.8132620338351879</v>
      </c>
      <c r="O115" s="463">
        <f t="shared" si="100"/>
        <v>0.28433370356483251</v>
      </c>
      <c r="P115">
        <f t="shared" si="59"/>
        <v>0.4</v>
      </c>
      <c r="Q115" s="463">
        <f t="shared" si="79"/>
        <v>0.68433370356483247</v>
      </c>
      <c r="R115" s="9">
        <f t="shared" si="101"/>
        <v>0.64388772807007477</v>
      </c>
      <c r="S115" s="9">
        <f t="shared" si="102"/>
        <v>4.145914063592426E-4</v>
      </c>
      <c r="T115" s="9">
        <f t="shared" si="103"/>
        <v>4.145914063592426E-4</v>
      </c>
      <c r="U115" s="463">
        <f t="shared" si="104"/>
        <v>3.4224232670849535</v>
      </c>
      <c r="V115" s="465">
        <f t="shared" si="105"/>
        <v>1.1712981019084447E-2</v>
      </c>
      <c r="W115" s="463">
        <f t="shared" si="106"/>
        <v>1.1712981019084447E-2</v>
      </c>
      <c r="X115" s="463">
        <f t="shared" si="107"/>
        <v>3.4224232670849535</v>
      </c>
      <c r="Y115" s="463">
        <f t="shared" si="108"/>
        <v>0.25768558241985784</v>
      </c>
      <c r="Z115" s="463">
        <f t="shared" si="62"/>
        <v>0.13165604030380074</v>
      </c>
      <c r="AA115" s="463">
        <f t="shared" si="63"/>
        <v>0.15997440000000002</v>
      </c>
      <c r="AB115" s="463">
        <f t="shared" si="64"/>
        <v>0</v>
      </c>
      <c r="AC115" s="463">
        <f t="shared" si="109"/>
        <v>0.57417263226150528</v>
      </c>
      <c r="AD115" s="463">
        <f t="shared" si="110"/>
        <v>3.3844512682671031</v>
      </c>
      <c r="AE115" s="463">
        <f t="shared" si="111"/>
        <v>0.11454510387274804</v>
      </c>
      <c r="AF115" s="463">
        <f t="shared" si="67"/>
        <v>0.103032</v>
      </c>
      <c r="AG115" s="463">
        <f t="shared" si="112"/>
        <v>0.22163913226108592</v>
      </c>
      <c r="AH115" s="463">
        <f t="shared" si="113"/>
        <v>0</v>
      </c>
      <c r="AI115">
        <f t="shared" si="70"/>
        <v>0</v>
      </c>
      <c r="AJ115" s="464">
        <f t="shared" si="71"/>
        <v>0.47790120000000003</v>
      </c>
      <c r="AK115">
        <f t="shared" si="84"/>
        <v>7.2000000000000008E-2</v>
      </c>
      <c r="AL115" s="464">
        <f t="shared" si="85"/>
        <v>0.22559999999999999</v>
      </c>
      <c r="AM115" s="464">
        <f t="shared" si="86"/>
        <v>0.18424406779661015</v>
      </c>
      <c r="AN115" s="464">
        <f t="shared" si="114"/>
        <v>0.29759999999999998</v>
      </c>
      <c r="AO115" s="464">
        <f t="shared" si="115"/>
        <v>2.2677742405128676</v>
      </c>
      <c r="AP115" s="100">
        <f t="shared" si="73"/>
        <v>57.240000000000009</v>
      </c>
      <c r="AQ115" s="10">
        <f t="shared" si="116"/>
        <v>0.96189112650479602</v>
      </c>
      <c r="AR115" s="77">
        <f t="shared" si="117"/>
        <v>24.11525055498322</v>
      </c>
      <c r="AS115" s="77">
        <f t="shared" si="118"/>
        <v>8.8655652904434366</v>
      </c>
      <c r="AT115" s="10"/>
      <c r="AU115">
        <f t="shared" si="119"/>
        <v>96.189112650479601</v>
      </c>
    </row>
    <row r="116" spans="7:47" x14ac:dyDescent="0.25">
      <c r="G116">
        <v>107</v>
      </c>
      <c r="H116">
        <f t="shared" si="55"/>
        <v>4.8150000000000004</v>
      </c>
      <c r="I116" s="463">
        <f t="shared" si="97"/>
        <v>0.50563105676917175</v>
      </c>
      <c r="J116" s="464">
        <f t="shared" si="56"/>
        <v>2.2307252504522284</v>
      </c>
      <c r="K116" s="464">
        <f t="shared" si="76"/>
        <v>5.930362625226115</v>
      </c>
      <c r="L116" s="464">
        <f t="shared" si="98"/>
        <v>3.6996373747738862</v>
      </c>
      <c r="M116" s="77">
        <f t="shared" si="57"/>
        <v>0</v>
      </c>
      <c r="N116" s="463">
        <f t="shared" si="99"/>
        <v>4.8578702049955771</v>
      </c>
      <c r="O116" s="463">
        <f t="shared" si="100"/>
        <v>0.28975113161837418</v>
      </c>
      <c r="P116">
        <f t="shared" si="59"/>
        <v>0.4</v>
      </c>
      <c r="Q116" s="463">
        <f t="shared" si="79"/>
        <v>0.6897511316183742</v>
      </c>
      <c r="R116" s="9">
        <f t="shared" si="101"/>
        <v>0.64395491191834475</v>
      </c>
      <c r="S116" s="9">
        <f t="shared" si="102"/>
        <v>4.1467792858376312E-4</v>
      </c>
      <c r="T116" s="9">
        <f t="shared" si="103"/>
        <v>4.1467792858376312E-4</v>
      </c>
      <c r="U116" s="463">
        <f t="shared" si="104"/>
        <v>3.4543216738417564</v>
      </c>
      <c r="V116" s="465">
        <f t="shared" si="105"/>
        <v>1.1932338226372912E-2</v>
      </c>
      <c r="W116" s="463">
        <f t="shared" si="106"/>
        <v>1.1932338226372912E-2</v>
      </c>
      <c r="X116" s="463">
        <f t="shared" si="107"/>
        <v>3.4543216738417564</v>
      </c>
      <c r="Y116" s="463">
        <f t="shared" si="108"/>
        <v>0.26251144098020407</v>
      </c>
      <c r="Z116" s="463">
        <f t="shared" si="62"/>
        <v>0.1329668157844133</v>
      </c>
      <c r="AA116" s="463">
        <f t="shared" si="63"/>
        <v>0.15997440000000002</v>
      </c>
      <c r="AB116" s="463">
        <f t="shared" si="64"/>
        <v>0</v>
      </c>
      <c r="AC116" s="463">
        <f t="shared" si="109"/>
        <v>0.58107937404370424</v>
      </c>
      <c r="AD116" s="463">
        <f t="shared" si="110"/>
        <v>3.415635329219274</v>
      </c>
      <c r="AE116" s="463">
        <f t="shared" si="111"/>
        <v>0.11666564702210859</v>
      </c>
      <c r="AF116" s="463">
        <f t="shared" si="67"/>
        <v>0.104004</v>
      </c>
      <c r="AG116" s="463">
        <f t="shared" si="112"/>
        <v>0.22486713009841847</v>
      </c>
      <c r="AH116" s="463">
        <f t="shared" si="113"/>
        <v>0</v>
      </c>
      <c r="AI116">
        <f t="shared" si="70"/>
        <v>0</v>
      </c>
      <c r="AJ116" s="464">
        <f t="shared" si="71"/>
        <v>0.47788140000000001</v>
      </c>
      <c r="AK116">
        <f t="shared" si="84"/>
        <v>7.2000000000000008E-2</v>
      </c>
      <c r="AL116" s="464">
        <f t="shared" si="85"/>
        <v>0.22559999999999999</v>
      </c>
      <c r="AM116" s="464">
        <f t="shared" si="86"/>
        <v>0.18424406779661015</v>
      </c>
      <c r="AN116" s="464">
        <f t="shared" si="114"/>
        <v>0.29759999999999998</v>
      </c>
      <c r="AO116" s="464">
        <f t="shared" si="115"/>
        <v>2.2835260519154534</v>
      </c>
      <c r="AP116" s="100">
        <f t="shared" si="73"/>
        <v>57.78</v>
      </c>
      <c r="AQ116" s="10">
        <f t="shared" si="116"/>
        <v>0.96198148523711868</v>
      </c>
      <c r="AR116" s="77">
        <f t="shared" si="117"/>
        <v>24.405333709835578</v>
      </c>
      <c r="AS116" s="77">
        <f t="shared" si="118"/>
        <v>8.9946852039367382</v>
      </c>
      <c r="AT116" s="10"/>
      <c r="AU116">
        <f t="shared" si="119"/>
        <v>96.198148523711865</v>
      </c>
    </row>
    <row r="117" spans="7:47" x14ac:dyDescent="0.25">
      <c r="G117">
        <v>108</v>
      </c>
      <c r="H117">
        <f t="shared" si="55"/>
        <v>4.8600000000000003</v>
      </c>
      <c r="I117" s="463">
        <f t="shared" si="97"/>
        <v>0.50568381166233944</v>
      </c>
      <c r="J117" s="464">
        <f t="shared" si="56"/>
        <v>2.2309579926279679</v>
      </c>
      <c r="K117" s="464">
        <f t="shared" si="76"/>
        <v>5.975478996313984</v>
      </c>
      <c r="L117" s="464">
        <f t="shared" si="98"/>
        <v>3.7445210036860166</v>
      </c>
      <c r="M117" s="77">
        <f t="shared" si="57"/>
        <v>0</v>
      </c>
      <c r="N117" s="463">
        <f t="shared" si="99"/>
        <v>4.9024855393707405</v>
      </c>
      <c r="O117" s="463">
        <f t="shared" si="100"/>
        <v>0.29522407567682657</v>
      </c>
      <c r="P117">
        <f t="shared" si="59"/>
        <v>0.4</v>
      </c>
      <c r="Q117" s="463">
        <f t="shared" si="79"/>
        <v>0.69522407567682665</v>
      </c>
      <c r="R117" s="9">
        <f t="shared" si="101"/>
        <v>0.64402209879725225</v>
      </c>
      <c r="S117" s="9">
        <f t="shared" si="102"/>
        <v>4.1476446373921774E-4</v>
      </c>
      <c r="T117" s="9">
        <f t="shared" si="103"/>
        <v>4.1476446373921774E-4</v>
      </c>
      <c r="U117" s="463">
        <f t="shared" si="104"/>
        <v>3.4862284826020122</v>
      </c>
      <c r="V117" s="465">
        <f t="shared" si="105"/>
        <v>1.2153789032905529E-2</v>
      </c>
      <c r="W117" s="463">
        <f t="shared" si="106"/>
        <v>1.2153789032905529E-2</v>
      </c>
      <c r="X117" s="463">
        <f t="shared" si="107"/>
        <v>3.4862284826020122</v>
      </c>
      <c r="Y117" s="463">
        <f t="shared" si="108"/>
        <v>0.2673833587239216</v>
      </c>
      <c r="Z117" s="463">
        <f t="shared" si="62"/>
        <v>0.13427759123034791</v>
      </c>
      <c r="AA117" s="463">
        <f t="shared" si="63"/>
        <v>0.15997440000000002</v>
      </c>
      <c r="AB117" s="463">
        <f t="shared" si="64"/>
        <v>0</v>
      </c>
      <c r="AC117" s="463">
        <f t="shared" si="109"/>
        <v>0.58805083101206457</v>
      </c>
      <c r="AD117" s="463">
        <f t="shared" si="110"/>
        <v>3.446821061620938</v>
      </c>
      <c r="AE117" s="463">
        <f t="shared" si="111"/>
        <v>0.11880575430833691</v>
      </c>
      <c r="AF117" s="463">
        <f t="shared" si="67"/>
        <v>0.104976</v>
      </c>
      <c r="AG117" s="463">
        <f t="shared" si="112"/>
        <v>0.22811803188423121</v>
      </c>
      <c r="AH117" s="463">
        <f t="shared" si="113"/>
        <v>0</v>
      </c>
      <c r="AI117">
        <f t="shared" si="70"/>
        <v>0</v>
      </c>
      <c r="AJ117" s="464">
        <f t="shared" si="71"/>
        <v>0.47786160000000005</v>
      </c>
      <c r="AK117">
        <f t="shared" si="84"/>
        <v>7.2000000000000008E-2</v>
      </c>
      <c r="AL117" s="464">
        <f t="shared" si="85"/>
        <v>0.22559999999999999</v>
      </c>
      <c r="AM117" s="464">
        <f t="shared" si="86"/>
        <v>0.18424406779661015</v>
      </c>
      <c r="AN117" s="464">
        <f t="shared" si="114"/>
        <v>0.29759999999999998</v>
      </c>
      <c r="AO117" s="464">
        <f t="shared" si="115"/>
        <v>2.2994230920697674</v>
      </c>
      <c r="AP117" s="100">
        <f t="shared" si="73"/>
        <v>58.320000000000007</v>
      </c>
      <c r="AQ117" s="10">
        <f t="shared" si="116"/>
        <v>0.96206788229281948</v>
      </c>
      <c r="AR117" s="77">
        <f t="shared" si="117"/>
        <v>24.698134902506713</v>
      </c>
      <c r="AS117" s="77">
        <f t="shared" si="118"/>
        <v>9.1247212753692484</v>
      </c>
      <c r="AT117" s="10"/>
      <c r="AU117">
        <f t="shared" si="119"/>
        <v>96.206788229281955</v>
      </c>
    </row>
    <row r="118" spans="7:47" x14ac:dyDescent="0.25">
      <c r="G118">
        <v>109</v>
      </c>
      <c r="H118">
        <f t="shared" si="55"/>
        <v>4.9050000000000002</v>
      </c>
      <c r="I118" s="463">
        <f t="shared" si="97"/>
        <v>0.50573656893531382</v>
      </c>
      <c r="J118" s="464">
        <f t="shared" si="56"/>
        <v>2.2311907453028552</v>
      </c>
      <c r="K118" s="464">
        <f t="shared" si="76"/>
        <v>6.0205953726514281</v>
      </c>
      <c r="L118" s="464">
        <f t="shared" si="98"/>
        <v>3.7894046273485724</v>
      </c>
      <c r="M118" s="77">
        <f t="shared" si="57"/>
        <v>0</v>
      </c>
      <c r="N118" s="463">
        <f t="shared" si="99"/>
        <v>4.9471078431571609</v>
      </c>
      <c r="O118" s="463">
        <f t="shared" si="100"/>
        <v>0.30075267241217274</v>
      </c>
      <c r="P118">
        <f t="shared" si="59"/>
        <v>0.4</v>
      </c>
      <c r="Q118" s="463">
        <f t="shared" si="79"/>
        <v>0.70075267241217276</v>
      </c>
      <c r="R118" s="9">
        <f t="shared" si="101"/>
        <v>0.64408928870700266</v>
      </c>
      <c r="S118" s="9">
        <f t="shared" si="102"/>
        <v>4.1485101182709263E-4</v>
      </c>
      <c r="T118" s="9">
        <f t="shared" si="103"/>
        <v>4.1485101182709263E-4</v>
      </c>
      <c r="U118" s="463">
        <f t="shared" si="104"/>
        <v>3.5181435563049042</v>
      </c>
      <c r="V118" s="465">
        <f t="shared" si="105"/>
        <v>1.2377334082769718E-2</v>
      </c>
      <c r="W118" s="463">
        <f t="shared" si="106"/>
        <v>1.2377334082769718E-2</v>
      </c>
      <c r="X118" s="463">
        <f t="shared" si="107"/>
        <v>3.5181435563049042</v>
      </c>
      <c r="Y118" s="463">
        <f t="shared" si="108"/>
        <v>0.27230134982093379</v>
      </c>
      <c r="Z118" s="463">
        <f t="shared" si="62"/>
        <v>0.13558836664160234</v>
      </c>
      <c r="AA118" s="463">
        <f t="shared" si="63"/>
        <v>0.15997440000000002</v>
      </c>
      <c r="AB118" s="463">
        <f t="shared" si="64"/>
        <v>0</v>
      </c>
      <c r="AC118" s="463">
        <f t="shared" si="109"/>
        <v>0.5950873556153693</v>
      </c>
      <c r="AD118" s="463">
        <f t="shared" si="110"/>
        <v>3.4780083279166223</v>
      </c>
      <c r="AE118" s="463">
        <f t="shared" si="111"/>
        <v>0.12096541929057379</v>
      </c>
      <c r="AF118" s="463">
        <f t="shared" si="67"/>
        <v>0.105948</v>
      </c>
      <c r="AG118" s="463">
        <f t="shared" si="112"/>
        <v>0.23139188593090476</v>
      </c>
      <c r="AH118" s="463">
        <f t="shared" si="113"/>
        <v>0</v>
      </c>
      <c r="AI118">
        <f t="shared" si="70"/>
        <v>0</v>
      </c>
      <c r="AJ118" s="464">
        <f t="shared" si="71"/>
        <v>0.47784179999999998</v>
      </c>
      <c r="AK118">
        <f t="shared" si="84"/>
        <v>7.2000000000000008E-2</v>
      </c>
      <c r="AL118" s="464">
        <f t="shared" si="85"/>
        <v>0.22559999999999999</v>
      </c>
      <c r="AM118" s="464">
        <f t="shared" si="86"/>
        <v>0.18424406779661015</v>
      </c>
      <c r="AN118" s="464">
        <f t="shared" si="114"/>
        <v>0.29759999999999998</v>
      </c>
      <c r="AO118" s="464">
        <f t="shared" si="115"/>
        <v>2.3154658990530437</v>
      </c>
      <c r="AP118" s="100">
        <f t="shared" si="73"/>
        <v>58.86</v>
      </c>
      <c r="AQ118" s="10">
        <f t="shared" si="116"/>
        <v>0.96215041659226841</v>
      </c>
      <c r="AR118" s="77">
        <f t="shared" si="117"/>
        <v>24.993668935845509</v>
      </c>
      <c r="AS118" s="77">
        <f t="shared" si="118"/>
        <v>9.2556754372361905</v>
      </c>
      <c r="AT118" s="10"/>
      <c r="AU118">
        <f t="shared" si="119"/>
        <v>96.215041659226841</v>
      </c>
    </row>
    <row r="119" spans="7:47" x14ac:dyDescent="0.25">
      <c r="G119">
        <v>110</v>
      </c>
      <c r="H119">
        <f t="shared" si="55"/>
        <v>4.95</v>
      </c>
      <c r="I119" s="463">
        <f t="shared" si="97"/>
        <v>0.50578932858825598</v>
      </c>
      <c r="J119" s="464">
        <f t="shared" si="56"/>
        <v>2.2314235084776</v>
      </c>
      <c r="K119" s="464">
        <f t="shared" si="76"/>
        <v>6.0657117542387997</v>
      </c>
      <c r="L119" s="464">
        <f t="shared" si="98"/>
        <v>3.8342882457612002</v>
      </c>
      <c r="M119" s="77">
        <f t="shared" si="57"/>
        <v>0</v>
      </c>
      <c r="N119" s="463">
        <f t="shared" si="99"/>
        <v>4.991736929451398</v>
      </c>
      <c r="O119" s="463">
        <f t="shared" si="100"/>
        <v>0.30633706006171069</v>
      </c>
      <c r="P119">
        <f t="shared" si="59"/>
        <v>0.4</v>
      </c>
      <c r="Q119" s="463">
        <f t="shared" si="79"/>
        <v>0.70633706006171071</v>
      </c>
      <c r="R119" s="9">
        <f t="shared" si="101"/>
        <v>0.64415648164780082</v>
      </c>
      <c r="S119" s="9">
        <f t="shared" si="102"/>
        <v>4.1493757284887358E-4</v>
      </c>
      <c r="T119" s="9">
        <f t="shared" si="103"/>
        <v>4.1493757284887358E-4</v>
      </c>
      <c r="U119" s="463">
        <f t="shared" si="104"/>
        <v>3.5500667627681328</v>
      </c>
      <c r="V119" s="465">
        <f t="shared" si="105"/>
        <v>1.260297402011101E-2</v>
      </c>
      <c r="W119" s="463">
        <f t="shared" si="106"/>
        <v>1.260297402011101E-2</v>
      </c>
      <c r="X119" s="463">
        <f t="shared" si="107"/>
        <v>3.5500667627681328</v>
      </c>
      <c r="Y119" s="463">
        <f t="shared" si="108"/>
        <v>0.27726542844244217</v>
      </c>
      <c r="Z119" s="463">
        <f t="shared" si="62"/>
        <v>0.13689914201817416</v>
      </c>
      <c r="AA119" s="463">
        <f t="shared" si="63"/>
        <v>0.15997440000000002</v>
      </c>
      <c r="AB119" s="463">
        <f t="shared" si="64"/>
        <v>0</v>
      </c>
      <c r="AC119" s="463">
        <f t="shared" si="109"/>
        <v>0.60218930475932486</v>
      </c>
      <c r="AD119" s="463">
        <f t="shared" si="110"/>
        <v>3.5091969954304156</v>
      </c>
      <c r="AE119" s="463">
        <f t="shared" si="111"/>
        <v>0.12314463552737857</v>
      </c>
      <c r="AF119" s="463">
        <f t="shared" si="67"/>
        <v>0.10691999999999999</v>
      </c>
      <c r="AG119" s="463">
        <f t="shared" si="112"/>
        <v>0.23468874104389531</v>
      </c>
      <c r="AH119" s="463">
        <f t="shared" si="113"/>
        <v>0</v>
      </c>
      <c r="AI119">
        <f t="shared" si="70"/>
        <v>0</v>
      </c>
      <c r="AJ119" s="464">
        <f t="shared" si="71"/>
        <v>0.47782200000000002</v>
      </c>
      <c r="AK119">
        <f t="shared" si="84"/>
        <v>7.2000000000000008E-2</v>
      </c>
      <c r="AL119" s="464">
        <f t="shared" si="85"/>
        <v>0.22559999999999999</v>
      </c>
      <c r="AM119" s="464">
        <f t="shared" si="86"/>
        <v>0.18424406779661015</v>
      </c>
      <c r="AN119" s="464">
        <f t="shared" si="114"/>
        <v>0.29759999999999998</v>
      </c>
      <c r="AO119" s="464">
        <f t="shared" si="115"/>
        <v>2.3316550174578907</v>
      </c>
      <c r="AP119" s="100">
        <f t="shared" si="73"/>
        <v>59.400000000000006</v>
      </c>
      <c r="AQ119" s="10">
        <f t="shared" si="116"/>
        <v>0.96222918344245767</v>
      </c>
      <c r="AR119" s="77">
        <f t="shared" si="117"/>
        <v>25.291950799891644</v>
      </c>
      <c r="AS119" s="77">
        <f t="shared" si="118"/>
        <v>9.3875496417558129</v>
      </c>
      <c r="AT119" s="10"/>
      <c r="AU119">
        <f t="shared" si="119"/>
        <v>96.22291834424577</v>
      </c>
    </row>
    <row r="120" spans="7:47" x14ac:dyDescent="0.25">
      <c r="G120">
        <v>111</v>
      </c>
      <c r="H120">
        <f t="shared" si="55"/>
        <v>4.9950000000000001</v>
      </c>
      <c r="I120" s="463">
        <f t="shared" si="97"/>
        <v>0.50584209062132679</v>
      </c>
      <c r="J120" s="464">
        <f t="shared" si="56"/>
        <v>2.2316562821529122</v>
      </c>
      <c r="K120" s="464">
        <f t="shared" si="76"/>
        <v>6.110828141076456</v>
      </c>
      <c r="L120" s="464">
        <f t="shared" si="98"/>
        <v>3.8791718589235442</v>
      </c>
      <c r="M120" s="77">
        <f t="shared" si="57"/>
        <v>0</v>
      </c>
      <c r="N120" s="463">
        <f t="shared" si="99"/>
        <v>5.0363726179469728</v>
      </c>
      <c r="O120" s="463">
        <f t="shared" si="100"/>
        <v>0.31197737843694762</v>
      </c>
      <c r="P120">
        <f t="shared" si="59"/>
        <v>0.4</v>
      </c>
      <c r="Q120" s="463">
        <f t="shared" si="79"/>
        <v>0.71197737843694764</v>
      </c>
      <c r="R120" s="9">
        <f t="shared" si="101"/>
        <v>0.64422367761985166</v>
      </c>
      <c r="S120" s="9">
        <f t="shared" si="102"/>
        <v>4.1502414680604654E-4</v>
      </c>
      <c r="T120" s="9">
        <f t="shared" si="103"/>
        <v>4.1502414680604654E-4</v>
      </c>
      <c r="U120" s="463">
        <f t="shared" si="104"/>
        <v>3.5819979744736137</v>
      </c>
      <c r="V120" s="465">
        <f t="shared" si="105"/>
        <v>1.2830709489133072E-2</v>
      </c>
      <c r="W120" s="463">
        <f t="shared" si="106"/>
        <v>1.2830709489133072E-2</v>
      </c>
      <c r="X120" s="463">
        <f t="shared" si="107"/>
        <v>3.5819979744736137</v>
      </c>
      <c r="Y120" s="463">
        <f t="shared" si="108"/>
        <v>0.28227560876092755</v>
      </c>
      <c r="Z120" s="463">
        <f t="shared" si="62"/>
        <v>0.13820991736006105</v>
      </c>
      <c r="AA120" s="463">
        <f t="shared" si="63"/>
        <v>0.15997440000000002</v>
      </c>
      <c r="AB120" s="463">
        <f t="shared" si="64"/>
        <v>0</v>
      </c>
      <c r="AC120" s="463">
        <f t="shared" si="109"/>
        <v>0.60935703985653644</v>
      </c>
      <c r="AD120" s="463">
        <f t="shared" si="110"/>
        <v>3.5403869361516085</v>
      </c>
      <c r="AE120" s="463">
        <f t="shared" si="111"/>
        <v>0.12534339657672974</v>
      </c>
      <c r="AF120" s="463">
        <f t="shared" si="67"/>
        <v>0.10789199999999999</v>
      </c>
      <c r="AG120" s="463">
        <f t="shared" si="112"/>
        <v>0.23800864652391987</v>
      </c>
      <c r="AH120" s="463">
        <f t="shared" si="113"/>
        <v>0</v>
      </c>
      <c r="AI120">
        <f t="shared" si="70"/>
        <v>0</v>
      </c>
      <c r="AJ120" s="464">
        <f t="shared" si="71"/>
        <v>0.47780220000000001</v>
      </c>
      <c r="AK120">
        <f t="shared" si="84"/>
        <v>7.2000000000000008E-2</v>
      </c>
      <c r="AL120" s="464">
        <f t="shared" si="85"/>
        <v>0.22559999999999999</v>
      </c>
      <c r="AM120" s="464">
        <f t="shared" si="86"/>
        <v>0.18424406779661015</v>
      </c>
      <c r="AN120" s="464">
        <f t="shared" si="114"/>
        <v>0.29759999999999998</v>
      </c>
      <c r="AO120" s="464">
        <f t="shared" si="115"/>
        <v>2.3479909984533429</v>
      </c>
      <c r="AP120" s="100">
        <f t="shared" si="73"/>
        <v>59.94</v>
      </c>
      <c r="AQ120" s="10">
        <f t="shared" si="116"/>
        <v>0.96230427469539603</v>
      </c>
      <c r="AR120" s="77">
        <f t="shared" si="117"/>
        <v>25.592995673974531</v>
      </c>
      <c r="AS120" s="77">
        <f t="shared" si="118"/>
        <v>9.5203458609567946</v>
      </c>
      <c r="AT120" s="10"/>
      <c r="AU120">
        <f t="shared" si="119"/>
        <v>96.230427469539606</v>
      </c>
    </row>
    <row r="121" spans="7:47" x14ac:dyDescent="0.25">
      <c r="G121">
        <v>112</v>
      </c>
      <c r="H121">
        <f t="shared" si="55"/>
        <v>5.0400000000000009</v>
      </c>
      <c r="I121" s="463">
        <f t="shared" si="97"/>
        <v>0.50589485503468745</v>
      </c>
      <c r="J121" s="464">
        <f t="shared" si="56"/>
        <v>2.231889066329503</v>
      </c>
      <c r="K121" s="464">
        <f t="shared" si="76"/>
        <v>6.1559445331647522</v>
      </c>
      <c r="L121" s="464">
        <f t="shared" si="98"/>
        <v>3.9240554668352496</v>
      </c>
      <c r="M121" s="77">
        <f t="shared" si="57"/>
        <v>0</v>
      </c>
      <c r="N121" s="463">
        <f t="shared" si="99"/>
        <v>5.0810147346470185</v>
      </c>
      <c r="O121" s="463">
        <f t="shared" si="100"/>
        <v>0.31767376893261012</v>
      </c>
      <c r="P121">
        <f t="shared" si="59"/>
        <v>0.4</v>
      </c>
      <c r="Q121" s="463">
        <f t="shared" si="79"/>
        <v>0.71767376893261015</v>
      </c>
      <c r="R121" s="9">
        <f t="shared" si="101"/>
        <v>0.6442908766233606</v>
      </c>
      <c r="S121" s="9">
        <f t="shared" si="102"/>
        <v>4.1511073370009851E-4</v>
      </c>
      <c r="T121" s="9">
        <f t="shared" si="103"/>
        <v>4.1511073370009851E-4</v>
      </c>
      <c r="U121" s="463">
        <f t="shared" si="104"/>
        <v>3.6139370683643177</v>
      </c>
      <c r="V121" s="465">
        <f t="shared" si="105"/>
        <v>1.3060541134097679E-2</v>
      </c>
      <c r="W121" s="463">
        <f t="shared" si="106"/>
        <v>1.3060541134097679E-2</v>
      </c>
      <c r="X121" s="463">
        <f t="shared" si="107"/>
        <v>3.6139370683643177</v>
      </c>
      <c r="Y121" s="463">
        <f t="shared" si="108"/>
        <v>0.28733190495014893</v>
      </c>
      <c r="Z121" s="463">
        <f t="shared" si="62"/>
        <v>0.13952069266726067</v>
      </c>
      <c r="AA121" s="463">
        <f t="shared" si="63"/>
        <v>0.15997440000000002</v>
      </c>
      <c r="AB121" s="463">
        <f t="shared" si="64"/>
        <v>0</v>
      </c>
      <c r="AC121" s="463">
        <f t="shared" si="109"/>
        <v>0.61659092687730832</v>
      </c>
      <c r="AD121" s="463">
        <f t="shared" si="110"/>
        <v>3.5715780265314709</v>
      </c>
      <c r="AE121" s="463">
        <f t="shared" si="111"/>
        <v>0.12756169599602438</v>
      </c>
      <c r="AF121" s="463">
        <f t="shared" si="67"/>
        <v>0.108864</v>
      </c>
      <c r="AG121" s="463">
        <f t="shared" si="112"/>
        <v>0.24135165216916701</v>
      </c>
      <c r="AH121" s="463">
        <f t="shared" si="113"/>
        <v>0</v>
      </c>
      <c r="AI121">
        <f t="shared" si="70"/>
        <v>0</v>
      </c>
      <c r="AJ121" s="464">
        <f t="shared" si="71"/>
        <v>0.4777824</v>
      </c>
      <c r="AK121">
        <f t="shared" si="84"/>
        <v>7.2000000000000008E-2</v>
      </c>
      <c r="AL121" s="464">
        <f t="shared" si="85"/>
        <v>0.22559999999999999</v>
      </c>
      <c r="AM121" s="464">
        <f t="shared" si="86"/>
        <v>0.18424406779661015</v>
      </c>
      <c r="AN121" s="464">
        <f t="shared" si="114"/>
        <v>0.29759999999999998</v>
      </c>
      <c r="AO121" s="464">
        <f t="shared" si="115"/>
        <v>2.3644743998468836</v>
      </c>
      <c r="AP121" s="100">
        <f t="shared" si="73"/>
        <v>60.480000000000011</v>
      </c>
      <c r="AQ121" s="10">
        <f t="shared" si="116"/>
        <v>0.96237577889818993</v>
      </c>
      <c r="AR121" s="77">
        <f t="shared" si="117"/>
        <v>25.896818928846951</v>
      </c>
      <c r="AS121" s="77">
        <f t="shared" si="118"/>
        <v>9.6540660867666812</v>
      </c>
      <c r="AT121" s="10"/>
      <c r="AU121">
        <f t="shared" si="119"/>
        <v>96.237577889818994</v>
      </c>
    </row>
    <row r="122" spans="7:47" x14ac:dyDescent="0.25">
      <c r="G122">
        <v>113</v>
      </c>
      <c r="H122">
        <f t="shared" si="55"/>
        <v>5.0849999999999991</v>
      </c>
      <c r="I122" s="463">
        <f t="shared" si="97"/>
        <v>0.50594762182849895</v>
      </c>
      <c r="J122" s="464">
        <f t="shared" si="56"/>
        <v>2.2321218610080837</v>
      </c>
      <c r="K122" s="464">
        <f t="shared" si="76"/>
        <v>6.2010609305040409</v>
      </c>
      <c r="L122" s="464">
        <f t="shared" si="98"/>
        <v>3.9689390694959572</v>
      </c>
      <c r="M122" s="77">
        <f t="shared" si="57"/>
        <v>0</v>
      </c>
      <c r="N122" s="463">
        <f t="shared" si="99"/>
        <v>5.1256631115917584</v>
      </c>
      <c r="O122" s="463">
        <f t="shared" si="100"/>
        <v>0.32342637453577289</v>
      </c>
      <c r="P122">
        <f t="shared" si="59"/>
        <v>0.4</v>
      </c>
      <c r="Q122" s="463">
        <f t="shared" si="79"/>
        <v>0.72342637453577296</v>
      </c>
      <c r="R122" s="9">
        <f t="shared" si="101"/>
        <v>0.64435807865853278</v>
      </c>
      <c r="S122" s="9">
        <f t="shared" si="102"/>
        <v>4.1519733353251591E-4</v>
      </c>
      <c r="T122" s="9">
        <f t="shared" si="103"/>
        <v>4.1519733353251591E-4</v>
      </c>
      <c r="U122" s="463">
        <f t="shared" si="104"/>
        <v>3.6458839256515994</v>
      </c>
      <c r="V122" s="465">
        <f t="shared" si="105"/>
        <v>1.3292469599324716E-2</v>
      </c>
      <c r="W122" s="463">
        <f t="shared" si="106"/>
        <v>1.3292469599324716E-2</v>
      </c>
      <c r="X122" s="463">
        <f t="shared" si="107"/>
        <v>3.6458839256515994</v>
      </c>
      <c r="Y122" s="463">
        <f t="shared" si="108"/>
        <v>0.29243433118514373</v>
      </c>
      <c r="Z122" s="463">
        <f t="shared" si="62"/>
        <v>0.14083146793977058</v>
      </c>
      <c r="AA122" s="463">
        <f t="shared" si="63"/>
        <v>0.15997440000000002</v>
      </c>
      <c r="AB122" s="463">
        <f t="shared" si="64"/>
        <v>0</v>
      </c>
      <c r="AC122" s="463">
        <f t="shared" si="109"/>
        <v>0.6238913364012908</v>
      </c>
      <c r="AD122" s="463">
        <f t="shared" si="110"/>
        <v>3.6027701472905251</v>
      </c>
      <c r="AE122" s="463">
        <f t="shared" si="111"/>
        <v>0.12979952734207792</v>
      </c>
      <c r="AF122" s="463">
        <f t="shared" si="67"/>
        <v>0.10983599999999996</v>
      </c>
      <c r="AG122" s="463">
        <f t="shared" si="112"/>
        <v>0.24471780827753603</v>
      </c>
      <c r="AH122" s="463">
        <f t="shared" si="113"/>
        <v>0</v>
      </c>
      <c r="AI122">
        <f t="shared" si="70"/>
        <v>0</v>
      </c>
      <c r="AJ122" s="464">
        <f t="shared" si="71"/>
        <v>0.47776260000000004</v>
      </c>
      <c r="AK122">
        <f t="shared" si="84"/>
        <v>7.2000000000000008E-2</v>
      </c>
      <c r="AL122" s="464">
        <f t="shared" si="85"/>
        <v>0.22559999999999999</v>
      </c>
      <c r="AM122" s="464">
        <f t="shared" si="86"/>
        <v>0.18424406779661015</v>
      </c>
      <c r="AN122" s="464">
        <f t="shared" si="114"/>
        <v>0.29759999999999998</v>
      </c>
      <c r="AO122" s="464">
        <f t="shared" si="115"/>
        <v>2.3811057861474572</v>
      </c>
      <c r="AP122" s="100">
        <f t="shared" si="73"/>
        <v>61.019999999999989</v>
      </c>
      <c r="AQ122" s="10">
        <f t="shared" si="116"/>
        <v>0.96244378143531206</v>
      </c>
      <c r="AR122" s="77">
        <f t="shared" si="117"/>
        <v>26.203436128854214</v>
      </c>
      <c r="AS122" s="77">
        <f t="shared" si="118"/>
        <v>9.7887123311014417</v>
      </c>
      <c r="AT122" s="10"/>
      <c r="AU122">
        <f t="shared" si="119"/>
        <v>96.244378143531208</v>
      </c>
    </row>
    <row r="123" spans="7:47" x14ac:dyDescent="0.25">
      <c r="G123">
        <v>114</v>
      </c>
      <c r="H123">
        <f t="shared" si="55"/>
        <v>5.13</v>
      </c>
      <c r="I123" s="463">
        <f t="shared" si="97"/>
        <v>0.50600039100292249</v>
      </c>
      <c r="J123" s="464">
        <f t="shared" si="56"/>
        <v>2.2323546661893636</v>
      </c>
      <c r="K123" s="464">
        <f t="shared" si="76"/>
        <v>6.2461773330946819</v>
      </c>
      <c r="L123" s="464">
        <f t="shared" si="98"/>
        <v>4.0138226669053179</v>
      </c>
      <c r="M123" s="77">
        <f t="shared" si="57"/>
        <v>0</v>
      </c>
      <c r="N123" s="463">
        <f t="shared" si="99"/>
        <v>5.1703175865999551</v>
      </c>
      <c r="O123" s="463">
        <f t="shared" si="100"/>
        <v>0.32923533983510983</v>
      </c>
      <c r="P123">
        <f t="shared" si="59"/>
        <v>0.4</v>
      </c>
      <c r="Q123" s="463">
        <f t="shared" si="79"/>
        <v>0.72923533983510991</v>
      </c>
      <c r="R123" s="9">
        <f t="shared" si="101"/>
        <v>0.64442528372557317</v>
      </c>
      <c r="S123" s="9">
        <f t="shared" si="102"/>
        <v>4.1528394630478552E-4</v>
      </c>
      <c r="T123" s="9">
        <f t="shared" si="103"/>
        <v>4.1528394630478552E-4</v>
      </c>
      <c r="U123" s="463">
        <f t="shared" si="104"/>
        <v>3.6778384316323995</v>
      </c>
      <c r="V123" s="465">
        <f t="shared" si="105"/>
        <v>1.3526495529192269E-2</v>
      </c>
      <c r="W123" s="463">
        <f t="shared" si="106"/>
        <v>1.3526495529192269E-2</v>
      </c>
      <c r="X123" s="463">
        <f t="shared" si="107"/>
        <v>3.6778384316323995</v>
      </c>
      <c r="Y123" s="463">
        <f t="shared" si="108"/>
        <v>0.29758290164222989</v>
      </c>
      <c r="Z123" s="463">
        <f t="shared" si="62"/>
        <v>0.14214224317758861</v>
      </c>
      <c r="AA123" s="463">
        <f t="shared" si="63"/>
        <v>0.15997440000000002</v>
      </c>
      <c r="AB123" s="463">
        <f t="shared" si="64"/>
        <v>0</v>
      </c>
      <c r="AC123" s="463">
        <f t="shared" si="109"/>
        <v>0.63125864366998752</v>
      </c>
      <c r="AD123" s="463">
        <f t="shared" si="110"/>
        <v>3.6339631832356964</v>
      </c>
      <c r="AE123" s="463">
        <f t="shared" si="111"/>
        <v>0.13205688417112516</v>
      </c>
      <c r="AF123" s="463">
        <f t="shared" si="67"/>
        <v>0.11080799999999999</v>
      </c>
      <c r="AG123" s="463">
        <f t="shared" si="112"/>
        <v>0.24810716564890492</v>
      </c>
      <c r="AH123" s="463">
        <f t="shared" si="113"/>
        <v>0</v>
      </c>
      <c r="AI123">
        <f t="shared" si="70"/>
        <v>0</v>
      </c>
      <c r="AJ123" s="464">
        <f t="shared" si="71"/>
        <v>0.47774279999999997</v>
      </c>
      <c r="AK123">
        <f t="shared" si="84"/>
        <v>7.2000000000000008E-2</v>
      </c>
      <c r="AL123" s="464">
        <f t="shared" si="85"/>
        <v>0.22559999999999999</v>
      </c>
      <c r="AM123" s="464">
        <f t="shared" si="86"/>
        <v>0.18424406779661015</v>
      </c>
      <c r="AN123" s="464">
        <f t="shared" si="114"/>
        <v>0.29759999999999998</v>
      </c>
      <c r="AO123" s="464">
        <f t="shared" si="115"/>
        <v>2.3978857286294994</v>
      </c>
      <c r="AP123" s="100">
        <f t="shared" si="73"/>
        <v>61.56</v>
      </c>
      <c r="AQ123" s="10">
        <f t="shared" si="116"/>
        <v>0.9625083646635284</v>
      </c>
      <c r="AR123" s="77">
        <f t="shared" si="117"/>
        <v>26.512863034139475</v>
      </c>
      <c r="AS123" s="77">
        <f t="shared" si="118"/>
        <v>9.9242866259561975</v>
      </c>
      <c r="AT123" s="10"/>
      <c r="AU123">
        <f t="shared" si="119"/>
        <v>96.250836466352837</v>
      </c>
    </row>
    <row r="124" spans="7:47" x14ac:dyDescent="0.25">
      <c r="G124">
        <v>115</v>
      </c>
      <c r="H124">
        <f t="shared" si="55"/>
        <v>5.1749999999999998</v>
      </c>
      <c r="I124" s="463">
        <f t="shared" si="97"/>
        <v>0.50605316255811916</v>
      </c>
      <c r="J124" s="464">
        <f t="shared" si="56"/>
        <v>2.232587481874055</v>
      </c>
      <c r="K124" s="464">
        <f t="shared" si="76"/>
        <v>6.2912937409370269</v>
      </c>
      <c r="L124" s="464">
        <f t="shared" si="98"/>
        <v>4.0587062590629728</v>
      </c>
      <c r="M124" s="77">
        <f t="shared" si="57"/>
        <v>0</v>
      </c>
      <c r="N124" s="463">
        <f t="shared" si="99"/>
        <v>5.2149780030234441</v>
      </c>
      <c r="O124" s="463">
        <f t="shared" si="100"/>
        <v>0.33510081103026107</v>
      </c>
      <c r="P124">
        <f t="shared" si="59"/>
        <v>0.4</v>
      </c>
      <c r="Q124" s="463">
        <f t="shared" si="79"/>
        <v>0.73510081103026104</v>
      </c>
      <c r="R124" s="9">
        <f t="shared" si="101"/>
        <v>0.64449249182468726</v>
      </c>
      <c r="S124" s="9">
        <f t="shared" si="102"/>
        <v>4.1537057201839454E-4</v>
      </c>
      <c r="T124" s="9">
        <f t="shared" si="103"/>
        <v>4.1537057201839454E-4</v>
      </c>
      <c r="U124" s="463">
        <f t="shared" si="104"/>
        <v>3.7098004755156997</v>
      </c>
      <c r="V124" s="465">
        <f t="shared" si="105"/>
        <v>1.3762619568136512E-2</v>
      </c>
      <c r="W124" s="463">
        <f t="shared" si="106"/>
        <v>1.3762619568136512E-2</v>
      </c>
      <c r="X124" s="463">
        <f t="shared" si="107"/>
        <v>3.7098004755156997</v>
      </c>
      <c r="Y124" s="463">
        <f t="shared" si="108"/>
        <v>0.30277763049900325</v>
      </c>
      <c r="Z124" s="463">
        <f t="shared" si="62"/>
        <v>0.14345301838071228</v>
      </c>
      <c r="AA124" s="463">
        <f t="shared" si="63"/>
        <v>0.15997440000000002</v>
      </c>
      <c r="AB124" s="463">
        <f t="shared" si="64"/>
        <v>0</v>
      </c>
      <c r="AC124" s="463">
        <f t="shared" si="109"/>
        <v>0.63869322864012945</v>
      </c>
      <c r="AD124" s="463">
        <f t="shared" si="110"/>
        <v>3.6651570230867163</v>
      </c>
      <c r="AE124" s="463">
        <f t="shared" si="111"/>
        <v>0.13433376003881881</v>
      </c>
      <c r="AF124" s="463">
        <f t="shared" si="67"/>
        <v>0.11177999999999999</v>
      </c>
      <c r="AG124" s="463">
        <f t="shared" si="112"/>
        <v>0.25151977558742339</v>
      </c>
      <c r="AH124" s="463">
        <f t="shared" si="113"/>
        <v>0</v>
      </c>
      <c r="AI124">
        <f t="shared" si="70"/>
        <v>0</v>
      </c>
      <c r="AJ124" s="464">
        <f t="shared" si="71"/>
        <v>0.47772300000000001</v>
      </c>
      <c r="AK124">
        <f t="shared" si="84"/>
        <v>7.2000000000000008E-2</v>
      </c>
      <c r="AL124" s="464">
        <f t="shared" si="85"/>
        <v>0.22559999999999999</v>
      </c>
      <c r="AM124" s="464">
        <f t="shared" si="86"/>
        <v>0.18424406779661015</v>
      </c>
      <c r="AN124" s="464">
        <f t="shared" si="114"/>
        <v>0.29759999999999998</v>
      </c>
      <c r="AO124" s="464">
        <f t="shared" si="115"/>
        <v>2.4148148053979686</v>
      </c>
      <c r="AP124" s="100">
        <f t="shared" si="73"/>
        <v>62.099999999999994</v>
      </c>
      <c r="AQ124" s="10">
        <f t="shared" si="116"/>
        <v>0.96256960803992075</v>
      </c>
      <c r="AR124" s="77">
        <f t="shared" si="117"/>
        <v>26.825115602885436</v>
      </c>
      <c r="AS124" s="77">
        <f t="shared" si="118"/>
        <v>10.060791023496936</v>
      </c>
      <c r="AT124" s="10"/>
      <c r="AU124">
        <f t="shared" si="119"/>
        <v>96.256960803992072</v>
      </c>
    </row>
    <row r="125" spans="7:47" x14ac:dyDescent="0.25">
      <c r="G125">
        <v>116</v>
      </c>
      <c r="H125">
        <f t="shared" si="55"/>
        <v>5.22</v>
      </c>
      <c r="I125" s="463">
        <f t="shared" si="97"/>
        <v>0.50610593649424995</v>
      </c>
      <c r="J125" s="464">
        <f t="shared" si="56"/>
        <v>2.2328203080628675</v>
      </c>
      <c r="K125" s="464">
        <f t="shared" si="76"/>
        <v>6.3364101540314337</v>
      </c>
      <c r="L125" s="464">
        <f t="shared" si="98"/>
        <v>4.1035898459685658</v>
      </c>
      <c r="M125" s="77">
        <f t="shared" si="57"/>
        <v>0</v>
      </c>
      <c r="N125" s="463">
        <f t="shared" si="99"/>
        <v>5.2596442095140645</v>
      </c>
      <c r="O125" s="463">
        <f t="shared" si="100"/>
        <v>0.3410229359413261</v>
      </c>
      <c r="P125">
        <f t="shared" si="59"/>
        <v>0.4</v>
      </c>
      <c r="Q125" s="463">
        <f t="shared" si="79"/>
        <v>0.74102293594132607</v>
      </c>
      <c r="R125" s="9">
        <f t="shared" si="101"/>
        <v>0.64455970295607989</v>
      </c>
      <c r="S125" s="9">
        <f t="shared" si="102"/>
        <v>4.1545721067482995E-4</v>
      </c>
      <c r="T125" s="9">
        <f t="shared" si="103"/>
        <v>4.1545721067482995E-4</v>
      </c>
      <c r="U125" s="463">
        <f t="shared" si="104"/>
        <v>3.741769950257738</v>
      </c>
      <c r="V125" s="465">
        <f t="shared" si="105"/>
        <v>1.4000842360651796E-2</v>
      </c>
      <c r="W125" s="463">
        <f t="shared" si="106"/>
        <v>1.4000842360651796E-2</v>
      </c>
      <c r="X125" s="463">
        <f t="shared" si="107"/>
        <v>3.741769950257738</v>
      </c>
      <c r="Y125" s="463">
        <f t="shared" si="108"/>
        <v>0.30801853193433948</v>
      </c>
      <c r="Z125" s="463">
        <f t="shared" si="62"/>
        <v>0.14476379354913926</v>
      </c>
      <c r="AA125" s="463">
        <f t="shared" si="63"/>
        <v>0.15997440000000002</v>
      </c>
      <c r="AB125" s="463">
        <f t="shared" si="64"/>
        <v>0</v>
      </c>
      <c r="AC125" s="463">
        <f t="shared" si="109"/>
        <v>0.64619547603794436</v>
      </c>
      <c r="AD125" s="463">
        <f t="shared" si="110"/>
        <v>3.6963515593112937</v>
      </c>
      <c r="AE125" s="463">
        <f t="shared" si="111"/>
        <v>0.13663014850023034</v>
      </c>
      <c r="AF125" s="463">
        <f t="shared" si="67"/>
        <v>0.11275199999999998</v>
      </c>
      <c r="AG125" s="463">
        <f t="shared" si="112"/>
        <v>0.25495568990383671</v>
      </c>
      <c r="AH125" s="463">
        <f t="shared" si="113"/>
        <v>0</v>
      </c>
      <c r="AI125">
        <f t="shared" si="70"/>
        <v>0</v>
      </c>
      <c r="AJ125" s="464">
        <f t="shared" si="71"/>
        <v>0.47770319999999999</v>
      </c>
      <c r="AK125">
        <f t="shared" si="84"/>
        <v>7.2000000000000008E-2</v>
      </c>
      <c r="AL125" s="464">
        <f t="shared" si="85"/>
        <v>0.22559999999999999</v>
      </c>
      <c r="AM125" s="464">
        <f t="shared" si="86"/>
        <v>0.18424406779661015</v>
      </c>
      <c r="AN125" s="464">
        <f t="shared" si="114"/>
        <v>0.29759999999999998</v>
      </c>
      <c r="AO125" s="464">
        <f t="shared" si="115"/>
        <v>2.4318936014544339</v>
      </c>
      <c r="AP125" s="100">
        <f t="shared" si="73"/>
        <v>62.64</v>
      </c>
      <c r="AQ125" s="10">
        <f t="shared" si="116"/>
        <v>0.9626275882434121</v>
      </c>
      <c r="AR125" s="77">
        <f t="shared" si="117"/>
        <v>27.140209993593665</v>
      </c>
      <c r="AS125" s="77">
        <f t="shared" si="118"/>
        <v>10.198227596153469</v>
      </c>
      <c r="AT125" s="10"/>
      <c r="AU125">
        <f t="shared" si="119"/>
        <v>96.262758824341205</v>
      </c>
    </row>
    <row r="126" spans="7:47" x14ac:dyDescent="0.25">
      <c r="G126">
        <v>117</v>
      </c>
      <c r="H126">
        <f t="shared" si="55"/>
        <v>5.2649999999999997</v>
      </c>
      <c r="I126" s="463">
        <f t="shared" si="97"/>
        <v>0.50615871281147617</v>
      </c>
      <c r="J126" s="464">
        <f t="shared" si="56"/>
        <v>2.2330531447565125</v>
      </c>
      <c r="K126" s="464">
        <f t="shared" si="76"/>
        <v>6.3815265723782559</v>
      </c>
      <c r="L126" s="464">
        <f t="shared" si="98"/>
        <v>4.1484734276217434</v>
      </c>
      <c r="M126" s="77">
        <f t="shared" si="57"/>
        <v>0</v>
      </c>
      <c r="N126" s="463">
        <f t="shared" si="99"/>
        <v>5.3043160598022041</v>
      </c>
      <c r="O126" s="463">
        <f t="shared" si="100"/>
        <v>0.34700186401847749</v>
      </c>
      <c r="P126">
        <f t="shared" si="59"/>
        <v>0.4</v>
      </c>
      <c r="Q126" s="463">
        <f t="shared" si="79"/>
        <v>0.74700186401847746</v>
      </c>
      <c r="R126" s="9">
        <f t="shared" si="101"/>
        <v>0.64462691711995646</v>
      </c>
      <c r="S126" s="9">
        <f t="shared" si="102"/>
        <v>4.1554386227557922E-4</v>
      </c>
      <c r="T126" s="9">
        <f t="shared" si="103"/>
        <v>4.1554386227557922E-4</v>
      </c>
      <c r="U126" s="463">
        <f t="shared" si="104"/>
        <v>3.773746752405442</v>
      </c>
      <c r="V126" s="465">
        <f t="shared" si="105"/>
        <v>1.424116455129062E-2</v>
      </c>
      <c r="W126" s="463">
        <f t="shared" si="106"/>
        <v>1.424116455129062E-2</v>
      </c>
      <c r="X126" s="463">
        <f t="shared" si="107"/>
        <v>3.773746752405442</v>
      </c>
      <c r="Y126" s="463">
        <f t="shared" si="108"/>
        <v>0.31330562012839364</v>
      </c>
      <c r="Z126" s="463">
        <f t="shared" si="62"/>
        <v>0.14607456868286725</v>
      </c>
      <c r="AA126" s="463">
        <f t="shared" si="63"/>
        <v>0.15997440000000002</v>
      </c>
      <c r="AB126" s="463">
        <f t="shared" si="64"/>
        <v>0</v>
      </c>
      <c r="AC126" s="463">
        <f t="shared" si="109"/>
        <v>0.6537657754143249</v>
      </c>
      <c r="AD126" s="463">
        <f t="shared" si="110"/>
        <v>3.7275466879685033</v>
      </c>
      <c r="AE126" s="463">
        <f t="shared" si="111"/>
        <v>0.13894604310984959</v>
      </c>
      <c r="AF126" s="463">
        <f t="shared" si="67"/>
        <v>0.11372399999999998</v>
      </c>
      <c r="AG126" s="463">
        <f t="shared" si="112"/>
        <v>0.25841496091783678</v>
      </c>
      <c r="AH126" s="463">
        <f t="shared" si="113"/>
        <v>0</v>
      </c>
      <c r="AI126">
        <f t="shared" si="70"/>
        <v>0</v>
      </c>
      <c r="AJ126" s="464">
        <f t="shared" si="71"/>
        <v>0.47768340000000004</v>
      </c>
      <c r="AK126">
        <f t="shared" si="84"/>
        <v>7.2000000000000008E-2</v>
      </c>
      <c r="AL126" s="464">
        <f t="shared" si="85"/>
        <v>0.22559999999999999</v>
      </c>
      <c r="AM126" s="464">
        <f t="shared" si="86"/>
        <v>0.18424406779661015</v>
      </c>
      <c r="AN126" s="464">
        <f t="shared" si="114"/>
        <v>0.29759999999999998</v>
      </c>
      <c r="AO126" s="464">
        <f t="shared" si="115"/>
        <v>2.4491227087642056</v>
      </c>
      <c r="AP126" s="100">
        <f t="shared" si="73"/>
        <v>63.179999999999993</v>
      </c>
      <c r="AQ126" s="10">
        <f t="shared" si="116"/>
        <v>0.96268237929017531</v>
      </c>
      <c r="AR126" s="77">
        <f t="shared" si="117"/>
        <v>27.458162567401647</v>
      </c>
      <c r="AS126" s="77">
        <f t="shared" si="118"/>
        <v>10.336598436713471</v>
      </c>
      <c r="AT126" s="10"/>
      <c r="AU126">
        <f t="shared" si="119"/>
        <v>96.268237929017531</v>
      </c>
    </row>
    <row r="127" spans="7:47" x14ac:dyDescent="0.25">
      <c r="G127">
        <v>118</v>
      </c>
      <c r="H127">
        <f t="shared" si="55"/>
        <v>5.31</v>
      </c>
      <c r="I127" s="463">
        <f t="shared" si="97"/>
        <v>0.50621149150995892</v>
      </c>
      <c r="J127" s="464">
        <f t="shared" si="56"/>
        <v>2.2332859919557011</v>
      </c>
      <c r="K127" s="464">
        <f t="shared" si="76"/>
        <v>6.4266429959778506</v>
      </c>
      <c r="L127" s="464">
        <f t="shared" si="98"/>
        <v>4.1933570040221486</v>
      </c>
      <c r="M127" s="77">
        <f t="shared" si="57"/>
        <v>0</v>
      </c>
      <c r="N127" s="463">
        <f t="shared" si="99"/>
        <v>5.348993412486327</v>
      </c>
      <c r="O127" s="463">
        <f t="shared" si="100"/>
        <v>0.35303774635170043</v>
      </c>
      <c r="P127">
        <f t="shared" si="59"/>
        <v>0.4</v>
      </c>
      <c r="Q127" s="463">
        <f t="shared" si="79"/>
        <v>0.7530377463517004</v>
      </c>
      <c r="R127" s="9">
        <f t="shared" si="101"/>
        <v>0.64469413431652223</v>
      </c>
      <c r="S127" s="9">
        <f t="shared" si="102"/>
        <v>4.1563052682212998E-4</v>
      </c>
      <c r="T127" s="9">
        <f t="shared" si="103"/>
        <v>4.1563052682212998E-4</v>
      </c>
      <c r="U127" s="463">
        <f t="shared" si="104"/>
        <v>3.8057307819476209</v>
      </c>
      <c r="V127" s="465">
        <f t="shared" si="105"/>
        <v>1.4483586784663651E-2</v>
      </c>
      <c r="W127" s="463">
        <f t="shared" si="106"/>
        <v>1.4483586784663651E-2</v>
      </c>
      <c r="X127" s="463">
        <f t="shared" si="107"/>
        <v>3.8057307819476209</v>
      </c>
      <c r="Y127" s="463">
        <f t="shared" si="108"/>
        <v>0.3186389092626003</v>
      </c>
      <c r="Z127" s="463">
        <f t="shared" si="62"/>
        <v>0.14738534378189386</v>
      </c>
      <c r="AA127" s="463">
        <f t="shared" si="63"/>
        <v>0.15997440000000002</v>
      </c>
      <c r="AB127" s="463">
        <f t="shared" si="64"/>
        <v>0</v>
      </c>
      <c r="AC127" s="463">
        <f t="shared" si="109"/>
        <v>0.66140452120091886</v>
      </c>
      <c r="AD127" s="463">
        <f t="shared" si="110"/>
        <v>3.7587423085599352</v>
      </c>
      <c r="AE127" s="463">
        <f t="shared" si="111"/>
        <v>0.14128143742158472</v>
      </c>
      <c r="AF127" s="463">
        <f t="shared" si="67"/>
        <v>0.11469599999999998</v>
      </c>
      <c r="AG127" s="463">
        <f t="shared" si="112"/>
        <v>0.26189764146044131</v>
      </c>
      <c r="AH127" s="463">
        <f t="shared" si="113"/>
        <v>0</v>
      </c>
      <c r="AI127">
        <f t="shared" si="70"/>
        <v>0</v>
      </c>
      <c r="AJ127" s="464">
        <f t="shared" si="71"/>
        <v>0.47766360000000002</v>
      </c>
      <c r="AK127">
        <f t="shared" si="84"/>
        <v>7.2000000000000008E-2</v>
      </c>
      <c r="AL127" s="464">
        <f t="shared" si="85"/>
        <v>0.22559999999999999</v>
      </c>
      <c r="AM127" s="464">
        <f t="shared" si="86"/>
        <v>0.18424406779661015</v>
      </c>
      <c r="AN127" s="464">
        <f t="shared" si="114"/>
        <v>0.29759999999999998</v>
      </c>
      <c r="AO127" s="464">
        <f t="shared" si="115"/>
        <v>2.4665027263245465</v>
      </c>
      <c r="AP127" s="100">
        <f t="shared" si="73"/>
        <v>63.72</v>
      </c>
      <c r="AQ127" s="10">
        <f t="shared" si="116"/>
        <v>0.96273405264328105</v>
      </c>
      <c r="AR127" s="77">
        <f t="shared" si="117"/>
        <v>27.778989890438591</v>
      </c>
      <c r="AS127" s="77">
        <f t="shared" si="118"/>
        <v>10.475905658417652</v>
      </c>
      <c r="AT127" s="10"/>
      <c r="AU127">
        <f t="shared" si="119"/>
        <v>96.273405264328105</v>
      </c>
    </row>
    <row r="128" spans="7:47" x14ac:dyDescent="0.25">
      <c r="G128">
        <v>119</v>
      </c>
      <c r="H128">
        <f t="shared" si="55"/>
        <v>5.3549999999999995</v>
      </c>
      <c r="I128" s="463">
        <f t="shared" si="97"/>
        <v>0.50626427258985929</v>
      </c>
      <c r="J128" s="464">
        <f t="shared" si="56"/>
        <v>2.2335188496611438</v>
      </c>
      <c r="K128" s="464">
        <f t="shared" si="76"/>
        <v>6.4717594248305712</v>
      </c>
      <c r="L128" s="464">
        <f t="shared" si="98"/>
        <v>4.2382405751694279</v>
      </c>
      <c r="M128" s="77">
        <f t="shared" si="57"/>
        <v>0</v>
      </c>
      <c r="N128" s="463">
        <f t="shared" si="99"/>
        <v>5.3936761308328451</v>
      </c>
      <c r="O128" s="463">
        <f t="shared" si="100"/>
        <v>0.35913073568065695</v>
      </c>
      <c r="P128">
        <f t="shared" si="59"/>
        <v>0.4</v>
      </c>
      <c r="Q128" s="463">
        <f t="shared" si="79"/>
        <v>0.75913073568065692</v>
      </c>
      <c r="R128" s="9">
        <f t="shared" si="101"/>
        <v>0.64476135454598238</v>
      </c>
      <c r="S128" s="9">
        <f t="shared" si="102"/>
        <v>4.1571720431596998E-4</v>
      </c>
      <c r="T128" s="9">
        <f t="shared" si="103"/>
        <v>4.1571720431596998E-4</v>
      </c>
      <c r="U128" s="463">
        <f t="shared" si="104"/>
        <v>3.8377219421734732</v>
      </c>
      <c r="V128" s="465">
        <f t="shared" si="105"/>
        <v>1.4728109705439736E-2</v>
      </c>
      <c r="W128" s="463">
        <f t="shared" si="106"/>
        <v>1.4728109705439736E-2</v>
      </c>
      <c r="X128" s="463">
        <f t="shared" si="107"/>
        <v>3.8377219421734732</v>
      </c>
      <c r="Y128" s="463">
        <f t="shared" si="108"/>
        <v>0.32401841351967414</v>
      </c>
      <c r="Z128" s="463">
        <f t="shared" si="62"/>
        <v>0.14869611884621672</v>
      </c>
      <c r="AA128" s="463">
        <f t="shared" si="63"/>
        <v>0.15997440000000002</v>
      </c>
      <c r="AB128" s="463">
        <f t="shared" si="64"/>
        <v>0</v>
      </c>
      <c r="AC128" s="463">
        <f t="shared" si="109"/>
        <v>0.66911211276715343</v>
      </c>
      <c r="AD128" s="463">
        <f t="shared" si="110"/>
        <v>3.789938323888165</v>
      </c>
      <c r="AE128" s="463">
        <f t="shared" si="111"/>
        <v>0.14363632498876233</v>
      </c>
      <c r="AF128" s="463">
        <f t="shared" si="67"/>
        <v>0.11566799999999998</v>
      </c>
      <c r="AG128" s="463">
        <f t="shared" si="112"/>
        <v>0.26540378487640304</v>
      </c>
      <c r="AH128" s="463">
        <f t="shared" si="113"/>
        <v>0</v>
      </c>
      <c r="AI128">
        <f t="shared" si="70"/>
        <v>0</v>
      </c>
      <c r="AJ128" s="464">
        <f t="shared" si="71"/>
        <v>0.47764380000000006</v>
      </c>
      <c r="AK128">
        <f t="shared" si="84"/>
        <v>7.2000000000000008E-2</v>
      </c>
      <c r="AL128" s="464">
        <f t="shared" si="85"/>
        <v>0.22559999999999999</v>
      </c>
      <c r="AM128" s="464">
        <f t="shared" si="86"/>
        <v>0.18424406779661015</v>
      </c>
      <c r="AN128" s="464">
        <f t="shared" si="114"/>
        <v>0.29759999999999998</v>
      </c>
      <c r="AO128" s="464">
        <f t="shared" si="115"/>
        <v>2.4840342602339693</v>
      </c>
      <c r="AP128" s="100">
        <f t="shared" si="73"/>
        <v>64.259999999999991</v>
      </c>
      <c r="AQ128" s="10">
        <f t="shared" si="116"/>
        <v>0.96278267731691558</v>
      </c>
      <c r="AR128" s="77">
        <f t="shared" si="117"/>
        <v>28.102708736220443</v>
      </c>
      <c r="AS128" s="77">
        <f t="shared" si="118"/>
        <v>10.616151395056121</v>
      </c>
      <c r="AT128" s="10"/>
      <c r="AU128">
        <f t="shared" si="119"/>
        <v>96.278267731691557</v>
      </c>
    </row>
    <row r="129" spans="7:47" x14ac:dyDescent="0.25">
      <c r="G129">
        <v>120</v>
      </c>
      <c r="H129">
        <f t="shared" si="55"/>
        <v>5.3999999999999995</v>
      </c>
      <c r="I129" s="463">
        <f t="shared" si="97"/>
        <v>0.5063170560513387</v>
      </c>
      <c r="J129" s="464">
        <f t="shared" si="56"/>
        <v>2.2337517178735529</v>
      </c>
      <c r="K129" s="464">
        <f t="shared" si="76"/>
        <v>6.5168758589367757</v>
      </c>
      <c r="L129" s="464">
        <f t="shared" si="98"/>
        <v>4.2831241410632233</v>
      </c>
      <c r="M129" s="77">
        <f t="shared" si="57"/>
        <v>0</v>
      </c>
      <c r="N129" s="463">
        <f t="shared" si="99"/>
        <v>5.4383640825857347</v>
      </c>
      <c r="O129" s="463">
        <f t="shared" si="100"/>
        <v>0.3652809864046761</v>
      </c>
      <c r="P129">
        <f t="shared" si="59"/>
        <v>0.4</v>
      </c>
      <c r="Q129" s="463">
        <f t="shared" si="79"/>
        <v>0.76528098640467612</v>
      </c>
      <c r="R129" s="9">
        <f t="shared" si="101"/>
        <v>0.64482857780854241</v>
      </c>
      <c r="S129" s="9">
        <f t="shared" si="102"/>
        <v>4.1580389475858744E-4</v>
      </c>
      <c r="T129" s="9">
        <f t="shared" si="103"/>
        <v>4.1580389475858744E-4</v>
      </c>
      <c r="U129" s="463">
        <f t="shared" si="104"/>
        <v>3.8697201395379852</v>
      </c>
      <c r="V129" s="465">
        <f t="shared" si="105"/>
        <v>1.4974733958345884E-2</v>
      </c>
      <c r="W129" s="463">
        <f t="shared" si="106"/>
        <v>1.4974733958345884E-2</v>
      </c>
      <c r="X129" s="463">
        <f t="shared" si="107"/>
        <v>3.8697201395379852</v>
      </c>
      <c r="Y129" s="463">
        <f t="shared" si="108"/>
        <v>0.32944414708360942</v>
      </c>
      <c r="Z129" s="463">
        <f t="shared" si="62"/>
        <v>0.15000689387583357</v>
      </c>
      <c r="AA129" s="463">
        <f t="shared" si="63"/>
        <v>0.15997440000000002</v>
      </c>
      <c r="AB129" s="463">
        <f t="shared" si="64"/>
        <v>0</v>
      </c>
      <c r="AC129" s="463">
        <f t="shared" si="109"/>
        <v>0.67688895447821273</v>
      </c>
      <c r="AD129" s="463">
        <f t="shared" si="110"/>
        <v>3.8211346399221133</v>
      </c>
      <c r="AE129" s="463">
        <f t="shared" si="111"/>
        <v>0.146010699364127</v>
      </c>
      <c r="AF129" s="463">
        <f t="shared" si="67"/>
        <v>0.11663999999999998</v>
      </c>
      <c r="AG129" s="463">
        <f t="shared" si="112"/>
        <v>0.26893344502664612</v>
      </c>
      <c r="AH129" s="463">
        <f t="shared" si="113"/>
        <v>0</v>
      </c>
      <c r="AI129">
        <f t="shared" si="70"/>
        <v>0</v>
      </c>
      <c r="AJ129" s="464">
        <f t="shared" si="71"/>
        <v>0.47762399999999999</v>
      </c>
      <c r="AK129">
        <f t="shared" si="84"/>
        <v>7.2000000000000008E-2</v>
      </c>
      <c r="AL129" s="464">
        <f t="shared" si="85"/>
        <v>0.22559999999999999</v>
      </c>
      <c r="AM129" s="464">
        <f t="shared" si="86"/>
        <v>0.18424406779661015</v>
      </c>
      <c r="AN129" s="464">
        <f t="shared" si="114"/>
        <v>0.29759999999999998</v>
      </c>
      <c r="AO129" s="464">
        <f t="shared" si="115"/>
        <v>2.5017179237626399</v>
      </c>
      <c r="AP129" s="100">
        <f t="shared" si="73"/>
        <v>64.8</v>
      </c>
      <c r="AQ129" s="10">
        <f t="shared" si="116"/>
        <v>0.96282831997547946</v>
      </c>
      <c r="AR129" s="77">
        <f t="shared" si="117"/>
        <v>28.429336088084934</v>
      </c>
      <c r="AS129" s="77">
        <f t="shared" si="118"/>
        <v>10.757337801065844</v>
      </c>
      <c r="AT129" s="10"/>
      <c r="AU129">
        <f t="shared" si="119"/>
        <v>96.282831997547945</v>
      </c>
    </row>
    <row r="130" spans="7:47" x14ac:dyDescent="0.25">
      <c r="G130">
        <v>121</v>
      </c>
      <c r="H130">
        <f t="shared" si="55"/>
        <v>5.4450000000000003</v>
      </c>
      <c r="I130" s="463">
        <f t="shared" si="97"/>
        <v>0.50636984189455791</v>
      </c>
      <c r="J130" s="464">
        <f t="shared" si="56"/>
        <v>2.2339845965936376</v>
      </c>
      <c r="K130" s="464">
        <f t="shared" si="76"/>
        <v>6.5619922982968193</v>
      </c>
      <c r="L130" s="464">
        <f t="shared" si="98"/>
        <v>4.3280077017031813</v>
      </c>
      <c r="M130" s="77">
        <f t="shared" si="57"/>
        <v>0</v>
      </c>
      <c r="N130" s="463">
        <f t="shared" si="99"/>
        <v>5.4830571397853838</v>
      </c>
      <c r="O130" s="463">
        <f t="shared" si="100"/>
        <v>0.37148865459287467</v>
      </c>
      <c r="P130">
        <f t="shared" si="59"/>
        <v>0.4</v>
      </c>
      <c r="Q130" s="463">
        <f t="shared" si="79"/>
        <v>0.77148865459287475</v>
      </c>
      <c r="R130" s="9">
        <f t="shared" si="101"/>
        <v>0.64489580410440717</v>
      </c>
      <c r="S130" s="9">
        <f t="shared" si="102"/>
        <v>4.158905981514699E-4</v>
      </c>
      <c r="T130" s="9">
        <f t="shared" si="103"/>
        <v>4.158905981514699E-4</v>
      </c>
      <c r="U130" s="463">
        <f t="shared" si="104"/>
        <v>3.9017252835338492</v>
      </c>
      <c r="V130" s="465">
        <f t="shared" si="105"/>
        <v>1.5223460188167297E-2</v>
      </c>
      <c r="W130" s="463">
        <f t="shared" si="106"/>
        <v>1.5223460188167297E-2</v>
      </c>
      <c r="X130" s="463">
        <f t="shared" si="107"/>
        <v>3.9017252835338492</v>
      </c>
      <c r="Y130" s="463">
        <f t="shared" si="108"/>
        <v>0.33491612413968047</v>
      </c>
      <c r="Z130" s="463">
        <f t="shared" si="62"/>
        <v>0.15131766887074197</v>
      </c>
      <c r="AA130" s="463">
        <f t="shared" si="63"/>
        <v>0.15997440000000002</v>
      </c>
      <c r="AB130" s="463">
        <f t="shared" si="64"/>
        <v>0</v>
      </c>
      <c r="AC130" s="463">
        <f t="shared" si="109"/>
        <v>0.6847354557539822</v>
      </c>
      <c r="AD130" s="463">
        <f t="shared" si="110"/>
        <v>3.852331165668935</v>
      </c>
      <c r="AE130" s="463">
        <f t="shared" si="111"/>
        <v>0.14840455409984174</v>
      </c>
      <c r="AF130" s="463">
        <f t="shared" si="67"/>
        <v>0.11761199999999999</v>
      </c>
      <c r="AG130" s="463">
        <f t="shared" si="112"/>
        <v>0.27248667629073359</v>
      </c>
      <c r="AH130" s="463">
        <f t="shared" si="113"/>
        <v>0</v>
      </c>
      <c r="AI130">
        <f t="shared" si="70"/>
        <v>0</v>
      </c>
      <c r="AJ130" s="464">
        <f t="shared" si="71"/>
        <v>0.47760420000000003</v>
      </c>
      <c r="AK130">
        <f t="shared" si="84"/>
        <v>7.2000000000000008E-2</v>
      </c>
      <c r="AL130" s="464">
        <f t="shared" si="85"/>
        <v>0.22559999999999999</v>
      </c>
      <c r="AM130" s="464">
        <f t="shared" si="86"/>
        <v>0.18424406779661015</v>
      </c>
      <c r="AN130" s="464">
        <f t="shared" si="114"/>
        <v>0.29759999999999998</v>
      </c>
      <c r="AO130" s="464">
        <f t="shared" si="115"/>
        <v>2.5195543374239096</v>
      </c>
      <c r="AP130" s="100">
        <f t="shared" si="73"/>
        <v>65.34</v>
      </c>
      <c r="AQ130" s="10">
        <f t="shared" si="116"/>
        <v>0.96287104502785692</v>
      </c>
      <c r="AR130" s="77">
        <f t="shared" si="117"/>
        <v>28.758889141667254</v>
      </c>
      <c r="AS130" s="77">
        <f t="shared" si="118"/>
        <v>10.899467051629344</v>
      </c>
      <c r="AT130" s="10"/>
      <c r="AU130">
        <f t="shared" si="119"/>
        <v>96.287104502785695</v>
      </c>
    </row>
    <row r="131" spans="7:47" x14ac:dyDescent="0.25">
      <c r="G131">
        <v>122</v>
      </c>
      <c r="H131">
        <f t="shared" si="55"/>
        <v>5.49</v>
      </c>
      <c r="I131" s="463">
        <f t="shared" si="97"/>
        <v>0.50642263011967847</v>
      </c>
      <c r="J131" s="464">
        <f t="shared" si="56"/>
        <v>2.2342174858221111</v>
      </c>
      <c r="K131" s="464">
        <f t="shared" si="76"/>
        <v>6.6071087429110555</v>
      </c>
      <c r="L131" s="464">
        <f t="shared" si="98"/>
        <v>4.3728912570889449</v>
      </c>
      <c r="M131" s="77">
        <f t="shared" si="57"/>
        <v>0</v>
      </c>
      <c r="N131" s="463">
        <f t="shared" si="99"/>
        <v>5.5277551785961103</v>
      </c>
      <c r="O131" s="463">
        <f t="shared" si="100"/>
        <v>0.3777538979944039</v>
      </c>
      <c r="P131">
        <f t="shared" si="59"/>
        <v>0.4</v>
      </c>
      <c r="Q131" s="463">
        <f t="shared" si="79"/>
        <v>0.77775389799440386</v>
      </c>
      <c r="R131" s="9">
        <f t="shared" si="101"/>
        <v>0.64496303343378236</v>
      </c>
      <c r="S131" s="9">
        <f t="shared" si="102"/>
        <v>4.1597731449610629E-4</v>
      </c>
      <c r="T131" s="9">
        <f t="shared" si="103"/>
        <v>4.1597731449610629E-4</v>
      </c>
      <c r="U131" s="463">
        <f t="shared" si="104"/>
        <v>3.9337372865695244</v>
      </c>
      <c r="V131" s="465">
        <f t="shared" si="105"/>
        <v>1.5474289039747366E-2</v>
      </c>
      <c r="W131" s="463">
        <f t="shared" si="106"/>
        <v>1.5474289039747366E-2</v>
      </c>
      <c r="X131" s="463">
        <f t="shared" si="107"/>
        <v>3.9337372865695244</v>
      </c>
      <c r="Y131" s="463">
        <f t="shared" si="108"/>
        <v>0.34043435887444201</v>
      </c>
      <c r="Z131" s="463">
        <f t="shared" si="62"/>
        <v>0.15262844383093963</v>
      </c>
      <c r="AA131" s="463">
        <f t="shared" si="63"/>
        <v>0.15997440000000002</v>
      </c>
      <c r="AB131" s="463">
        <f t="shared" si="64"/>
        <v>0</v>
      </c>
      <c r="AC131" s="463">
        <f t="shared" si="109"/>
        <v>0.69265203112898144</v>
      </c>
      <c r="AD131" s="463">
        <f t="shared" si="110"/>
        <v>3.8835278130520385</v>
      </c>
      <c r="AE131" s="463">
        <f t="shared" si="111"/>
        <v>0.1508178827474875</v>
      </c>
      <c r="AF131" s="463">
        <f t="shared" si="67"/>
        <v>0.11858399999999999</v>
      </c>
      <c r="AG131" s="463">
        <f t="shared" si="112"/>
        <v>0.27606353356936286</v>
      </c>
      <c r="AH131" s="463">
        <f t="shared" si="113"/>
        <v>0</v>
      </c>
      <c r="AI131">
        <f t="shared" si="70"/>
        <v>0</v>
      </c>
      <c r="AJ131" s="464">
        <f t="shared" si="71"/>
        <v>0.47758440000000002</v>
      </c>
      <c r="AK131">
        <f t="shared" si="84"/>
        <v>7.2000000000000008E-2</v>
      </c>
      <c r="AL131" s="464">
        <f t="shared" si="85"/>
        <v>0.22559999999999999</v>
      </c>
      <c r="AM131" s="464">
        <f t="shared" si="86"/>
        <v>0.18424406779661015</v>
      </c>
      <c r="AN131" s="464">
        <f t="shared" si="114"/>
        <v>0.29759999999999998</v>
      </c>
      <c r="AO131" s="464">
        <f t="shared" si="115"/>
        <v>2.5375441290469913</v>
      </c>
      <c r="AP131" s="100">
        <f t="shared" si="73"/>
        <v>65.88</v>
      </c>
      <c r="AQ131" s="10">
        <f t="shared" si="116"/>
        <v>0.96291091471712642</v>
      </c>
      <c r="AR131" s="77">
        <f t="shared" si="117"/>
        <v>29.09138530741722</v>
      </c>
      <c r="AS131" s="77">
        <f t="shared" si="118"/>
        <v>11.042541342774514</v>
      </c>
      <c r="AT131" s="10"/>
      <c r="AU131">
        <f t="shared" si="119"/>
        <v>96.291091471712647</v>
      </c>
    </row>
    <row r="132" spans="7:47" x14ac:dyDescent="0.25">
      <c r="G132">
        <v>123</v>
      </c>
      <c r="H132">
        <f t="shared" si="55"/>
        <v>5.5350000000000001</v>
      </c>
      <c r="I132" s="463">
        <f t="shared" si="97"/>
        <v>0.50647542072686169</v>
      </c>
      <c r="J132" s="464">
        <f t="shared" si="56"/>
        <v>2.2344503855596836</v>
      </c>
      <c r="K132" s="464">
        <f t="shared" si="76"/>
        <v>6.6522251927798415</v>
      </c>
      <c r="L132" s="464">
        <f t="shared" si="98"/>
        <v>4.4177748072201588</v>
      </c>
      <c r="M132" s="77">
        <f t="shared" si="57"/>
        <v>0</v>
      </c>
      <c r="N132" s="463">
        <f t="shared" si="99"/>
        <v>5.5724580791419136</v>
      </c>
      <c r="O132" s="463">
        <f t="shared" si="100"/>
        <v>0.38407687604882934</v>
      </c>
      <c r="P132">
        <f t="shared" si="59"/>
        <v>0.4</v>
      </c>
      <c r="Q132" s="463">
        <f t="shared" si="79"/>
        <v>0.78407687604882936</v>
      </c>
      <c r="R132" s="9">
        <f t="shared" si="101"/>
        <v>0.64503026579687328</v>
      </c>
      <c r="S132" s="9">
        <f t="shared" si="102"/>
        <v>4.1606404379398499E-4</v>
      </c>
      <c r="T132" s="9">
        <f t="shared" si="103"/>
        <v>4.1606404379398499E-4</v>
      </c>
      <c r="U132" s="463">
        <f t="shared" si="104"/>
        <v>3.9657560638531053</v>
      </c>
      <c r="V132" s="465">
        <f t="shared" si="105"/>
        <v>1.5727221157987675E-2</v>
      </c>
      <c r="W132" s="463">
        <f t="shared" si="106"/>
        <v>1.5727221157987675E-2</v>
      </c>
      <c r="X132" s="463">
        <f t="shared" si="107"/>
        <v>3.9657560638531053</v>
      </c>
      <c r="Y132" s="463">
        <f t="shared" si="108"/>
        <v>0.34599886547572883</v>
      </c>
      <c r="Z132" s="463">
        <f t="shared" si="62"/>
        <v>0.15393921875642416</v>
      </c>
      <c r="AA132" s="463">
        <f t="shared" si="63"/>
        <v>0.15997440000000002</v>
      </c>
      <c r="AB132" s="463">
        <f t="shared" si="64"/>
        <v>0</v>
      </c>
      <c r="AC132" s="463">
        <f t="shared" si="109"/>
        <v>0.70063910031329757</v>
      </c>
      <c r="AD132" s="463">
        <f t="shared" si="110"/>
        <v>3.9147244967949284</v>
      </c>
      <c r="AE132" s="463">
        <f t="shared" si="111"/>
        <v>0.15325067885806307</v>
      </c>
      <c r="AF132" s="463">
        <f t="shared" si="67"/>
        <v>0.119556</v>
      </c>
      <c r="AG132" s="463">
        <f t="shared" si="112"/>
        <v>0.27966407228689133</v>
      </c>
      <c r="AH132" s="463">
        <f t="shared" si="113"/>
        <v>0</v>
      </c>
      <c r="AI132">
        <f t="shared" si="70"/>
        <v>0</v>
      </c>
      <c r="AJ132" s="464">
        <f t="shared" si="71"/>
        <v>0.47756460000000001</v>
      </c>
      <c r="AK132">
        <f t="shared" si="84"/>
        <v>7.2000000000000008E-2</v>
      </c>
      <c r="AL132" s="464">
        <f t="shared" si="85"/>
        <v>0.22559999999999999</v>
      </c>
      <c r="AM132" s="464">
        <f t="shared" si="86"/>
        <v>0.18424406779661015</v>
      </c>
      <c r="AN132" s="464">
        <f t="shared" si="114"/>
        <v>0.29759999999999998</v>
      </c>
      <c r="AO132" s="464">
        <f t="shared" si="115"/>
        <v>2.5556879338508001</v>
      </c>
      <c r="AP132" s="100">
        <f t="shared" si="73"/>
        <v>66.42</v>
      </c>
      <c r="AQ132" s="10">
        <f t="shared" si="116"/>
        <v>0.96294798920596825</v>
      </c>
      <c r="AR132" s="77">
        <f t="shared" si="117"/>
        <v>29.426842213158498</v>
      </c>
      <c r="AS132" s="77">
        <f t="shared" si="118"/>
        <v>11.186562891475653</v>
      </c>
      <c r="AT132" s="10"/>
      <c r="AU132">
        <f t="shared" si="119"/>
        <v>96.294798920596818</v>
      </c>
    </row>
    <row r="133" spans="7:47" x14ac:dyDescent="0.25">
      <c r="G133">
        <v>124</v>
      </c>
      <c r="H133">
        <f t="shared" si="55"/>
        <v>5.58</v>
      </c>
      <c r="I133" s="463">
        <f t="shared" si="97"/>
        <v>0.50652821371626833</v>
      </c>
      <c r="J133" s="464">
        <f t="shared" si="56"/>
        <v>2.2346832958070659</v>
      </c>
      <c r="K133" s="464">
        <f t="shared" si="76"/>
        <v>6.6973416479035333</v>
      </c>
      <c r="L133" s="464">
        <f t="shared" si="98"/>
        <v>4.4626583520964669</v>
      </c>
      <c r="M133" s="77">
        <f t="shared" si="57"/>
        <v>0</v>
      </c>
      <c r="N133" s="463">
        <f t="shared" si="99"/>
        <v>5.6171657253499827</v>
      </c>
      <c r="O133" s="463">
        <f t="shared" si="100"/>
        <v>0.39045774989664173</v>
      </c>
      <c r="P133">
        <f t="shared" si="59"/>
        <v>0.4</v>
      </c>
      <c r="Q133" s="463">
        <f t="shared" si="79"/>
        <v>0.79045774989664175</v>
      </c>
      <c r="R133" s="9">
        <f t="shared" si="101"/>
        <v>0.64509750119388487</v>
      </c>
      <c r="S133" s="9">
        <f t="shared" si="102"/>
        <v>4.161507860465943E-4</v>
      </c>
      <c r="T133" s="9">
        <f t="shared" si="103"/>
        <v>4.161507860465943E-4</v>
      </c>
      <c r="U133" s="463">
        <f t="shared" si="104"/>
        <v>3.99778153328168</v>
      </c>
      <c r="V133" s="465">
        <f t="shared" si="105"/>
        <v>1.5982257187848022E-2</v>
      </c>
      <c r="W133" s="463">
        <f t="shared" si="106"/>
        <v>1.5982257187848022E-2</v>
      </c>
      <c r="X133" s="463">
        <f t="shared" si="107"/>
        <v>3.99778153328168</v>
      </c>
      <c r="Y133" s="463">
        <f t="shared" si="108"/>
        <v>0.35160965813265643</v>
      </c>
      <c r="Z133" s="463">
        <f t="shared" si="62"/>
        <v>0.15524999364719322</v>
      </c>
      <c r="AA133" s="463">
        <f t="shared" si="63"/>
        <v>0.15997440000000002</v>
      </c>
      <c r="AB133" s="463">
        <f t="shared" si="64"/>
        <v>0</v>
      </c>
      <c r="AC133" s="463">
        <f t="shared" si="109"/>
        <v>0.70869708825454214</v>
      </c>
      <c r="AD133" s="463">
        <f t="shared" si="110"/>
        <v>3.9459211343105398</v>
      </c>
      <c r="AE133" s="463">
        <f t="shared" si="111"/>
        <v>0.15570293598198576</v>
      </c>
      <c r="AF133" s="463">
        <f t="shared" si="67"/>
        <v>0.12052799999999998</v>
      </c>
      <c r="AG133" s="463">
        <f t="shared" si="112"/>
        <v>0.28328834839389239</v>
      </c>
      <c r="AH133" s="463">
        <f t="shared" si="113"/>
        <v>0</v>
      </c>
      <c r="AI133">
        <f t="shared" si="70"/>
        <v>0</v>
      </c>
      <c r="AJ133" s="464">
        <f t="shared" si="71"/>
        <v>0.47754479999999999</v>
      </c>
      <c r="AK133">
        <f t="shared" si="84"/>
        <v>7.2000000000000008E-2</v>
      </c>
      <c r="AL133" s="464">
        <f t="shared" si="85"/>
        <v>0.22559999999999999</v>
      </c>
      <c r="AM133" s="464">
        <f t="shared" si="86"/>
        <v>0.18424406779661015</v>
      </c>
      <c r="AN133" s="464">
        <f t="shared" si="114"/>
        <v>0.29759999999999998</v>
      </c>
      <c r="AO133" s="464">
        <f t="shared" si="115"/>
        <v>2.5739863945189709</v>
      </c>
      <c r="AP133" s="100">
        <f t="shared" si="73"/>
        <v>66.960000000000008</v>
      </c>
      <c r="AQ133" s="10">
        <f t="shared" si="116"/>
        <v>0.96298232665800587</v>
      </c>
      <c r="AR133" s="77">
        <f t="shared" si="117"/>
        <v>29.765277706690771</v>
      </c>
      <c r="AS133" s="77">
        <f t="shared" si="118"/>
        <v>11.331533935755695</v>
      </c>
      <c r="AT133" s="10"/>
      <c r="AU133">
        <f t="shared" si="119"/>
        <v>96.298232665800583</v>
      </c>
    </row>
    <row r="134" spans="7:47" x14ac:dyDescent="0.25">
      <c r="G134">
        <v>125</v>
      </c>
      <c r="H134">
        <f t="shared" si="55"/>
        <v>5.625</v>
      </c>
      <c r="I134" s="463">
        <f t="shared" si="97"/>
        <v>0.50658100908806025</v>
      </c>
      <c r="J134" s="464">
        <f t="shared" si="56"/>
        <v>2.2349162165649714</v>
      </c>
      <c r="K134" s="464">
        <f t="shared" si="76"/>
        <v>6.7424581082824862</v>
      </c>
      <c r="L134" s="464">
        <f t="shared" si="98"/>
        <v>4.5075418917175138</v>
      </c>
      <c r="M134" s="77">
        <f t="shared" si="57"/>
        <v>0</v>
      </c>
      <c r="N134" s="463">
        <f t="shared" si="99"/>
        <v>5.6618780048015367</v>
      </c>
      <c r="O134" s="463">
        <f t="shared" si="100"/>
        <v>0.39689668238990033</v>
      </c>
      <c r="P134">
        <f t="shared" si="59"/>
        <v>0.4</v>
      </c>
      <c r="Q134" s="463">
        <f t="shared" si="79"/>
        <v>0.79689668238990041</v>
      </c>
      <c r="R134" s="9">
        <f t="shared" si="101"/>
        <v>0.64516473962502319</v>
      </c>
      <c r="S134" s="9">
        <f t="shared" si="102"/>
        <v>4.1623754125542396E-4</v>
      </c>
      <c r="T134" s="9">
        <f t="shared" si="103"/>
        <v>4.1623754125542396E-4</v>
      </c>
      <c r="U134" s="463">
        <f t="shared" si="104"/>
        <v>4.0298136153358772</v>
      </c>
      <c r="V134" s="465">
        <f t="shared" si="105"/>
        <v>1.6239397774346416E-2</v>
      </c>
      <c r="W134" s="463">
        <f t="shared" si="106"/>
        <v>1.6239397774346416E-2</v>
      </c>
      <c r="X134" s="463">
        <f t="shared" si="107"/>
        <v>4.0298136153358772</v>
      </c>
      <c r="Y134" s="463">
        <f t="shared" si="108"/>
        <v>0.35726675103562111</v>
      </c>
      <c r="Z134" s="463">
        <f t="shared" si="62"/>
        <v>0.15656076850324449</v>
      </c>
      <c r="AA134" s="463">
        <f t="shared" si="63"/>
        <v>0.15997440000000002</v>
      </c>
      <c r="AB134" s="463">
        <f t="shared" si="64"/>
        <v>0</v>
      </c>
      <c r="AC134" s="463">
        <f t="shared" si="109"/>
        <v>0.71682642520084705</v>
      </c>
      <c r="AD134" s="463">
        <f t="shared" si="110"/>
        <v>3.9771176455957415</v>
      </c>
      <c r="AE134" s="463">
        <f t="shared" si="111"/>
        <v>0.15817464766909015</v>
      </c>
      <c r="AF134" s="463">
        <f t="shared" si="67"/>
        <v>0.12149999999999998</v>
      </c>
      <c r="AG134" s="463">
        <f t="shared" si="112"/>
        <v>0.28693641836974043</v>
      </c>
      <c r="AH134" s="463">
        <f t="shared" si="113"/>
        <v>0</v>
      </c>
      <c r="AI134">
        <f t="shared" si="70"/>
        <v>0</v>
      </c>
      <c r="AJ134" s="464">
        <f t="shared" si="71"/>
        <v>0.47752499999999998</v>
      </c>
      <c r="AK134">
        <f t="shared" si="84"/>
        <v>7.2000000000000008E-2</v>
      </c>
      <c r="AL134" s="464">
        <f t="shared" si="85"/>
        <v>0.22559999999999999</v>
      </c>
      <c r="AM134" s="464">
        <f t="shared" si="86"/>
        <v>0.18424406779661015</v>
      </c>
      <c r="AN134" s="464">
        <f t="shared" si="114"/>
        <v>0.29759999999999998</v>
      </c>
      <c r="AO134" s="464">
        <f t="shared" si="115"/>
        <v>2.5924401612760901</v>
      </c>
      <c r="AP134" s="100">
        <f t="shared" si="73"/>
        <v>67.5</v>
      </c>
      <c r="AQ134" s="10">
        <f t="shared" si="116"/>
        <v>0.96301398331530297</v>
      </c>
      <c r="AR134" s="77">
        <f t="shared" si="117"/>
        <v>30.106709858435575</v>
      </c>
      <c r="AS134" s="77">
        <f t="shared" si="118"/>
        <v>11.477456734789618</v>
      </c>
      <c r="AT134" s="10"/>
      <c r="AU134">
        <f t="shared" si="119"/>
        <v>96.301398331530294</v>
      </c>
    </row>
    <row r="135" spans="7:47" x14ac:dyDescent="0.25">
      <c r="G135">
        <v>126</v>
      </c>
      <c r="H135">
        <f t="shared" si="55"/>
        <v>5.67</v>
      </c>
      <c r="I135" s="463">
        <f t="shared" si="97"/>
        <v>0.50663380684239812</v>
      </c>
      <c r="J135" s="464">
        <f t="shared" si="56"/>
        <v>2.2351491478341092</v>
      </c>
      <c r="K135" s="464">
        <f t="shared" si="76"/>
        <v>6.7875745739170545</v>
      </c>
      <c r="L135" s="464">
        <f t="shared" si="98"/>
        <v>4.5524254260829453</v>
      </c>
      <c r="M135" s="77">
        <f t="shared" si="57"/>
        <v>0</v>
      </c>
      <c r="N135" s="463">
        <f t="shared" si="99"/>
        <v>5.7065948085896157</v>
      </c>
      <c r="O135" s="463">
        <f t="shared" si="100"/>
        <v>0.4033938381030121</v>
      </c>
      <c r="P135">
        <f t="shared" si="59"/>
        <v>0.4</v>
      </c>
      <c r="Q135" s="463">
        <f t="shared" si="79"/>
        <v>0.80339383810301213</v>
      </c>
      <c r="R135" s="9">
        <f t="shared" si="101"/>
        <v>0.64523198109049285</v>
      </c>
      <c r="S135" s="9">
        <f t="shared" si="102"/>
        <v>4.1632430942196215E-4</v>
      </c>
      <c r="T135" s="9">
        <f t="shared" si="103"/>
        <v>4.1632430942196215E-4</v>
      </c>
      <c r="U135" s="463">
        <f t="shared" si="104"/>
        <v>4.061852232979315</v>
      </c>
      <c r="V135" s="465">
        <f t="shared" si="105"/>
        <v>1.6498643562559045E-2</v>
      </c>
      <c r="W135" s="463">
        <f t="shared" si="106"/>
        <v>1.6498643562559045E-2</v>
      </c>
      <c r="X135" s="463">
        <f t="shared" si="107"/>
        <v>4.061852232979315</v>
      </c>
      <c r="Y135" s="463">
        <f t="shared" si="108"/>
        <v>0.36297015837629898</v>
      </c>
      <c r="Z135" s="463">
        <f t="shared" si="62"/>
        <v>0.15787154332457556</v>
      </c>
      <c r="AA135" s="463">
        <f t="shared" si="63"/>
        <v>0.15997440000000002</v>
      </c>
      <c r="AB135" s="463">
        <f t="shared" si="64"/>
        <v>0</v>
      </c>
      <c r="AC135" s="463">
        <f t="shared" si="109"/>
        <v>0.72502754676491676</v>
      </c>
      <c r="AD135" s="463">
        <f t="shared" si="110"/>
        <v>4.0083139531307799</v>
      </c>
      <c r="AE135" s="463">
        <f t="shared" si="111"/>
        <v>0.16066580746862902</v>
      </c>
      <c r="AF135" s="463">
        <f t="shared" si="67"/>
        <v>0.12247199999999998</v>
      </c>
      <c r="AG135" s="463">
        <f t="shared" si="112"/>
        <v>0.29060833922522711</v>
      </c>
      <c r="AH135" s="463">
        <f t="shared" si="113"/>
        <v>0</v>
      </c>
      <c r="AI135">
        <f t="shared" si="70"/>
        <v>0</v>
      </c>
      <c r="AJ135" s="464">
        <f t="shared" si="71"/>
        <v>0.47750520000000002</v>
      </c>
      <c r="AK135">
        <f t="shared" si="84"/>
        <v>7.2000000000000008E-2</v>
      </c>
      <c r="AL135" s="464">
        <f t="shared" si="85"/>
        <v>0.22559999999999999</v>
      </c>
      <c r="AM135" s="464">
        <f t="shared" si="86"/>
        <v>0.18424406779661015</v>
      </c>
      <c r="AN135" s="464">
        <f t="shared" si="114"/>
        <v>0.29759999999999998</v>
      </c>
      <c r="AO135" s="464">
        <f t="shared" si="115"/>
        <v>2.6110498919651373</v>
      </c>
      <c r="AP135" s="100">
        <f t="shared" si="73"/>
        <v>68.039999999999992</v>
      </c>
      <c r="AQ135" s="10">
        <f t="shared" si="116"/>
        <v>0.96304301357222888</v>
      </c>
      <c r="AR135" s="77">
        <f t="shared" si="117"/>
        <v>30.451156964126504</v>
      </c>
      <c r="AS135" s="77">
        <f t="shared" si="118"/>
        <v>11.624333569009085</v>
      </c>
      <c r="AT135" s="10"/>
      <c r="AU135">
        <f t="shared" si="119"/>
        <v>96.304301357222883</v>
      </c>
    </row>
    <row r="136" spans="7:47" x14ac:dyDescent="0.25">
      <c r="G136">
        <v>127</v>
      </c>
      <c r="H136">
        <f t="shared" si="55"/>
        <v>5.7149999999999999</v>
      </c>
      <c r="I136" s="463">
        <f t="shared" si="97"/>
        <v>0.50668660697944379</v>
      </c>
      <c r="J136" s="464">
        <f t="shared" si="56"/>
        <v>2.235382089615193</v>
      </c>
      <c r="K136" s="464">
        <f t="shared" si="76"/>
        <v>6.8326910448075964</v>
      </c>
      <c r="L136" s="464">
        <f t="shared" si="98"/>
        <v>4.5973089551924033</v>
      </c>
      <c r="M136" s="77">
        <f t="shared" si="57"/>
        <v>0</v>
      </c>
      <c r="N136" s="463">
        <f t="shared" si="99"/>
        <v>5.7513160311834453</v>
      </c>
      <c r="O136" s="463">
        <f t="shared" si="100"/>
        <v>0.40994938334364656</v>
      </c>
      <c r="P136">
        <f t="shared" si="59"/>
        <v>0.4</v>
      </c>
      <c r="Q136" s="463">
        <f t="shared" si="79"/>
        <v>0.80994938334364663</v>
      </c>
      <c r="R136" s="9">
        <f t="shared" si="101"/>
        <v>0.6452992255904999</v>
      </c>
      <c r="S136" s="9">
        <f t="shared" si="102"/>
        <v>4.1641109054769889E-4</v>
      </c>
      <c r="T136" s="9">
        <f t="shared" si="103"/>
        <v>4.1641109054769889E-4</v>
      </c>
      <c r="U136" s="463">
        <f t="shared" si="104"/>
        <v>4.0938973115627126</v>
      </c>
      <c r="V136" s="465">
        <f t="shared" si="105"/>
        <v>1.6759995197620406E-2</v>
      </c>
      <c r="W136" s="463">
        <f t="shared" si="106"/>
        <v>1.6759995197620406E-2</v>
      </c>
      <c r="X136" s="463">
        <f t="shared" si="107"/>
        <v>4.0938973115627126</v>
      </c>
      <c r="Y136" s="463">
        <f t="shared" si="108"/>
        <v>0.3687198943476489</v>
      </c>
      <c r="Z136" s="463">
        <f t="shared" si="62"/>
        <v>0.15918231811118413</v>
      </c>
      <c r="AA136" s="463">
        <f t="shared" si="63"/>
        <v>0.15997440000000002</v>
      </c>
      <c r="AB136" s="463">
        <f t="shared" si="64"/>
        <v>0</v>
      </c>
      <c r="AC136" s="463">
        <f t="shared" si="109"/>
        <v>0.73330089398916221</v>
      </c>
      <c r="AD136" s="463">
        <f t="shared" si="110"/>
        <v>4.039509981783346</v>
      </c>
      <c r="AE136" s="463">
        <f t="shared" si="111"/>
        <v>0.16317640892927288</v>
      </c>
      <c r="AF136" s="463">
        <f t="shared" si="67"/>
        <v>0.12344399999999998</v>
      </c>
      <c r="AG136" s="463">
        <f t="shared" si="112"/>
        <v>0.29430416850520813</v>
      </c>
      <c r="AH136" s="463">
        <f t="shared" si="113"/>
        <v>0</v>
      </c>
      <c r="AI136">
        <f t="shared" si="70"/>
        <v>0</v>
      </c>
      <c r="AJ136" s="464">
        <f t="shared" si="71"/>
        <v>0.4774854</v>
      </c>
      <c r="AK136">
        <f t="shared" si="84"/>
        <v>7.2000000000000008E-2</v>
      </c>
      <c r="AL136" s="464">
        <f t="shared" si="85"/>
        <v>0.22559999999999999</v>
      </c>
      <c r="AM136" s="464">
        <f t="shared" si="86"/>
        <v>0.18424406779661015</v>
      </c>
      <c r="AN136" s="464">
        <f t="shared" si="114"/>
        <v>0.29759999999999998</v>
      </c>
      <c r="AO136" s="464">
        <f t="shared" si="115"/>
        <v>2.6298162521261848</v>
      </c>
      <c r="AP136" s="100">
        <f t="shared" si="73"/>
        <v>68.58</v>
      </c>
      <c r="AQ136" s="10">
        <f t="shared" si="116"/>
        <v>0.96306947004588472</v>
      </c>
      <c r="AR136" s="77">
        <f t="shared" si="117"/>
        <v>30.798637547544814</v>
      </c>
      <c r="AS136" s="77">
        <f t="shared" si="118"/>
        <v>11.772166740208325</v>
      </c>
      <c r="AT136" s="10"/>
      <c r="AU136">
        <f t="shared" si="119"/>
        <v>96.306947004588466</v>
      </c>
    </row>
    <row r="137" spans="7:47" x14ac:dyDescent="0.25">
      <c r="G137">
        <v>128</v>
      </c>
      <c r="H137">
        <f t="shared" ref="H137:H200" si="120">Iout*(G137/200)</f>
        <v>5.76</v>
      </c>
      <c r="I137" s="463">
        <f t="shared" si="97"/>
        <v>0.50673940949935814</v>
      </c>
      <c r="J137" s="464">
        <f t="shared" ref="J137:J200" si="121">(Vin-Vout)*I137/(Fsw*Lout2)</f>
        <v>2.2356150419089329</v>
      </c>
      <c r="K137" s="464">
        <f t="shared" si="76"/>
        <v>6.877807520954466</v>
      </c>
      <c r="L137" s="464">
        <f t="shared" si="98"/>
        <v>4.6421924790455336</v>
      </c>
      <c r="M137" s="77">
        <f t="shared" ref="M137:M200" si="122">IF(MIN(Vin, -L137/(CossTop+CossBot)*0.00000002)&lt;0, 0, MIN(Vin, -L137/(CossTop+CossBot)*0.00000002))</f>
        <v>0</v>
      </c>
      <c r="N137" s="463">
        <f t="shared" si="99"/>
        <v>5.7960415702990025</v>
      </c>
      <c r="O137" s="463">
        <f t="shared" si="100"/>
        <v>0.41656348616378613</v>
      </c>
      <c r="P137">
        <f t="shared" ref="P137:P200" si="123">Core_Loss</f>
        <v>0.4</v>
      </c>
      <c r="Q137" s="463">
        <f t="shared" si="79"/>
        <v>0.81656348616378616</v>
      </c>
      <c r="R137" s="9">
        <f t="shared" si="101"/>
        <v>0.64536647312524953</v>
      </c>
      <c r="S137" s="9">
        <f t="shared" si="102"/>
        <v>4.1649788463412344E-4</v>
      </c>
      <c r="T137" s="9">
        <f t="shared" si="103"/>
        <v>4.1649788463412344E-4</v>
      </c>
      <c r="U137" s="463">
        <f t="shared" si="104"/>
        <v>4.1259487787323703</v>
      </c>
      <c r="V137" s="465">
        <f t="shared" si="105"/>
        <v>1.7023453324723138E-2</v>
      </c>
      <c r="W137" s="463">
        <f t="shared" si="106"/>
        <v>1.7023453324723138E-2</v>
      </c>
      <c r="X137" s="463">
        <f t="shared" si="107"/>
        <v>4.1259487787323703</v>
      </c>
      <c r="Y137" s="463">
        <f t="shared" si="108"/>
        <v>0.37451597314390905</v>
      </c>
      <c r="Z137" s="463">
        <f t="shared" ref="Z137:Z200" si="124">IF(L137&lt;0, (Vin*K137*Tf/2)*Fsw, (Vin*L137*Tr/2+Vin*K137*Tf/2)*Fsw)</f>
        <v>0.16049309286306784</v>
      </c>
      <c r="AA137" s="463">
        <f t="shared" ref="AA137:AA200" si="125">(0.5*CossTop*(Vin-M137)^2-0.5*CossBot*(Vin-M137)^2+(QossBot*(Vin-M137)/Vin)*Vin)*Fsw</f>
        <v>0.15997440000000002</v>
      </c>
      <c r="AB137" s="463">
        <f t="shared" ref="AB137:AB200" si="126">IF(L137&gt;0,0,-L137*VsdTop*Deadtime*Fsw)</f>
        <v>0</v>
      </c>
      <c r="AC137" s="463">
        <f t="shared" si="109"/>
        <v>0.74164691341192501</v>
      </c>
      <c r="AD137" s="463">
        <f t="shared" si="110"/>
        <v>4.0707056587170474</v>
      </c>
      <c r="AE137" s="463">
        <f t="shared" si="111"/>
        <v>0.16570644559910994</v>
      </c>
      <c r="AF137" s="463">
        <f t="shared" ref="AF137:AF200" si="127">IF(L137&lt;0, Deadtime*Fsw*IF(VfdSky&gt;0,0,VsdBot)*K137, Deadtime*Fsw*IF(VfdSky&gt;0,0,VsdBot)*(K137+L137))</f>
        <v>0.12441599999999998</v>
      </c>
      <c r="AG137" s="463">
        <f t="shared" si="112"/>
        <v>0.2980239642912802</v>
      </c>
      <c r="AH137" s="463">
        <f t="shared" si="113"/>
        <v>0</v>
      </c>
      <c r="AI137">
        <f t="shared" ref="AI137:AI200" si="128">2*Deadtime*Fsw*IF(VfdSky&gt;0,VfdSky,0)*H137</f>
        <v>0</v>
      </c>
      <c r="AJ137" s="464">
        <f t="shared" ref="AJ137:AJ200" si="129">IF(QrrSky&gt;0,QrrSky,QrrBot)*Fsw*(Vin-H137*RdsonTop)</f>
        <v>0.47746560000000005</v>
      </c>
      <c r="AK137">
        <f t="shared" si="84"/>
        <v>7.2000000000000008E-2</v>
      </c>
      <c r="AL137" s="464">
        <f t="shared" si="85"/>
        <v>0.22559999999999999</v>
      </c>
      <c r="AM137" s="464">
        <f t="shared" si="86"/>
        <v>0.18424406779661015</v>
      </c>
      <c r="AN137" s="464">
        <f t="shared" si="114"/>
        <v>0.29759999999999998</v>
      </c>
      <c r="AO137" s="464">
        <f t="shared" si="115"/>
        <v>2.6487399150763489</v>
      </c>
      <c r="AP137" s="100">
        <f t="shared" ref="AP137:AP200" si="130">Vout*H137</f>
        <v>69.12</v>
      </c>
      <c r="AQ137" s="10">
        <f t="shared" si="116"/>
        <v>0.96309340364327711</v>
      </c>
      <c r="AR137" s="77">
        <f t="shared" si="117"/>
        <v>31.149170363300851</v>
      </c>
      <c r="AS137" s="77">
        <f t="shared" si="118"/>
        <v>11.920958571651209</v>
      </c>
      <c r="AT137" s="10"/>
      <c r="AU137">
        <f t="shared" si="119"/>
        <v>96.30934036432771</v>
      </c>
    </row>
    <row r="138" spans="7:47" x14ac:dyDescent="0.25">
      <c r="G138">
        <v>129</v>
      </c>
      <c r="H138">
        <f t="shared" si="120"/>
        <v>5.8049999999999997</v>
      </c>
      <c r="I138" s="463">
        <f t="shared" si="97"/>
        <v>0.50679221440230271</v>
      </c>
      <c r="J138" s="464">
        <f t="shared" si="121"/>
        <v>2.2358480047160412</v>
      </c>
      <c r="K138" s="464">
        <f t="shared" ref="K138:K201" si="131">H138+J138/2</f>
        <v>6.9229240023580205</v>
      </c>
      <c r="L138" s="464">
        <f t="shared" si="98"/>
        <v>4.6870759976419789</v>
      </c>
      <c r="M138" s="77">
        <f t="shared" si="122"/>
        <v>0</v>
      </c>
      <c r="N138" s="463">
        <f t="shared" si="99"/>
        <v>5.8407713267754895</v>
      </c>
      <c r="O138" s="463">
        <f t="shared" si="100"/>
        <v>0.42323631637091835</v>
      </c>
      <c r="P138">
        <f t="shared" si="123"/>
        <v>0.4</v>
      </c>
      <c r="Q138" s="463">
        <f t="shared" ref="Q138:Q201" si="132">O138+P138</f>
        <v>0.82323631637091843</v>
      </c>
      <c r="R138" s="9">
        <f t="shared" si="101"/>
        <v>0.645433723694947</v>
      </c>
      <c r="S138" s="9">
        <f t="shared" si="102"/>
        <v>4.1658469168272521E-4</v>
      </c>
      <c r="T138" s="9">
        <f t="shared" si="103"/>
        <v>4.1658469168272521E-4</v>
      </c>
      <c r="U138" s="463">
        <f t="shared" si="104"/>
        <v>4.1580065643428394</v>
      </c>
      <c r="V138" s="465">
        <f t="shared" si="105"/>
        <v>1.7289018589118143E-2</v>
      </c>
      <c r="W138" s="463">
        <f t="shared" si="106"/>
        <v>1.7289018589118143E-2</v>
      </c>
      <c r="X138" s="463">
        <f t="shared" si="107"/>
        <v>4.1580065643428394</v>
      </c>
      <c r="Y138" s="463">
        <f t="shared" si="108"/>
        <v>0.38035840896059914</v>
      </c>
      <c r="Z138" s="463">
        <f t="shared" si="124"/>
        <v>0.1618038675802243</v>
      </c>
      <c r="AA138" s="463">
        <f t="shared" si="125"/>
        <v>0.15997440000000002</v>
      </c>
      <c r="AB138" s="463">
        <f t="shared" si="126"/>
        <v>0</v>
      </c>
      <c r="AC138" s="463">
        <f t="shared" si="109"/>
        <v>0.75006605713482499</v>
      </c>
      <c r="AD138" s="463">
        <f t="shared" si="110"/>
        <v>4.1019009133040463</v>
      </c>
      <c r="AE138" s="463">
        <f t="shared" si="111"/>
        <v>0.16825591102564569</v>
      </c>
      <c r="AF138" s="463">
        <f t="shared" si="127"/>
        <v>0.12538799999999997</v>
      </c>
      <c r="AG138" s="463">
        <f t="shared" si="112"/>
        <v>0.30176778520448932</v>
      </c>
      <c r="AH138" s="463">
        <f t="shared" si="113"/>
        <v>0</v>
      </c>
      <c r="AI138">
        <f t="shared" si="128"/>
        <v>0</v>
      </c>
      <c r="AJ138" s="464">
        <f t="shared" si="129"/>
        <v>0.47744579999999998</v>
      </c>
      <c r="AK138">
        <f t="shared" ref="AK138:AK201" si="133">Iq*Vin</f>
        <v>7.2000000000000008E-2</v>
      </c>
      <c r="AL138" s="464">
        <f t="shared" ref="AL138:AL201" si="134">Vin*(QgTop+QgBot)*Fsw</f>
        <v>0.22559999999999999</v>
      </c>
      <c r="AM138" s="464">
        <f t="shared" ref="AM138:AM201" si="135">(Vin-Vdd)*Fsw*(QgTop+QgBot)+(RdsonDRT+RdsonDRT2)*Fsw*QgTop*Vdd/(RdsonDRT+2*RGateTop+RdsonDRT2)+(RdsonDRB+RdsonDRB2)*Fsw*QgBot*Vdd/(RdsonDRB+2*RGateBot+RdsonDRB2)</f>
        <v>0.18424406779661015</v>
      </c>
      <c r="AN138" s="464">
        <f t="shared" si="114"/>
        <v>0.29759999999999998</v>
      </c>
      <c r="AO138" s="464">
        <f t="shared" si="115"/>
        <v>2.6678215619910337</v>
      </c>
      <c r="AP138" s="100">
        <f t="shared" si="130"/>
        <v>69.66</v>
      </c>
      <c r="AQ138" s="10">
        <f t="shared" si="116"/>
        <v>0.96311486362541021</v>
      </c>
      <c r="AR138" s="77">
        <f t="shared" si="117"/>
        <v>31.502774399662648</v>
      </c>
      <c r="AS138" s="77">
        <f t="shared" si="118"/>
        <v>12.070711408179573</v>
      </c>
      <c r="AT138" s="10"/>
      <c r="AU138">
        <f t="shared" si="119"/>
        <v>96.311486362541018</v>
      </c>
    </row>
    <row r="139" spans="7:47" x14ac:dyDescent="0.25">
      <c r="G139">
        <v>130</v>
      </c>
      <c r="H139">
        <f t="shared" si="120"/>
        <v>5.8500000000000005</v>
      </c>
      <c r="I139" s="463">
        <f t="shared" si="97"/>
        <v>0.5068450216884387</v>
      </c>
      <c r="J139" s="464">
        <f t="shared" si="121"/>
        <v>2.2360809780372293</v>
      </c>
      <c r="K139" s="464">
        <f t="shared" si="131"/>
        <v>6.9680404890186152</v>
      </c>
      <c r="L139" s="464">
        <f t="shared" si="98"/>
        <v>4.7319595109813859</v>
      </c>
      <c r="M139" s="77">
        <f t="shared" si="122"/>
        <v>0</v>
      </c>
      <c r="N139" s="463">
        <f t="shared" si="99"/>
        <v>5.8855052044573881</v>
      </c>
      <c r="O139" s="463">
        <f t="shared" si="100"/>
        <v>0.42996804553936702</v>
      </c>
      <c r="P139">
        <f t="shared" si="123"/>
        <v>0.4</v>
      </c>
      <c r="Q139" s="463">
        <f t="shared" si="132"/>
        <v>0.82996804553936698</v>
      </c>
      <c r="R139" s="9">
        <f t="shared" si="101"/>
        <v>0.64550097729979805</v>
      </c>
      <c r="S139" s="9">
        <f t="shared" si="102"/>
        <v>4.166715116949944E-4</v>
      </c>
      <c r="T139" s="9">
        <f t="shared" si="103"/>
        <v>4.166715116949944E-4</v>
      </c>
      <c r="U139" s="463">
        <f t="shared" si="104"/>
        <v>4.1900706003735309</v>
      </c>
      <c r="V139" s="465">
        <f t="shared" si="105"/>
        <v>1.7556691636114601E-2</v>
      </c>
      <c r="W139" s="463">
        <f t="shared" si="106"/>
        <v>1.7556691636114601E-2</v>
      </c>
      <c r="X139" s="463">
        <f t="shared" si="107"/>
        <v>4.1900706003735309</v>
      </c>
      <c r="Y139" s="463">
        <f t="shared" si="108"/>
        <v>0.38624721599452116</v>
      </c>
      <c r="Z139" s="463">
        <f t="shared" si="124"/>
        <v>0.16311464226265127</v>
      </c>
      <c r="AA139" s="463">
        <f t="shared" si="125"/>
        <v>0.15997440000000002</v>
      </c>
      <c r="AB139" s="463">
        <f t="shared" si="126"/>
        <v>0</v>
      </c>
      <c r="AC139" s="463">
        <f t="shared" si="109"/>
        <v>0.75855878289124146</v>
      </c>
      <c r="AD139" s="463">
        <f t="shared" si="110"/>
        <v>4.1330956770416529</v>
      </c>
      <c r="AE139" s="463">
        <f t="shared" si="111"/>
        <v>0.170824798755804</v>
      </c>
      <c r="AF139" s="463">
        <f t="shared" si="127"/>
        <v>0.12636</v>
      </c>
      <c r="AG139" s="463">
        <f t="shared" si="112"/>
        <v>0.30553569040807194</v>
      </c>
      <c r="AH139" s="463">
        <f t="shared" si="113"/>
        <v>0</v>
      </c>
      <c r="AI139">
        <f t="shared" si="128"/>
        <v>0</v>
      </c>
      <c r="AJ139" s="464">
        <f t="shared" si="129"/>
        <v>0.47742600000000002</v>
      </c>
      <c r="AK139">
        <f t="shared" si="133"/>
        <v>7.2000000000000008E-2</v>
      </c>
      <c r="AL139" s="464">
        <f t="shared" si="134"/>
        <v>0.22559999999999999</v>
      </c>
      <c r="AM139" s="464">
        <f t="shared" si="135"/>
        <v>0.18424406779661015</v>
      </c>
      <c r="AN139" s="464">
        <f t="shared" si="114"/>
        <v>0.29759999999999998</v>
      </c>
      <c r="AO139" s="464">
        <f t="shared" si="115"/>
        <v>2.68706188198649</v>
      </c>
      <c r="AP139" s="100">
        <f t="shared" si="130"/>
        <v>70.2</v>
      </c>
      <c r="AQ139" s="10">
        <f t="shared" si="116"/>
        <v>0.96313389766846147</v>
      </c>
      <c r="AR139" s="77">
        <f t="shared" si="117"/>
        <v>31.859468881432143</v>
      </c>
      <c r="AS139" s="77">
        <f t="shared" si="118"/>
        <v>12.221427616322877</v>
      </c>
      <c r="AT139" s="10"/>
      <c r="AU139">
        <f t="shared" si="119"/>
        <v>96.313389766846143</v>
      </c>
    </row>
    <row r="140" spans="7:47" x14ac:dyDescent="0.25">
      <c r="G140">
        <v>131</v>
      </c>
      <c r="H140">
        <f t="shared" si="120"/>
        <v>5.8950000000000005</v>
      </c>
      <c r="I140" s="463">
        <f t="shared" si="97"/>
        <v>0.50689783135792754</v>
      </c>
      <c r="J140" s="464">
        <f t="shared" si="121"/>
        <v>2.2363139618732095</v>
      </c>
      <c r="K140" s="464">
        <f t="shared" si="131"/>
        <v>7.0131569809366052</v>
      </c>
      <c r="L140" s="464">
        <f t="shared" si="98"/>
        <v>4.7768430190633957</v>
      </c>
      <c r="M140" s="77">
        <f t="shared" si="122"/>
        <v>0</v>
      </c>
      <c r="N140" s="463">
        <f t="shared" si="99"/>
        <v>5.930243110081781</v>
      </c>
      <c r="O140" s="463">
        <f t="shared" si="100"/>
        <v>0.43675884702176232</v>
      </c>
      <c r="P140">
        <f t="shared" si="123"/>
        <v>0.4</v>
      </c>
      <c r="Q140" s="463">
        <f t="shared" si="132"/>
        <v>0.8367588470217624</v>
      </c>
      <c r="R140" s="9">
        <f t="shared" si="101"/>
        <v>0.64556823394000806</v>
      </c>
      <c r="S140" s="9">
        <f t="shared" si="102"/>
        <v>4.1675834467242096E-4</v>
      </c>
      <c r="T140" s="9">
        <f t="shared" si="103"/>
        <v>4.1675834467242096E-4</v>
      </c>
      <c r="U140" s="463">
        <f t="shared" si="104"/>
        <v>4.2221408208490514</v>
      </c>
      <c r="V140" s="465">
        <f t="shared" si="105"/>
        <v>1.7826473111079905E-2</v>
      </c>
      <c r="W140" s="463">
        <f t="shared" si="106"/>
        <v>1.7826473111079905E-2</v>
      </c>
      <c r="X140" s="463">
        <f t="shared" si="107"/>
        <v>4.2221408208490514</v>
      </c>
      <c r="Y140" s="463">
        <f t="shared" si="108"/>
        <v>0.39218240844375785</v>
      </c>
      <c r="Z140" s="463">
        <f t="shared" si="124"/>
        <v>0.16442541691034626</v>
      </c>
      <c r="AA140" s="463">
        <f t="shared" si="125"/>
        <v>0.15997440000000002</v>
      </c>
      <c r="AB140" s="463">
        <f t="shared" si="126"/>
        <v>0</v>
      </c>
      <c r="AC140" s="463">
        <f t="shared" si="109"/>
        <v>0.76712555411595107</v>
      </c>
      <c r="AD140" s="463">
        <f t="shared" si="110"/>
        <v>4.1642898834726347</v>
      </c>
      <c r="AE140" s="463">
        <f t="shared" si="111"/>
        <v>0.1734131023359253</v>
      </c>
      <c r="AF140" s="463">
        <f t="shared" si="127"/>
        <v>0.127332</v>
      </c>
      <c r="AG140" s="463">
        <f t="shared" si="112"/>
        <v>0.30932773961022425</v>
      </c>
      <c r="AH140" s="463">
        <f t="shared" si="113"/>
        <v>0</v>
      </c>
      <c r="AI140">
        <f t="shared" si="128"/>
        <v>0</v>
      </c>
      <c r="AJ140" s="464">
        <f t="shared" si="129"/>
        <v>0.4774062</v>
      </c>
      <c r="AK140">
        <f t="shared" si="133"/>
        <v>7.2000000000000008E-2</v>
      </c>
      <c r="AL140" s="464">
        <f t="shared" si="134"/>
        <v>0.22559999999999999</v>
      </c>
      <c r="AM140" s="464">
        <f t="shared" si="135"/>
        <v>0.18424406779661015</v>
      </c>
      <c r="AN140" s="464">
        <f t="shared" si="114"/>
        <v>0.29759999999999998</v>
      </c>
      <c r="AO140" s="464">
        <f t="shared" si="115"/>
        <v>2.7064615722036902</v>
      </c>
      <c r="AP140" s="100">
        <f t="shared" si="130"/>
        <v>70.740000000000009</v>
      </c>
      <c r="AQ140" s="10">
        <f t="shared" si="116"/>
        <v>0.96315055192219123</v>
      </c>
      <c r="AR140" s="77">
        <f t="shared" si="117"/>
        <v>32.219273272869948</v>
      </c>
      <c r="AS140" s="77">
        <f t="shared" si="118"/>
        <v>12.37310958440897</v>
      </c>
      <c r="AT140" s="10"/>
      <c r="AU140">
        <f t="shared" si="119"/>
        <v>96.31505519221912</v>
      </c>
    </row>
    <row r="141" spans="7:47" x14ac:dyDescent="0.25">
      <c r="G141">
        <v>132</v>
      </c>
      <c r="H141">
        <f t="shared" si="120"/>
        <v>5.94</v>
      </c>
      <c r="I141" s="463">
        <f t="shared" si="97"/>
        <v>0.50695064341093055</v>
      </c>
      <c r="J141" s="464">
        <f t="shared" si="121"/>
        <v>2.2365469562246933</v>
      </c>
      <c r="K141" s="464">
        <f t="shared" si="131"/>
        <v>7.0582734781123468</v>
      </c>
      <c r="L141" s="464">
        <f t="shared" si="98"/>
        <v>4.8217265218876539</v>
      </c>
      <c r="M141" s="77">
        <f t="shared" si="122"/>
        <v>0</v>
      </c>
      <c r="N141" s="463">
        <f t="shared" si="99"/>
        <v>5.9749849531707193</v>
      </c>
      <c r="O141" s="463">
        <f t="shared" si="100"/>
        <v>0.44360889596065894</v>
      </c>
      <c r="P141">
        <f t="shared" si="123"/>
        <v>0.4</v>
      </c>
      <c r="Q141" s="463">
        <f t="shared" si="132"/>
        <v>0.84360889596065891</v>
      </c>
      <c r="R141" s="9">
        <f t="shared" si="101"/>
        <v>0.64563549361578243</v>
      </c>
      <c r="S141" s="9">
        <f t="shared" si="102"/>
        <v>4.1684519061649508E-4</v>
      </c>
      <c r="T141" s="9">
        <f t="shared" si="103"/>
        <v>4.1684519061649508E-4</v>
      </c>
      <c r="U141" s="463">
        <f t="shared" si="104"/>
        <v>4.2542171617631013</v>
      </c>
      <c r="V141" s="465">
        <f t="shared" si="105"/>
        <v>1.80983636594397E-2</v>
      </c>
      <c r="W141" s="463">
        <f t="shared" si="106"/>
        <v>1.80983636594397E-2</v>
      </c>
      <c r="X141" s="463">
        <f t="shared" si="107"/>
        <v>4.2542171617631013</v>
      </c>
      <c r="Y141" s="463">
        <f t="shared" si="108"/>
        <v>0.39816400050767337</v>
      </c>
      <c r="Z141" s="463">
        <f t="shared" si="124"/>
        <v>0.16573619152330701</v>
      </c>
      <c r="AA141" s="463">
        <f t="shared" si="125"/>
        <v>0.15997440000000002</v>
      </c>
      <c r="AB141" s="463">
        <f t="shared" si="126"/>
        <v>0</v>
      </c>
      <c r="AC141" s="463">
        <f t="shared" si="109"/>
        <v>0.7757668400159472</v>
      </c>
      <c r="AD141" s="463">
        <f t="shared" si="110"/>
        <v>4.1954834681091056</v>
      </c>
      <c r="AE141" s="463">
        <f t="shared" si="111"/>
        <v>0.17602081531176808</v>
      </c>
      <c r="AF141" s="463">
        <f t="shared" si="127"/>
        <v>0.128304</v>
      </c>
      <c r="AG141" s="463">
        <f t="shared" si="112"/>
        <v>0.31314399306690727</v>
      </c>
      <c r="AH141" s="463">
        <f t="shared" si="113"/>
        <v>0</v>
      </c>
      <c r="AI141">
        <f t="shared" si="128"/>
        <v>0</v>
      </c>
      <c r="AJ141" s="464">
        <f t="shared" si="129"/>
        <v>0.47738639999999999</v>
      </c>
      <c r="AK141">
        <f t="shared" si="133"/>
        <v>7.2000000000000008E-2</v>
      </c>
      <c r="AL141" s="464">
        <f t="shared" si="134"/>
        <v>0.22559999999999999</v>
      </c>
      <c r="AM141" s="464">
        <f t="shared" si="135"/>
        <v>0.18424406779661015</v>
      </c>
      <c r="AN141" s="464">
        <f t="shared" si="114"/>
        <v>0.29759999999999998</v>
      </c>
      <c r="AO141" s="464">
        <f t="shared" si="115"/>
        <v>2.7260213378935694</v>
      </c>
      <c r="AP141" s="100">
        <f t="shared" si="130"/>
        <v>71.28</v>
      </c>
      <c r="AQ141" s="10">
        <f t="shared" si="116"/>
        <v>0.96316487106573101</v>
      </c>
      <c r="AR141" s="77">
        <f t="shared" si="117"/>
        <v>32.582207280669785</v>
      </c>
      <c r="AS141" s="77">
        <f t="shared" si="118"/>
        <v>12.525759722676291</v>
      </c>
      <c r="AT141" s="10"/>
      <c r="AU141">
        <f t="shared" si="119"/>
        <v>96.316487106573106</v>
      </c>
    </row>
    <row r="142" spans="7:47" x14ac:dyDescent="0.25">
      <c r="G142">
        <v>133</v>
      </c>
      <c r="H142">
        <f t="shared" si="120"/>
        <v>5.9850000000000003</v>
      </c>
      <c r="I142" s="463">
        <f t="shared" si="97"/>
        <v>0.50700345784760903</v>
      </c>
      <c r="J142" s="464">
        <f t="shared" si="121"/>
        <v>2.2367799610923926</v>
      </c>
      <c r="K142" s="464">
        <f t="shared" si="131"/>
        <v>7.1033899805461971</v>
      </c>
      <c r="L142" s="464">
        <f t="shared" si="98"/>
        <v>4.8666100194538036</v>
      </c>
      <c r="M142" s="77">
        <f t="shared" si="122"/>
        <v>0</v>
      </c>
      <c r="N142" s="463">
        <f t="shared" si="99"/>
        <v>6.0197306459283295</v>
      </c>
      <c r="O142" s="463">
        <f t="shared" si="100"/>
        <v>0.45051836930029554</v>
      </c>
      <c r="P142">
        <f t="shared" si="123"/>
        <v>0.4</v>
      </c>
      <c r="Q142" s="463">
        <f t="shared" si="132"/>
        <v>0.85051836930029556</v>
      </c>
      <c r="R142" s="9">
        <f t="shared" si="101"/>
        <v>0.64570275632732677</v>
      </c>
      <c r="S142" s="9">
        <f t="shared" si="102"/>
        <v>4.169320495287071E-4</v>
      </c>
      <c r="T142" s="9">
        <f t="shared" si="103"/>
        <v>4.169320495287071E-4</v>
      </c>
      <c r="U142" s="463">
        <f t="shared" si="104"/>
        <v>4.2862995610057304</v>
      </c>
      <c r="V142" s="465">
        <f t="shared" si="105"/>
        <v>1.8372363926677918E-2</v>
      </c>
      <c r="W142" s="463">
        <f t="shared" si="106"/>
        <v>1.8372363926677918E-2</v>
      </c>
      <c r="X142" s="463">
        <f t="shared" si="107"/>
        <v>4.2862995610057304</v>
      </c>
      <c r="Y142" s="463">
        <f t="shared" si="108"/>
        <v>0.40419200638691416</v>
      </c>
      <c r="Z142" s="463">
        <f t="shared" si="124"/>
        <v>0.16704696610153114</v>
      </c>
      <c r="AA142" s="463">
        <f t="shared" si="125"/>
        <v>0.15997440000000002</v>
      </c>
      <c r="AB142" s="463">
        <f t="shared" si="126"/>
        <v>0</v>
      </c>
      <c r="AC142" s="463">
        <f t="shared" si="109"/>
        <v>0.78448311564246009</v>
      </c>
      <c r="AD142" s="463">
        <f t="shared" si="110"/>
        <v>4.2266763683597528</v>
      </c>
      <c r="AE142" s="463">
        <f t="shared" si="111"/>
        <v>0.17864793122850789</v>
      </c>
      <c r="AF142" s="463">
        <f t="shared" si="127"/>
        <v>0.129276</v>
      </c>
      <c r="AG142" s="463">
        <f t="shared" si="112"/>
        <v>0.31698451158468111</v>
      </c>
      <c r="AH142" s="463">
        <f t="shared" si="113"/>
        <v>0</v>
      </c>
      <c r="AI142">
        <f t="shared" si="128"/>
        <v>0</v>
      </c>
      <c r="AJ142" s="464">
        <f t="shared" si="129"/>
        <v>0.47736660000000003</v>
      </c>
      <c r="AK142">
        <f t="shared" si="133"/>
        <v>7.2000000000000008E-2</v>
      </c>
      <c r="AL142" s="464">
        <f t="shared" si="134"/>
        <v>0.22559999999999999</v>
      </c>
      <c r="AM142" s="464">
        <f t="shared" si="135"/>
        <v>0.18424406779661015</v>
      </c>
      <c r="AN142" s="464">
        <f t="shared" si="114"/>
        <v>0.29759999999999998</v>
      </c>
      <c r="AO142" s="464">
        <f t="shared" si="115"/>
        <v>2.7457418925036432</v>
      </c>
      <c r="AP142" s="100">
        <f t="shared" si="130"/>
        <v>71.820000000000007</v>
      </c>
      <c r="AQ142" s="10">
        <f t="shared" si="116"/>
        <v>0.96317689836088538</v>
      </c>
      <c r="AR142" s="77">
        <f t="shared" si="117"/>
        <v>32.948290856983327</v>
      </c>
      <c r="AS142" s="77">
        <f t="shared" si="118"/>
        <v>12.679380463387243</v>
      </c>
      <c r="AT142" s="10"/>
      <c r="AU142">
        <f t="shared" si="119"/>
        <v>96.317689836088533</v>
      </c>
    </row>
    <row r="143" spans="7:47" x14ac:dyDescent="0.25">
      <c r="G143">
        <v>134</v>
      </c>
      <c r="H143">
        <f t="shared" si="120"/>
        <v>6.03</v>
      </c>
      <c r="I143" s="463">
        <f t="shared" si="97"/>
        <v>0.50705627466812442</v>
      </c>
      <c r="J143" s="464">
        <f t="shared" si="121"/>
        <v>2.2370129764770192</v>
      </c>
      <c r="K143" s="464">
        <f t="shared" si="131"/>
        <v>7.1485064882385103</v>
      </c>
      <c r="L143" s="464">
        <f t="shared" si="98"/>
        <v>4.9114935117614902</v>
      </c>
      <c r="M143" s="77">
        <f t="shared" si="122"/>
        <v>0</v>
      </c>
      <c r="N143" s="463">
        <f t="shared" si="99"/>
        <v>6.0644801031424409</v>
      </c>
      <c r="O143" s="463">
        <f t="shared" si="100"/>
        <v>0.45748744579850154</v>
      </c>
      <c r="P143">
        <f t="shared" si="123"/>
        <v>0.4</v>
      </c>
      <c r="Q143" s="463">
        <f t="shared" si="132"/>
        <v>0.85748744579850156</v>
      </c>
      <c r="R143" s="9">
        <f t="shared" si="101"/>
        <v>0.64577002207484657</v>
      </c>
      <c r="S143" s="9">
        <f t="shared" si="102"/>
        <v>4.1701892141054781E-4</v>
      </c>
      <c r="T143" s="9">
        <f t="shared" si="103"/>
        <v>4.1701892141054781E-4</v>
      </c>
      <c r="U143" s="463">
        <f t="shared" si="104"/>
        <v>4.3183879582937843</v>
      </c>
      <c r="V143" s="465">
        <f t="shared" si="105"/>
        <v>1.864847455833676E-2</v>
      </c>
      <c r="W143" s="463">
        <f t="shared" si="106"/>
        <v>1.864847455833676E-2</v>
      </c>
      <c r="X143" s="463">
        <f t="shared" si="107"/>
        <v>4.3183879582937843</v>
      </c>
      <c r="Y143" s="463">
        <f t="shared" si="108"/>
        <v>0.41026644028340864</v>
      </c>
      <c r="Z143" s="463">
        <f t="shared" si="124"/>
        <v>0.16835774064501627</v>
      </c>
      <c r="AA143" s="463">
        <f t="shared" si="125"/>
        <v>0.15997440000000002</v>
      </c>
      <c r="AB143" s="463">
        <f t="shared" si="126"/>
        <v>0</v>
      </c>
      <c r="AC143" s="463">
        <f t="shared" si="109"/>
        <v>0.79327486196419805</v>
      </c>
      <c r="AD143" s="463">
        <f t="shared" si="110"/>
        <v>4.2578685234602762</v>
      </c>
      <c r="AE143" s="463">
        <f t="shared" si="111"/>
        <v>0.18129444363073796</v>
      </c>
      <c r="AF143" s="463">
        <f t="shared" si="127"/>
        <v>0.130248</v>
      </c>
      <c r="AG143" s="463">
        <f t="shared" si="112"/>
        <v>0.32084935652357344</v>
      </c>
      <c r="AH143" s="463">
        <f t="shared" si="113"/>
        <v>0</v>
      </c>
      <c r="AI143">
        <f t="shared" si="128"/>
        <v>0</v>
      </c>
      <c r="AJ143" s="464">
        <f t="shared" si="129"/>
        <v>0.47734679999999996</v>
      </c>
      <c r="AK143">
        <f t="shared" si="133"/>
        <v>7.2000000000000008E-2</v>
      </c>
      <c r="AL143" s="464">
        <f t="shared" si="134"/>
        <v>0.22559999999999999</v>
      </c>
      <c r="AM143" s="464">
        <f t="shared" si="135"/>
        <v>0.18424406779661015</v>
      </c>
      <c r="AN143" s="464">
        <f t="shared" si="114"/>
        <v>0.29759999999999998</v>
      </c>
      <c r="AO143" s="464">
        <f t="shared" si="115"/>
        <v>2.76562395776602</v>
      </c>
      <c r="AP143" s="100">
        <f t="shared" si="130"/>
        <v>72.36</v>
      </c>
      <c r="AQ143" s="10">
        <f t="shared" si="116"/>
        <v>0.9631866757030757</v>
      </c>
      <c r="AR143" s="77">
        <f t="shared" si="117"/>
        <v>33.317544202496322</v>
      </c>
      <c r="AS143" s="77">
        <f t="shared" si="118"/>
        <v>12.833974260942938</v>
      </c>
      <c r="AT143" s="10"/>
      <c r="AU143">
        <f t="shared" si="119"/>
        <v>96.318667570307568</v>
      </c>
    </row>
    <row r="144" spans="7:47" x14ac:dyDescent="0.25">
      <c r="G144">
        <v>135</v>
      </c>
      <c r="H144">
        <f t="shared" si="120"/>
        <v>6.0750000000000002</v>
      </c>
      <c r="I144" s="463">
        <f t="shared" si="97"/>
        <v>0.50710909387263825</v>
      </c>
      <c r="J144" s="464">
        <f t="shared" si="121"/>
        <v>2.2372460023792859</v>
      </c>
      <c r="K144" s="464">
        <f t="shared" si="131"/>
        <v>7.1936230011896427</v>
      </c>
      <c r="L144" s="464">
        <f t="shared" si="98"/>
        <v>4.9563769988103576</v>
      </c>
      <c r="M144" s="77">
        <f t="shared" si="122"/>
        <v>0</v>
      </c>
      <c r="N144" s="463">
        <f t="shared" si="99"/>
        <v>6.1092332420904922</v>
      </c>
      <c r="O144" s="463">
        <f t="shared" si="100"/>
        <v>0.4645163060387501</v>
      </c>
      <c r="P144">
        <f t="shared" si="123"/>
        <v>0.4</v>
      </c>
      <c r="Q144" s="463">
        <f t="shared" si="132"/>
        <v>0.86451630603875018</v>
      </c>
      <c r="R144" s="9">
        <f t="shared" si="101"/>
        <v>0.64583729085854746</v>
      </c>
      <c r="S144" s="9">
        <f t="shared" si="102"/>
        <v>4.1710580626350802E-4</v>
      </c>
      <c r="T144" s="9">
        <f t="shared" si="103"/>
        <v>4.1710580626350802E-4</v>
      </c>
      <c r="U144" s="463">
        <f t="shared" si="104"/>
        <v>4.3504822951043813</v>
      </c>
      <c r="V144" s="465">
        <f t="shared" si="105"/>
        <v>1.8926696200016687E-2</v>
      </c>
      <c r="W144" s="463">
        <f t="shared" si="106"/>
        <v>1.8926696200016687E-2</v>
      </c>
      <c r="X144" s="463">
        <f t="shared" si="107"/>
        <v>4.3504822951043813</v>
      </c>
      <c r="Y144" s="463">
        <f t="shared" si="108"/>
        <v>0.41638731640036708</v>
      </c>
      <c r="Z144" s="463">
        <f t="shared" si="124"/>
        <v>0.16966851515376008</v>
      </c>
      <c r="AA144" s="463">
        <f t="shared" si="125"/>
        <v>0.15997440000000002</v>
      </c>
      <c r="AB144" s="463">
        <f t="shared" si="126"/>
        <v>0</v>
      </c>
      <c r="AC144" s="463">
        <f t="shared" si="109"/>
        <v>0.80214256594183542</v>
      </c>
      <c r="AD144" s="463">
        <f t="shared" si="110"/>
        <v>4.2890598744068402</v>
      </c>
      <c r="AE144" s="463">
        <f t="shared" si="111"/>
        <v>0.18396034606246819</v>
      </c>
      <c r="AF144" s="463">
        <f t="shared" si="127"/>
        <v>0.13122</v>
      </c>
      <c r="AG144" s="463">
        <f t="shared" si="112"/>
        <v>0.32473858979997888</v>
      </c>
      <c r="AH144" s="463">
        <f t="shared" si="113"/>
        <v>0</v>
      </c>
      <c r="AI144">
        <f t="shared" si="128"/>
        <v>0</v>
      </c>
      <c r="AJ144" s="464">
        <f t="shared" si="129"/>
        <v>0.477327</v>
      </c>
      <c r="AK144">
        <f t="shared" si="133"/>
        <v>7.2000000000000008E-2</v>
      </c>
      <c r="AL144" s="464">
        <f t="shared" si="134"/>
        <v>0.22559999999999999</v>
      </c>
      <c r="AM144" s="464">
        <f t="shared" si="135"/>
        <v>0.18424406779661015</v>
      </c>
      <c r="AN144" s="464">
        <f t="shared" si="114"/>
        <v>0.29759999999999998</v>
      </c>
      <c r="AO144" s="464">
        <f t="shared" si="115"/>
        <v>2.7856682637868446</v>
      </c>
      <c r="AP144" s="100">
        <f t="shared" si="130"/>
        <v>72.900000000000006</v>
      </c>
      <c r="AQ144" s="10">
        <f t="shared" si="116"/>
        <v>0.96319424367004369</v>
      </c>
      <c r="AR144" s="77">
        <f t="shared" si="117"/>
        <v>33.689987769557085</v>
      </c>
      <c r="AS144" s="77">
        <f t="shared" si="118"/>
        <v>12.989543591999155</v>
      </c>
      <c r="AT144" s="10"/>
      <c r="AU144">
        <f t="shared" si="119"/>
        <v>96.319424367004373</v>
      </c>
    </row>
    <row r="145" spans="7:47" x14ac:dyDescent="0.25">
      <c r="G145">
        <v>136</v>
      </c>
      <c r="H145">
        <f t="shared" si="120"/>
        <v>6.12</v>
      </c>
      <c r="I145" s="463">
        <f t="shared" si="97"/>
        <v>0.50716191546131162</v>
      </c>
      <c r="J145" s="464">
        <f t="shared" si="121"/>
        <v>2.2374790387999042</v>
      </c>
      <c r="K145" s="464">
        <f t="shared" si="131"/>
        <v>7.2387395193999522</v>
      </c>
      <c r="L145" s="464">
        <f t="shared" si="98"/>
        <v>5.001260480600048</v>
      </c>
      <c r="M145" s="77">
        <f t="shared" si="122"/>
        <v>0</v>
      </c>
      <c r="N145" s="463">
        <f t="shared" si="99"/>
        <v>6.1539899824495228</v>
      </c>
      <c r="O145" s="463">
        <f t="shared" si="100"/>
        <v>0.47160513244236341</v>
      </c>
      <c r="P145">
        <f t="shared" si="123"/>
        <v>0.4</v>
      </c>
      <c r="Q145" s="463">
        <f t="shared" si="132"/>
        <v>0.87160513244236348</v>
      </c>
      <c r="R145" s="9">
        <f t="shared" si="101"/>
        <v>0.64590456267863494</v>
      </c>
      <c r="S145" s="9">
        <f t="shared" si="102"/>
        <v>4.1719270408907869E-4</v>
      </c>
      <c r="T145" s="9">
        <f t="shared" si="103"/>
        <v>4.1719270408907869E-4</v>
      </c>
      <c r="U145" s="463">
        <f t="shared" si="104"/>
        <v>4.3825825146112711</v>
      </c>
      <c r="V145" s="465">
        <f t="shared" si="105"/>
        <v>1.9207029497376453E-2</v>
      </c>
      <c r="W145" s="463">
        <f t="shared" si="106"/>
        <v>1.9207029497376453E-2</v>
      </c>
      <c r="X145" s="463">
        <f t="shared" si="107"/>
        <v>4.3825825146112711</v>
      </c>
      <c r="Y145" s="463">
        <f t="shared" si="108"/>
        <v>0.42255464894228195</v>
      </c>
      <c r="Z145" s="463">
        <f t="shared" si="124"/>
        <v>0.17097928962776021</v>
      </c>
      <c r="AA145" s="463">
        <f t="shared" si="125"/>
        <v>0.15997440000000002</v>
      </c>
      <c r="AB145" s="463">
        <f t="shared" si="126"/>
        <v>0</v>
      </c>
      <c r="AC145" s="463">
        <f t="shared" si="109"/>
        <v>0.81108672060376952</v>
      </c>
      <c r="AD145" s="463">
        <f t="shared" si="110"/>
        <v>4.3202503638924243</v>
      </c>
      <c r="AE145" s="463">
        <f t="shared" si="111"/>
        <v>0.18664563206712625</v>
      </c>
      <c r="AF145" s="463">
        <f t="shared" si="127"/>
        <v>0.13219199999999998</v>
      </c>
      <c r="AG145" s="463">
        <f t="shared" si="112"/>
        <v>0.32865227388959367</v>
      </c>
      <c r="AH145" s="463">
        <f t="shared" si="113"/>
        <v>0</v>
      </c>
      <c r="AI145">
        <f t="shared" si="128"/>
        <v>0</v>
      </c>
      <c r="AJ145" s="464">
        <f t="shared" si="129"/>
        <v>0.47730719999999999</v>
      </c>
      <c r="AK145">
        <f t="shared" si="133"/>
        <v>7.2000000000000008E-2</v>
      </c>
      <c r="AL145" s="464">
        <f t="shared" si="134"/>
        <v>0.22559999999999999</v>
      </c>
      <c r="AM145" s="464">
        <f t="shared" si="135"/>
        <v>0.18424406779661015</v>
      </c>
      <c r="AN145" s="464">
        <f t="shared" si="114"/>
        <v>0.29759999999999998</v>
      </c>
      <c r="AO145" s="464">
        <f t="shared" si="115"/>
        <v>2.8058755491371921</v>
      </c>
      <c r="AP145" s="100">
        <f t="shared" si="130"/>
        <v>73.44</v>
      </c>
      <c r="AQ145" s="10">
        <f t="shared" si="116"/>
        <v>0.96319964156842908</v>
      </c>
      <c r="AR145" s="77">
        <f t="shared" si="117"/>
        <v>34.065642265358321</v>
      </c>
      <c r="AS145" s="77">
        <f t="shared" si="118"/>
        <v>13.146090955583746</v>
      </c>
      <c r="AT145" s="10"/>
      <c r="AU145">
        <f t="shared" si="119"/>
        <v>96.319964156842914</v>
      </c>
    </row>
    <row r="146" spans="7:47" x14ac:dyDescent="0.25">
      <c r="G146">
        <v>137</v>
      </c>
      <c r="H146">
        <f t="shared" si="120"/>
        <v>6.1650000000000009</v>
      </c>
      <c r="I146" s="463">
        <f t="shared" si="97"/>
        <v>0.50721473943430628</v>
      </c>
      <c r="J146" s="464">
        <f t="shared" si="121"/>
        <v>2.2377120857395862</v>
      </c>
      <c r="K146" s="464">
        <f t="shared" si="131"/>
        <v>7.283856042869794</v>
      </c>
      <c r="L146" s="464">
        <f t="shared" si="98"/>
        <v>5.0461439571302078</v>
      </c>
      <c r="M146" s="77">
        <f t="shared" si="122"/>
        <v>0</v>
      </c>
      <c r="N146" s="463">
        <f t="shared" si="99"/>
        <v>6.1987502462100181</v>
      </c>
      <c r="O146" s="463">
        <f t="shared" si="100"/>
        <v>0.47875410928086637</v>
      </c>
      <c r="P146">
        <f t="shared" si="123"/>
        <v>0.4</v>
      </c>
      <c r="Q146" s="463">
        <f t="shared" si="132"/>
        <v>0.87875410928086639</v>
      </c>
      <c r="R146" s="9">
        <f t="shared" si="101"/>
        <v>0.64597183753531451</v>
      </c>
      <c r="S146" s="9">
        <f t="shared" si="102"/>
        <v>4.1727961488875076E-4</v>
      </c>
      <c r="T146" s="9">
        <f t="shared" si="103"/>
        <v>4.1727961488875076E-4</v>
      </c>
      <c r="U146" s="463">
        <f t="shared" si="104"/>
        <v>4.4146885616239233</v>
      </c>
      <c r="V146" s="465">
        <f t="shared" si="105"/>
        <v>1.9489475096133108E-2</v>
      </c>
      <c r="W146" s="463">
        <f t="shared" si="106"/>
        <v>1.9489475096133108E-2</v>
      </c>
      <c r="X146" s="463">
        <f t="shared" si="107"/>
        <v>4.4146885616239233</v>
      </c>
      <c r="Y146" s="463">
        <f t="shared" si="108"/>
        <v>0.42876845211492831</v>
      </c>
      <c r="Z146" s="463">
        <f t="shared" si="124"/>
        <v>0.17229006406701436</v>
      </c>
      <c r="AA146" s="463">
        <f t="shared" si="125"/>
        <v>0.15997440000000002</v>
      </c>
      <c r="AB146" s="463">
        <f t="shared" si="126"/>
        <v>0</v>
      </c>
      <c r="AC146" s="463">
        <f t="shared" si="109"/>
        <v>0.82010782512317015</v>
      </c>
      <c r="AD146" s="463">
        <f t="shared" si="110"/>
        <v>4.3514399362458924</v>
      </c>
      <c r="AE146" s="463">
        <f t="shared" si="111"/>
        <v>0.18935029518755656</v>
      </c>
      <c r="AF146" s="463">
        <f t="shared" si="127"/>
        <v>0.133164</v>
      </c>
      <c r="AG146" s="463">
        <f t="shared" si="112"/>
        <v>0.33259047183038076</v>
      </c>
      <c r="AH146" s="463">
        <f t="shared" si="113"/>
        <v>0</v>
      </c>
      <c r="AI146">
        <f t="shared" si="128"/>
        <v>0</v>
      </c>
      <c r="AJ146" s="464">
        <f t="shared" si="129"/>
        <v>0.47728740000000003</v>
      </c>
      <c r="AK146">
        <f t="shared" si="133"/>
        <v>7.2000000000000008E-2</v>
      </c>
      <c r="AL146" s="464">
        <f t="shared" si="134"/>
        <v>0.22559999999999999</v>
      </c>
      <c r="AM146" s="464">
        <f t="shared" si="135"/>
        <v>0.18424406779661015</v>
      </c>
      <c r="AN146" s="464">
        <f t="shared" si="114"/>
        <v>0.29759999999999998</v>
      </c>
      <c r="AO146" s="464">
        <f t="shared" si="115"/>
        <v>2.8262465609454392</v>
      </c>
      <c r="AP146" s="100">
        <f t="shared" si="130"/>
        <v>73.980000000000018</v>
      </c>
      <c r="AQ146" s="10">
        <f t="shared" si="116"/>
        <v>0.96320290747832837</v>
      </c>
      <c r="AR146" s="77">
        <f t="shared" si="117"/>
        <v>34.444528655173144</v>
      </c>
      <c r="AS146" s="77">
        <f t="shared" si="118"/>
        <v>13.30361887321523</v>
      </c>
      <c r="AT146" s="10"/>
      <c r="AU146">
        <f t="shared" si="119"/>
        <v>96.320290747832843</v>
      </c>
    </row>
    <row r="147" spans="7:47" x14ac:dyDescent="0.25">
      <c r="G147">
        <v>138</v>
      </c>
      <c r="H147">
        <f t="shared" si="120"/>
        <v>6.2099999999999991</v>
      </c>
      <c r="I147" s="463">
        <f t="shared" si="97"/>
        <v>0.50726756579178345</v>
      </c>
      <c r="J147" s="464">
        <f t="shared" si="121"/>
        <v>2.2379451431990445</v>
      </c>
      <c r="K147" s="464">
        <f t="shared" si="131"/>
        <v>7.3289725715995218</v>
      </c>
      <c r="L147" s="464">
        <f t="shared" si="98"/>
        <v>5.0910274284004764</v>
      </c>
      <c r="M147" s="77">
        <f t="shared" si="122"/>
        <v>0</v>
      </c>
      <c r="N147" s="463">
        <f t="shared" si="99"/>
        <v>6.2435139575934331</v>
      </c>
      <c r="O147" s="463">
        <f t="shared" si="100"/>
        <v>0.48596342268849246</v>
      </c>
      <c r="P147">
        <f t="shared" si="123"/>
        <v>0.4</v>
      </c>
      <c r="Q147" s="463">
        <f t="shared" si="132"/>
        <v>0.88596342268849249</v>
      </c>
      <c r="R147" s="9">
        <f t="shared" si="101"/>
        <v>0.646039115428792</v>
      </c>
      <c r="S147" s="9">
        <f t="shared" si="102"/>
        <v>4.1736653866401602E-4</v>
      </c>
      <c r="T147" s="9">
        <f t="shared" si="103"/>
        <v>4.1736653866401602E-4</v>
      </c>
      <c r="U147" s="463">
        <f t="shared" si="104"/>
        <v>4.4468003825292133</v>
      </c>
      <c r="V147" s="465">
        <f t="shared" si="105"/>
        <v>1.9774033642061959E-2</v>
      </c>
      <c r="W147" s="463">
        <f t="shared" si="106"/>
        <v>1.9774033642061959E-2</v>
      </c>
      <c r="X147" s="463">
        <f t="shared" si="107"/>
        <v>4.4468003825292133</v>
      </c>
      <c r="Y147" s="463">
        <f t="shared" si="108"/>
        <v>0.43502874012536308</v>
      </c>
      <c r="Z147" s="463">
        <f t="shared" si="124"/>
        <v>0.17360083847152002</v>
      </c>
      <c r="AA147" s="463">
        <f t="shared" si="125"/>
        <v>0.15997440000000002</v>
      </c>
      <c r="AB147" s="463">
        <f t="shared" si="126"/>
        <v>0</v>
      </c>
      <c r="AC147" s="463">
        <f t="shared" si="109"/>
        <v>0.82920638489634424</v>
      </c>
      <c r="AD147" s="463">
        <f t="shared" si="110"/>
        <v>4.3826285373736686</v>
      </c>
      <c r="AE147" s="463">
        <f t="shared" si="111"/>
        <v>0.19207432896602061</v>
      </c>
      <c r="AF147" s="463">
        <f t="shared" si="127"/>
        <v>0.13413599999999998</v>
      </c>
      <c r="AG147" s="463">
        <f t="shared" si="112"/>
        <v>0.33655324722557045</v>
      </c>
      <c r="AH147" s="463">
        <f t="shared" si="113"/>
        <v>0</v>
      </c>
      <c r="AI147">
        <f t="shared" si="128"/>
        <v>0</v>
      </c>
      <c r="AJ147" s="464">
        <f t="shared" si="129"/>
        <v>0.47726760000000001</v>
      </c>
      <c r="AK147">
        <f t="shared" si="133"/>
        <v>7.2000000000000008E-2</v>
      </c>
      <c r="AL147" s="464">
        <f t="shared" si="134"/>
        <v>0.22559999999999999</v>
      </c>
      <c r="AM147" s="464">
        <f t="shared" si="135"/>
        <v>0.18424406779661015</v>
      </c>
      <c r="AN147" s="464">
        <f t="shared" si="114"/>
        <v>0.29759999999999998</v>
      </c>
      <c r="AO147" s="464">
        <f t="shared" si="115"/>
        <v>2.8467820549911331</v>
      </c>
      <c r="AP147" s="100">
        <f t="shared" si="130"/>
        <v>74.519999999999982</v>
      </c>
      <c r="AQ147" s="10">
        <f t="shared" si="116"/>
        <v>0.96320407829593213</v>
      </c>
      <c r="AR147" s="77">
        <f t="shared" si="117"/>
        <v>34.82666816564646</v>
      </c>
      <c r="AS147" s="77">
        <f t="shared" si="118"/>
        <v>13.462129889022819</v>
      </c>
      <c r="AT147" s="10"/>
      <c r="AU147">
        <f t="shared" si="119"/>
        <v>96.320407829593208</v>
      </c>
    </row>
    <row r="148" spans="7:47" x14ac:dyDescent="0.25">
      <c r="G148">
        <v>139</v>
      </c>
      <c r="H148">
        <f t="shared" si="120"/>
        <v>6.2549999999999999</v>
      </c>
      <c r="I148" s="463">
        <f t="shared" si="97"/>
        <v>0.50732039453390476</v>
      </c>
      <c r="J148" s="464">
        <f t="shared" si="121"/>
        <v>2.2381782111789916</v>
      </c>
      <c r="K148" s="464">
        <f t="shared" si="131"/>
        <v>7.3740891055894959</v>
      </c>
      <c r="L148" s="464">
        <f t="shared" si="98"/>
        <v>5.1359108944105039</v>
      </c>
      <c r="M148" s="77">
        <f t="shared" si="122"/>
        <v>0</v>
      </c>
      <c r="N148" s="463">
        <f t="shared" si="99"/>
        <v>6.2882810429732201</v>
      </c>
      <c r="O148" s="463">
        <f t="shared" si="100"/>
        <v>0.49323326067484724</v>
      </c>
      <c r="P148">
        <f t="shared" si="123"/>
        <v>0.4</v>
      </c>
      <c r="Q148" s="463">
        <f t="shared" si="132"/>
        <v>0.89323326067484721</v>
      </c>
      <c r="R148" s="9">
        <f t="shared" si="101"/>
        <v>0.64610639635927303</v>
      </c>
      <c r="S148" s="9">
        <f t="shared" si="102"/>
        <v>4.1745347541636603E-4</v>
      </c>
      <c r="T148" s="9">
        <f t="shared" si="103"/>
        <v>4.1745347541636603E-4</v>
      </c>
      <c r="U148" s="463">
        <f t="shared" si="104"/>
        <v>4.4789179252355886</v>
      </c>
      <c r="V148" s="465">
        <f t="shared" si="105"/>
        <v>2.0060705780996672E-2</v>
      </c>
      <c r="W148" s="463">
        <f t="shared" si="106"/>
        <v>2.0060705780996672E-2</v>
      </c>
      <c r="X148" s="463">
        <f t="shared" si="107"/>
        <v>4.4789179252355886</v>
      </c>
      <c r="Y148" s="463">
        <f t="shared" si="108"/>
        <v>0.4413355271819267</v>
      </c>
      <c r="Z148" s="463">
        <f t="shared" si="124"/>
        <v>0.17491161284127502</v>
      </c>
      <c r="AA148" s="463">
        <f t="shared" si="125"/>
        <v>0.15997440000000002</v>
      </c>
      <c r="AB148" s="463">
        <f t="shared" si="126"/>
        <v>0</v>
      </c>
      <c r="AC148" s="463">
        <f t="shared" si="109"/>
        <v>0.83838291162244516</v>
      </c>
      <c r="AD148" s="463">
        <f t="shared" si="110"/>
        <v>4.4138161147038852</v>
      </c>
      <c r="AE148" s="463">
        <f t="shared" si="111"/>
        <v>0.19481772694419699</v>
      </c>
      <c r="AF148" s="463">
        <f t="shared" si="127"/>
        <v>0.13510799999999998</v>
      </c>
      <c r="AG148" s="463">
        <f t="shared" si="112"/>
        <v>0.34054066424669427</v>
      </c>
      <c r="AH148" s="463">
        <f t="shared" si="113"/>
        <v>0</v>
      </c>
      <c r="AI148">
        <f t="shared" si="128"/>
        <v>0</v>
      </c>
      <c r="AJ148" s="464">
        <f t="shared" si="129"/>
        <v>0.47724780000000006</v>
      </c>
      <c r="AK148">
        <f t="shared" si="133"/>
        <v>7.2000000000000008E-2</v>
      </c>
      <c r="AL148" s="464">
        <f t="shared" si="134"/>
        <v>0.22559999999999999</v>
      </c>
      <c r="AM148" s="464">
        <f t="shared" si="135"/>
        <v>0.18424406779661015</v>
      </c>
      <c r="AN148" s="464">
        <f t="shared" si="114"/>
        <v>0.29759999999999998</v>
      </c>
      <c r="AO148" s="464">
        <f t="shared" si="115"/>
        <v>2.8674827958004001</v>
      </c>
      <c r="AP148" s="100">
        <f t="shared" si="130"/>
        <v>75.06</v>
      </c>
      <c r="AQ148" s="10">
        <f t="shared" si="116"/>
        <v>0.96320318977434072</v>
      </c>
      <c r="AR148" s="77">
        <f t="shared" si="117"/>
        <v>35.212082288142696</v>
      </c>
      <c r="AS148" s="77">
        <f t="shared" si="118"/>
        <v>13.621626569867772</v>
      </c>
      <c r="AT148" s="10"/>
      <c r="AU148">
        <f t="shared" si="119"/>
        <v>96.32031897743407</v>
      </c>
    </row>
    <row r="149" spans="7:47" x14ac:dyDescent="0.25">
      <c r="G149">
        <v>140</v>
      </c>
      <c r="H149">
        <f t="shared" si="120"/>
        <v>6.3</v>
      </c>
      <c r="I149" s="463">
        <f t="shared" si="97"/>
        <v>0.50737322566083165</v>
      </c>
      <c r="J149" s="464">
        <f t="shared" si="121"/>
        <v>2.2384112896801396</v>
      </c>
      <c r="K149" s="464">
        <f t="shared" si="131"/>
        <v>7.4192056448400692</v>
      </c>
      <c r="L149" s="464">
        <f t="shared" si="98"/>
        <v>5.1807943551599305</v>
      </c>
      <c r="M149" s="77">
        <f t="shared" si="122"/>
        <v>0</v>
      </c>
      <c r="N149" s="463">
        <f t="shared" si="99"/>
        <v>6.3330514307991601</v>
      </c>
      <c r="O149" s="463">
        <f t="shared" si="100"/>
        <v>0.50056381313772313</v>
      </c>
      <c r="P149">
        <f t="shared" si="123"/>
        <v>0.4</v>
      </c>
      <c r="Q149" s="463">
        <f t="shared" si="132"/>
        <v>0.90056381313772316</v>
      </c>
      <c r="R149" s="9">
        <f t="shared" si="101"/>
        <v>0.64617368032696298</v>
      </c>
      <c r="S149" s="9">
        <f t="shared" si="102"/>
        <v>4.175404251472922E-4</v>
      </c>
      <c r="T149" s="9">
        <f t="shared" si="103"/>
        <v>4.175404251472922E-4</v>
      </c>
      <c r="U149" s="463">
        <f t="shared" si="104"/>
        <v>4.5110411391195697</v>
      </c>
      <c r="V149" s="465">
        <f t="shared" si="105"/>
        <v>2.0349492158829186E-2</v>
      </c>
      <c r="W149" s="463">
        <f t="shared" si="106"/>
        <v>2.0349492158829186E-2</v>
      </c>
      <c r="X149" s="463">
        <f t="shared" si="107"/>
        <v>4.5110411391195697</v>
      </c>
      <c r="Y149" s="463">
        <f t="shared" si="108"/>
        <v>0.44768882749424205</v>
      </c>
      <c r="Z149" s="463">
        <f t="shared" si="124"/>
        <v>0.17622238717627695</v>
      </c>
      <c r="AA149" s="463">
        <f t="shared" si="125"/>
        <v>0.15997440000000002</v>
      </c>
      <c r="AB149" s="463">
        <f t="shared" si="126"/>
        <v>0</v>
      </c>
      <c r="AC149" s="463">
        <f t="shared" si="109"/>
        <v>0.84763792338454558</v>
      </c>
      <c r="AD149" s="463">
        <f t="shared" si="110"/>
        <v>4.4450026171328751</v>
      </c>
      <c r="AE149" s="463">
        <f t="shared" si="111"/>
        <v>0.1975804826631811</v>
      </c>
      <c r="AF149" s="463">
        <f t="shared" si="127"/>
        <v>0.13607999999999998</v>
      </c>
      <c r="AG149" s="463">
        <f t="shared" si="112"/>
        <v>0.34455278763665209</v>
      </c>
      <c r="AH149" s="463">
        <f t="shared" si="113"/>
        <v>0</v>
      </c>
      <c r="AI149">
        <f t="shared" si="128"/>
        <v>0</v>
      </c>
      <c r="AJ149" s="464">
        <f t="shared" si="129"/>
        <v>0.47722799999999999</v>
      </c>
      <c r="AK149">
        <f t="shared" si="133"/>
        <v>7.2000000000000008E-2</v>
      </c>
      <c r="AL149" s="464">
        <f t="shared" si="134"/>
        <v>0.22559999999999999</v>
      </c>
      <c r="AM149" s="464">
        <f t="shared" si="135"/>
        <v>0.18424406779661015</v>
      </c>
      <c r="AN149" s="464">
        <f t="shared" si="114"/>
        <v>0.29759999999999998</v>
      </c>
      <c r="AO149" s="464">
        <f t="shared" si="115"/>
        <v>2.8883495567428974</v>
      </c>
      <c r="AP149" s="100">
        <f t="shared" si="130"/>
        <v>75.599999999999994</v>
      </c>
      <c r="AQ149" s="10">
        <f t="shared" si="116"/>
        <v>0.96320027656264107</v>
      </c>
      <c r="AR149" s="77">
        <f t="shared" si="117"/>
        <v>35.600792782150911</v>
      </c>
      <c r="AS149" s="77">
        <f t="shared" si="118"/>
        <v>13.782111505466084</v>
      </c>
      <c r="AT149" s="10"/>
      <c r="AU149">
        <f t="shared" si="119"/>
        <v>96.320027656264102</v>
      </c>
    </row>
    <row r="150" spans="7:47" x14ac:dyDescent="0.25">
      <c r="G150">
        <v>141</v>
      </c>
      <c r="H150">
        <f t="shared" si="120"/>
        <v>6.3449999999999998</v>
      </c>
      <c r="I150" s="463">
        <f t="shared" si="97"/>
        <v>0.50742605917272543</v>
      </c>
      <c r="J150" s="464">
        <f t="shared" si="121"/>
        <v>2.2386443787032002</v>
      </c>
      <c r="K150" s="464">
        <f t="shared" si="131"/>
        <v>7.4643221893516003</v>
      </c>
      <c r="L150" s="464">
        <f t="shared" si="98"/>
        <v>5.2256778106483992</v>
      </c>
      <c r="M150" s="77">
        <f t="shared" si="122"/>
        <v>0</v>
      </c>
      <c r="N150" s="463">
        <f t="shared" si="99"/>
        <v>6.3778250515248756</v>
      </c>
      <c r="O150" s="463">
        <f t="shared" si="100"/>
        <v>0.50795527187607525</v>
      </c>
      <c r="P150">
        <f t="shared" si="123"/>
        <v>0.4</v>
      </c>
      <c r="Q150" s="463">
        <f t="shared" si="132"/>
        <v>0.90795527187607528</v>
      </c>
      <c r="R150" s="9">
        <f t="shared" si="101"/>
        <v>0.6462409673320676</v>
      </c>
      <c r="S150" s="9">
        <f t="shared" si="102"/>
        <v>4.1762738785828645E-4</v>
      </c>
      <c r="T150" s="9">
        <f t="shared" si="103"/>
        <v>4.1762738785828645E-4</v>
      </c>
      <c r="U150" s="463">
        <f t="shared" si="104"/>
        <v>4.5431699749744956</v>
      </c>
      <c r="V150" s="465">
        <f t="shared" si="105"/>
        <v>2.0640393421509761E-2</v>
      </c>
      <c r="W150" s="463">
        <f t="shared" si="106"/>
        <v>2.0640393421509761E-2</v>
      </c>
      <c r="X150" s="463">
        <f t="shared" si="107"/>
        <v>4.5431699749744956</v>
      </c>
      <c r="Y150" s="463">
        <f t="shared" si="108"/>
        <v>0.45408865527321468</v>
      </c>
      <c r="Z150" s="463">
        <f t="shared" si="124"/>
        <v>0.1775331614765234</v>
      </c>
      <c r="AA150" s="463">
        <f t="shared" si="125"/>
        <v>0.15997440000000002</v>
      </c>
      <c r="AB150" s="463">
        <f t="shared" si="126"/>
        <v>0</v>
      </c>
      <c r="AC150" s="463">
        <f t="shared" si="109"/>
        <v>0.85697194473210392</v>
      </c>
      <c r="AD150" s="463">
        <f t="shared" si="110"/>
        <v>4.4761879949739063</v>
      </c>
      <c r="AE150" s="463">
        <f t="shared" si="111"/>
        <v>0.20036258966348519</v>
      </c>
      <c r="AF150" s="463">
        <f t="shared" si="127"/>
        <v>0.13705199999999998</v>
      </c>
      <c r="AG150" s="463">
        <f t="shared" si="112"/>
        <v>0.3485896827128151</v>
      </c>
      <c r="AH150" s="463">
        <f t="shared" si="113"/>
        <v>0</v>
      </c>
      <c r="AI150">
        <f t="shared" si="128"/>
        <v>0</v>
      </c>
      <c r="AJ150" s="464">
        <f t="shared" si="129"/>
        <v>0.47720820000000003</v>
      </c>
      <c r="AK150">
        <f t="shared" si="133"/>
        <v>7.2000000000000008E-2</v>
      </c>
      <c r="AL150" s="464">
        <f t="shared" si="134"/>
        <v>0.22559999999999999</v>
      </c>
      <c r="AM150" s="464">
        <f t="shared" si="135"/>
        <v>0.18424406779661015</v>
      </c>
      <c r="AN150" s="464">
        <f t="shared" si="114"/>
        <v>0.29759999999999998</v>
      </c>
      <c r="AO150" s="464">
        <f t="shared" si="115"/>
        <v>2.9093831201303626</v>
      </c>
      <c r="AP150" s="100">
        <f t="shared" si="130"/>
        <v>76.14</v>
      </c>
      <c r="AQ150" s="10">
        <f t="shared" si="116"/>
        <v>0.96319537224333551</v>
      </c>
      <c r="AR150" s="77">
        <f t="shared" si="117"/>
        <v>35.992821678748363</v>
      </c>
      <c r="AS150" s="77">
        <f t="shared" si="118"/>
        <v>13.943587308512605</v>
      </c>
      <c r="AT150" s="10"/>
      <c r="AU150">
        <f t="shared" si="119"/>
        <v>96.319537224333544</v>
      </c>
    </row>
    <row r="151" spans="7:47" x14ac:dyDescent="0.25">
      <c r="G151">
        <v>142</v>
      </c>
      <c r="H151">
        <f t="shared" si="120"/>
        <v>6.39</v>
      </c>
      <c r="I151" s="463">
        <f t="shared" si="97"/>
        <v>0.50747889506974786</v>
      </c>
      <c r="J151" s="464">
        <f t="shared" si="121"/>
        <v>2.2388774782488872</v>
      </c>
      <c r="K151" s="464">
        <f t="shared" si="131"/>
        <v>7.5094387391244428</v>
      </c>
      <c r="L151" s="464">
        <f t="shared" si="98"/>
        <v>5.2705612608755565</v>
      </c>
      <c r="M151" s="77">
        <f t="shared" si="122"/>
        <v>0</v>
      </c>
      <c r="N151" s="463">
        <f t="shared" si="99"/>
        <v>6.4226018375383385</v>
      </c>
      <c r="O151" s="463">
        <f t="shared" si="100"/>
        <v>0.51540783060315465</v>
      </c>
      <c r="P151">
        <f t="shared" si="123"/>
        <v>0.4</v>
      </c>
      <c r="Q151" s="463">
        <f t="shared" si="132"/>
        <v>0.91540783060315467</v>
      </c>
      <c r="R151" s="9">
        <f t="shared" si="101"/>
        <v>0.64630825737479281</v>
      </c>
      <c r="S151" s="9">
        <f t="shared" si="102"/>
        <v>4.1771436355084141E-4</v>
      </c>
      <c r="T151" s="9">
        <f t="shared" si="103"/>
        <v>4.1771436355084141E-4</v>
      </c>
      <c r="U151" s="463">
        <f t="shared" si="104"/>
        <v>4.5753043849613979</v>
      </c>
      <c r="V151" s="465">
        <f t="shared" si="105"/>
        <v>2.0933410215046994E-2</v>
      </c>
      <c r="W151" s="463">
        <f t="shared" si="106"/>
        <v>2.0933410215046994E-2</v>
      </c>
      <c r="X151" s="463">
        <f t="shared" si="107"/>
        <v>4.5753043849613979</v>
      </c>
      <c r="Y151" s="463">
        <f t="shared" si="108"/>
        <v>0.46053502473103386</v>
      </c>
      <c r="Z151" s="463">
        <f t="shared" si="124"/>
        <v>0.17884393574201207</v>
      </c>
      <c r="AA151" s="463">
        <f t="shared" si="125"/>
        <v>0.15997440000000002</v>
      </c>
      <c r="AB151" s="463">
        <f t="shared" si="126"/>
        <v>0</v>
      </c>
      <c r="AC151" s="463">
        <f t="shared" si="109"/>
        <v>0.86638550676485215</v>
      </c>
      <c r="AD151" s="463">
        <f t="shared" si="110"/>
        <v>4.5073721999080405</v>
      </c>
      <c r="AE151" s="463">
        <f t="shared" si="111"/>
        <v>0.2031640414850385</v>
      </c>
      <c r="AF151" s="463">
        <f t="shared" si="127"/>
        <v>0.13802399999999998</v>
      </c>
      <c r="AG151" s="463">
        <f t="shared" si="112"/>
        <v>0.35265141537016181</v>
      </c>
      <c r="AH151" s="463">
        <f t="shared" si="113"/>
        <v>0</v>
      </c>
      <c r="AI151">
        <f t="shared" si="128"/>
        <v>0</v>
      </c>
      <c r="AJ151" s="464">
        <f t="shared" si="129"/>
        <v>0.47718840000000001</v>
      </c>
      <c r="AK151">
        <f t="shared" si="133"/>
        <v>7.2000000000000008E-2</v>
      </c>
      <c r="AL151" s="464">
        <f t="shared" si="134"/>
        <v>0.22559999999999999</v>
      </c>
      <c r="AM151" s="464">
        <f t="shared" si="135"/>
        <v>0.18424406779661015</v>
      </c>
      <c r="AN151" s="464">
        <f t="shared" si="114"/>
        <v>0.29759999999999998</v>
      </c>
      <c r="AO151" s="464">
        <f t="shared" si="115"/>
        <v>2.9305842773167665</v>
      </c>
      <c r="AP151" s="100">
        <f t="shared" si="130"/>
        <v>76.679999999999993</v>
      </c>
      <c r="AQ151" s="10">
        <f t="shared" si="116"/>
        <v>0.96318850936819755</v>
      </c>
      <c r="AR151" s="77">
        <f t="shared" si="117"/>
        <v>36.388191284123792</v>
      </c>
      <c r="AS151" s="77">
        <f t="shared" si="118"/>
        <v>14.106056614806473</v>
      </c>
      <c r="AT151" s="10"/>
      <c r="AU151">
        <f t="shared" si="119"/>
        <v>96.318850936819757</v>
      </c>
    </row>
    <row r="152" spans="7:47" x14ac:dyDescent="0.25">
      <c r="G152">
        <v>143</v>
      </c>
      <c r="H152">
        <f t="shared" si="120"/>
        <v>6.4349999999999996</v>
      </c>
      <c r="I152" s="463">
        <f t="shared" si="97"/>
        <v>0.50753173335206025</v>
      </c>
      <c r="J152" s="464">
        <f t="shared" si="121"/>
        <v>2.2391105883179128</v>
      </c>
      <c r="K152" s="464">
        <f t="shared" si="131"/>
        <v>7.5545552941589555</v>
      </c>
      <c r="L152" s="464">
        <f t="shared" si="98"/>
        <v>5.3154447058410437</v>
      </c>
      <c r="M152" s="77">
        <f t="shared" si="122"/>
        <v>0</v>
      </c>
      <c r="N152" s="463">
        <f t="shared" si="99"/>
        <v>6.4673817230952464</v>
      </c>
      <c r="O152" s="463">
        <f t="shared" si="100"/>
        <v>0.52292168495980307</v>
      </c>
      <c r="P152">
        <f t="shared" si="123"/>
        <v>0.4</v>
      </c>
      <c r="Q152" s="463">
        <f t="shared" si="132"/>
        <v>0.92292168495980309</v>
      </c>
      <c r="R152" s="9">
        <f t="shared" si="101"/>
        <v>0.64637555045534412</v>
      </c>
      <c r="S152" s="9">
        <f t="shared" si="102"/>
        <v>4.178013522264491E-4</v>
      </c>
      <c r="T152" s="9">
        <f t="shared" si="103"/>
        <v>4.178013522264491E-4</v>
      </c>
      <c r="U152" s="463">
        <f t="shared" si="104"/>
        <v>4.6074443225618893</v>
      </c>
      <c r="V152" s="465">
        <f t="shared" si="105"/>
        <v>2.1228543185507785E-2</v>
      </c>
      <c r="W152" s="463">
        <f t="shared" si="106"/>
        <v>2.1228543185507785E-2</v>
      </c>
      <c r="X152" s="463">
        <f t="shared" si="107"/>
        <v>4.6074443225618893</v>
      </c>
      <c r="Y152" s="463">
        <f t="shared" si="108"/>
        <v>0.46702795008117126</v>
      </c>
      <c r="Z152" s="463">
        <f t="shared" si="124"/>
        <v>0.18015470997274061</v>
      </c>
      <c r="AA152" s="463">
        <f t="shared" si="125"/>
        <v>0.15997440000000002</v>
      </c>
      <c r="AB152" s="463">
        <f t="shared" si="126"/>
        <v>0</v>
      </c>
      <c r="AC152" s="463">
        <f t="shared" si="109"/>
        <v>0.87587914721812488</v>
      </c>
      <c r="AD152" s="463">
        <f t="shared" si="110"/>
        <v>4.5385551849370138</v>
      </c>
      <c r="AE152" s="463">
        <f t="shared" si="111"/>
        <v>0.20598483166718651</v>
      </c>
      <c r="AF152" s="463">
        <f t="shared" si="127"/>
        <v>0.13899599999999998</v>
      </c>
      <c r="AG152" s="463">
        <f t="shared" si="112"/>
        <v>0.35673805208444981</v>
      </c>
      <c r="AH152" s="463">
        <f t="shared" si="113"/>
        <v>0</v>
      </c>
      <c r="AI152">
        <f t="shared" si="128"/>
        <v>0</v>
      </c>
      <c r="AJ152" s="464">
        <f t="shared" si="129"/>
        <v>0.4771686</v>
      </c>
      <c r="AK152">
        <f t="shared" si="133"/>
        <v>7.2000000000000008E-2</v>
      </c>
      <c r="AL152" s="464">
        <f t="shared" si="134"/>
        <v>0.22559999999999999</v>
      </c>
      <c r="AM152" s="464">
        <f t="shared" si="135"/>
        <v>0.18424406779661015</v>
      </c>
      <c r="AN152" s="464">
        <f t="shared" si="114"/>
        <v>0.29759999999999998</v>
      </c>
      <c r="AO152" s="464">
        <f t="shared" si="115"/>
        <v>2.9519538288001121</v>
      </c>
      <c r="AP152" s="100">
        <f t="shared" si="130"/>
        <v>77.22</v>
      </c>
      <c r="AQ152" s="10">
        <f t="shared" si="116"/>
        <v>0.96317971949263281</v>
      </c>
      <c r="AR152" s="77">
        <f t="shared" si="117"/>
        <v>36.786924183161247</v>
      </c>
      <c r="AS152" s="77">
        <f t="shared" si="118"/>
        <v>14.269522083377993</v>
      </c>
      <c r="AT152" s="10"/>
      <c r="AU152">
        <f t="shared" si="119"/>
        <v>96.317971949263281</v>
      </c>
    </row>
    <row r="153" spans="7:47" x14ac:dyDescent="0.25">
      <c r="G153">
        <v>144</v>
      </c>
      <c r="H153">
        <f t="shared" si="120"/>
        <v>6.4799999999999995</v>
      </c>
      <c r="I153" s="463">
        <f t="shared" si="97"/>
        <v>0.50758457401982415</v>
      </c>
      <c r="J153" s="464">
        <f t="shared" si="121"/>
        <v>2.2393437089109889</v>
      </c>
      <c r="K153" s="464">
        <f t="shared" si="131"/>
        <v>7.5996718544554938</v>
      </c>
      <c r="L153" s="464">
        <f t="shared" si="98"/>
        <v>5.3603281455445053</v>
      </c>
      <c r="M153" s="77">
        <f t="shared" si="122"/>
        <v>0</v>
      </c>
      <c r="N153" s="463">
        <f t="shared" si="99"/>
        <v>6.512164644255134</v>
      </c>
      <c r="O153" s="463">
        <f t="shared" si="100"/>
        <v>0.53049703252791092</v>
      </c>
      <c r="P153">
        <f t="shared" si="123"/>
        <v>0.4</v>
      </c>
      <c r="Q153" s="463">
        <f t="shared" si="132"/>
        <v>0.93049703252791094</v>
      </c>
      <c r="R153" s="9">
        <f t="shared" si="101"/>
        <v>0.64644284657392725</v>
      </c>
      <c r="S153" s="9">
        <f t="shared" si="102"/>
        <v>4.1788835388660209E-4</v>
      </c>
      <c r="T153" s="9">
        <f t="shared" si="103"/>
        <v>4.1788835388660209E-4</v>
      </c>
      <c r="U153" s="463">
        <f t="shared" si="104"/>
        <v>4.6395897425329968</v>
      </c>
      <c r="V153" s="465">
        <f t="shared" si="105"/>
        <v>2.15257929790174E-2</v>
      </c>
      <c r="W153" s="463">
        <f t="shared" si="106"/>
        <v>2.15257929790174E-2</v>
      </c>
      <c r="X153" s="463">
        <f t="shared" si="107"/>
        <v>4.6395897425329968</v>
      </c>
      <c r="Y153" s="463">
        <f t="shared" si="108"/>
        <v>0.47356744553838276</v>
      </c>
      <c r="Z153" s="463">
        <f t="shared" si="124"/>
        <v>0.18146548416870661</v>
      </c>
      <c r="AA153" s="463">
        <f t="shared" si="125"/>
        <v>0.15997440000000002</v>
      </c>
      <c r="AB153" s="463">
        <f t="shared" si="126"/>
        <v>0</v>
      </c>
      <c r="AC153" s="463">
        <f t="shared" si="109"/>
        <v>0.88545341054966831</v>
      </c>
      <c r="AD153" s="463">
        <f t="shared" si="110"/>
        <v>4.5697369043380602</v>
      </c>
      <c r="AE153" s="463">
        <f t="shared" si="111"/>
        <v>0.20882495374869198</v>
      </c>
      <c r="AF153" s="463">
        <f t="shared" si="127"/>
        <v>0.13996799999999998</v>
      </c>
      <c r="AG153" s="463">
        <f t="shared" si="112"/>
        <v>0.36084965991542306</v>
      </c>
      <c r="AH153" s="463">
        <f t="shared" si="113"/>
        <v>0</v>
      </c>
      <c r="AI153">
        <f t="shared" si="128"/>
        <v>0</v>
      </c>
      <c r="AJ153" s="464">
        <f t="shared" si="129"/>
        <v>0.47714880000000004</v>
      </c>
      <c r="AK153">
        <f t="shared" si="133"/>
        <v>7.2000000000000008E-2</v>
      </c>
      <c r="AL153" s="464">
        <f t="shared" si="134"/>
        <v>0.22559999999999999</v>
      </c>
      <c r="AM153" s="464">
        <f t="shared" si="135"/>
        <v>0.18424406779661015</v>
      </c>
      <c r="AN153" s="464">
        <f t="shared" si="114"/>
        <v>0.29759999999999998</v>
      </c>
      <c r="AO153" s="464">
        <f t="shared" si="115"/>
        <v>2.9734925843259066</v>
      </c>
      <c r="AP153" s="100">
        <f t="shared" si="130"/>
        <v>77.759999999999991</v>
      </c>
      <c r="AQ153" s="10">
        <f t="shared" si="116"/>
        <v>0.96316903320861402</v>
      </c>
      <c r="AR153" s="77">
        <f t="shared" si="117"/>
        <v>37.189043243086068</v>
      </c>
      <c r="AS153" s="77">
        <f t="shared" si="118"/>
        <v>14.433986396616923</v>
      </c>
      <c r="AT153" s="10"/>
      <c r="AU153">
        <f t="shared" si="119"/>
        <v>96.3169033208614</v>
      </c>
    </row>
    <row r="154" spans="7:47" x14ac:dyDescent="0.25">
      <c r="G154">
        <v>145</v>
      </c>
      <c r="H154">
        <f t="shared" si="120"/>
        <v>6.5249999999999995</v>
      </c>
      <c r="I154" s="463">
        <f t="shared" si="97"/>
        <v>0.50763741707320142</v>
      </c>
      <c r="J154" s="464">
        <f t="shared" si="121"/>
        <v>2.2395768400288296</v>
      </c>
      <c r="K154" s="464">
        <f t="shared" si="131"/>
        <v>7.6447884200144145</v>
      </c>
      <c r="L154" s="464">
        <f t="shared" si="98"/>
        <v>5.4052115799855844</v>
      </c>
      <c r="M154" s="77">
        <f t="shared" si="122"/>
        <v>0</v>
      </c>
      <c r="N154" s="463">
        <f t="shared" si="99"/>
        <v>6.5569505388200691</v>
      </c>
      <c r="O154" s="463">
        <f t="shared" si="100"/>
        <v>0.53813407284403925</v>
      </c>
      <c r="P154">
        <f t="shared" si="123"/>
        <v>0.4</v>
      </c>
      <c r="Q154" s="463">
        <f t="shared" si="132"/>
        <v>0.93813407284403927</v>
      </c>
      <c r="R154" s="9">
        <f t="shared" si="101"/>
        <v>0.64651014573074816</v>
      </c>
      <c r="S154" s="9">
        <f t="shared" si="102"/>
        <v>4.1797536853279321E-4</v>
      </c>
      <c r="T154" s="9">
        <f t="shared" si="103"/>
        <v>4.1797536853279321E-4</v>
      </c>
      <c r="U154" s="463">
        <f t="shared" si="104"/>
        <v>4.671740600863818</v>
      </c>
      <c r="V154" s="465">
        <f t="shared" si="105"/>
        <v>2.1825160241759428E-2</v>
      </c>
      <c r="W154" s="463">
        <f t="shared" si="106"/>
        <v>2.1825160241759428E-2</v>
      </c>
      <c r="X154" s="463">
        <f t="shared" si="107"/>
        <v>4.671740600863818</v>
      </c>
      <c r="Y154" s="463">
        <f t="shared" si="108"/>
        <v>0.48015352531870736</v>
      </c>
      <c r="Z154" s="463">
        <f t="shared" si="124"/>
        <v>0.18277625832990779</v>
      </c>
      <c r="AA154" s="463">
        <f t="shared" si="125"/>
        <v>0.15997440000000002</v>
      </c>
      <c r="AB154" s="463">
        <f t="shared" si="126"/>
        <v>0</v>
      </c>
      <c r="AC154" s="463">
        <f t="shared" si="109"/>
        <v>0.89510884802794555</v>
      </c>
      <c r="AD154" s="463">
        <f t="shared" si="110"/>
        <v>4.6009173136205535</v>
      </c>
      <c r="AE154" s="463">
        <f t="shared" si="111"/>
        <v>0.21168440126773369</v>
      </c>
      <c r="AF154" s="463">
        <f t="shared" si="127"/>
        <v>0.14093999999999998</v>
      </c>
      <c r="AG154" s="463">
        <f t="shared" si="112"/>
        <v>0.36498630651005404</v>
      </c>
      <c r="AH154" s="463">
        <f t="shared" si="113"/>
        <v>0</v>
      </c>
      <c r="AI154">
        <f t="shared" si="128"/>
        <v>0</v>
      </c>
      <c r="AJ154" s="464">
        <f t="shared" si="129"/>
        <v>0.47712899999999997</v>
      </c>
      <c r="AK154">
        <f t="shared" si="133"/>
        <v>7.2000000000000008E-2</v>
      </c>
      <c r="AL154" s="464">
        <f t="shared" si="134"/>
        <v>0.22559999999999999</v>
      </c>
      <c r="AM154" s="464">
        <f t="shared" si="135"/>
        <v>0.18424406779661015</v>
      </c>
      <c r="AN154" s="464">
        <f t="shared" si="114"/>
        <v>0.29759999999999998</v>
      </c>
      <c r="AO154" s="464">
        <f t="shared" si="115"/>
        <v>2.9952013629923311</v>
      </c>
      <c r="AP154" s="100">
        <f t="shared" si="130"/>
        <v>78.3</v>
      </c>
      <c r="AQ154" s="10">
        <f t="shared" si="116"/>
        <v>0.9631564801762601</v>
      </c>
      <c r="AR154" s="77">
        <f t="shared" si="117"/>
        <v>37.594571617173713</v>
      </c>
      <c r="AS154" s="77">
        <f t="shared" si="118"/>
        <v>14.599452260402161</v>
      </c>
      <c r="AT154" s="10"/>
      <c r="AU154">
        <f t="shared" si="119"/>
        <v>96.315648017626003</v>
      </c>
    </row>
    <row r="155" spans="7:47" x14ac:dyDescent="0.25">
      <c r="G155">
        <v>146</v>
      </c>
      <c r="H155">
        <f t="shared" si="120"/>
        <v>6.57</v>
      </c>
      <c r="I155" s="463">
        <f t="shared" si="97"/>
        <v>0.50769026251235305</v>
      </c>
      <c r="J155" s="464">
        <f t="shared" si="121"/>
        <v>2.239809981672146</v>
      </c>
      <c r="K155" s="464">
        <f t="shared" si="131"/>
        <v>7.689904990836073</v>
      </c>
      <c r="L155" s="464">
        <f t="shared" si="98"/>
        <v>5.4500950091639275</v>
      </c>
      <c r="M155" s="77">
        <f t="shared" si="122"/>
        <v>0</v>
      </c>
      <c r="N155" s="463">
        <f t="shared" si="99"/>
        <v>6.6017393462758367</v>
      </c>
      <c r="O155" s="463">
        <f t="shared" si="100"/>
        <v>0.5458330074132075</v>
      </c>
      <c r="P155">
        <f t="shared" si="123"/>
        <v>0.4</v>
      </c>
      <c r="Q155" s="463">
        <f t="shared" si="132"/>
        <v>0.94583300741320753</v>
      </c>
      <c r="R155" s="9">
        <f t="shared" si="101"/>
        <v>0.64657744792601213</v>
      </c>
      <c r="S155" s="9">
        <f t="shared" si="102"/>
        <v>4.1806239616651493E-4</v>
      </c>
      <c r="T155" s="9">
        <f t="shared" si="103"/>
        <v>4.1806239616651493E-4</v>
      </c>
      <c r="U155" s="463">
        <f t="shared" si="104"/>
        <v>4.7038968547339337</v>
      </c>
      <c r="V155" s="465">
        <f t="shared" si="105"/>
        <v>2.2126645619975793E-2</v>
      </c>
      <c r="W155" s="463">
        <f t="shared" si="106"/>
        <v>2.2126645619975793E-2</v>
      </c>
      <c r="X155" s="463">
        <f t="shared" si="107"/>
        <v>4.7038968547339337</v>
      </c>
      <c r="Y155" s="463">
        <f t="shared" si="108"/>
        <v>0.4867862036394674</v>
      </c>
      <c r="Z155" s="463">
        <f t="shared" si="124"/>
        <v>0.18408703245634175</v>
      </c>
      <c r="AA155" s="463">
        <f t="shared" si="125"/>
        <v>0.15997440000000002</v>
      </c>
      <c r="AB155" s="463">
        <f t="shared" si="126"/>
        <v>0</v>
      </c>
      <c r="AC155" s="463">
        <f t="shared" si="109"/>
        <v>0.90484601782197593</v>
      </c>
      <c r="AD155" s="463">
        <f t="shared" si="110"/>
        <v>4.6320963694844179</v>
      </c>
      <c r="AE155" s="463">
        <f t="shared" si="111"/>
        <v>0.21456316776190726</v>
      </c>
      <c r="AF155" s="463">
        <f t="shared" si="127"/>
        <v>0.14191199999999998</v>
      </c>
      <c r="AG155" s="463">
        <f t="shared" si="112"/>
        <v>0.36914806010582213</v>
      </c>
      <c r="AH155" s="463">
        <f t="shared" si="113"/>
        <v>0</v>
      </c>
      <c r="AI155">
        <f t="shared" si="128"/>
        <v>0</v>
      </c>
      <c r="AJ155" s="464">
        <f t="shared" si="129"/>
        <v>0.47710920000000001</v>
      </c>
      <c r="AK155">
        <f t="shared" si="133"/>
        <v>7.2000000000000008E-2</v>
      </c>
      <c r="AL155" s="464">
        <f t="shared" si="134"/>
        <v>0.22559999999999999</v>
      </c>
      <c r="AM155" s="464">
        <f t="shared" si="135"/>
        <v>0.18424406779661015</v>
      </c>
      <c r="AN155" s="464">
        <f t="shared" si="114"/>
        <v>0.29759999999999998</v>
      </c>
      <c r="AO155" s="464">
        <f t="shared" si="115"/>
        <v>3.0170809933571481</v>
      </c>
      <c r="AP155" s="100">
        <f t="shared" si="130"/>
        <v>78.84</v>
      </c>
      <c r="AQ155" s="10">
        <f t="shared" si="116"/>
        <v>0.96314208915411981</v>
      </c>
      <c r="AR155" s="77">
        <f t="shared" si="117"/>
        <v>38.003532748522986</v>
      </c>
      <c r="AS155" s="77">
        <f t="shared" si="118"/>
        <v>14.765922404232885</v>
      </c>
      <c r="AT155" s="10"/>
      <c r="AU155">
        <f t="shared" si="119"/>
        <v>96.314208915411982</v>
      </c>
    </row>
    <row r="156" spans="7:47" x14ac:dyDescent="0.25">
      <c r="G156">
        <v>147</v>
      </c>
      <c r="H156">
        <f t="shared" si="120"/>
        <v>6.6150000000000002</v>
      </c>
      <c r="I156" s="463">
        <f t="shared" si="97"/>
        <v>0.50774311033744113</v>
      </c>
      <c r="J156" s="464">
        <f t="shared" si="121"/>
        <v>2.240043133841652</v>
      </c>
      <c r="K156" s="464">
        <f t="shared" si="131"/>
        <v>7.7350215669208264</v>
      </c>
      <c r="L156" s="464">
        <f t="shared" si="98"/>
        <v>5.494978433079174</v>
      </c>
      <c r="M156" s="77">
        <f t="shared" si="122"/>
        <v>0</v>
      </c>
      <c r="N156" s="463">
        <f t="shared" si="99"/>
        <v>6.6465310077354838</v>
      </c>
      <c r="O156" s="463">
        <f t="shared" si="100"/>
        <v>0.55359403972285193</v>
      </c>
      <c r="P156">
        <f t="shared" si="123"/>
        <v>0.4</v>
      </c>
      <c r="Q156" s="463">
        <f t="shared" si="132"/>
        <v>0.95359403972285195</v>
      </c>
      <c r="R156" s="9">
        <f t="shared" si="101"/>
        <v>0.64664475315992542</v>
      </c>
      <c r="S156" s="9">
        <f t="shared" si="102"/>
        <v>4.1814943678926089E-4</v>
      </c>
      <c r="T156" s="9">
        <f t="shared" si="103"/>
        <v>4.1814943678926089E-4</v>
      </c>
      <c r="U156" s="463">
        <f t="shared" si="104"/>
        <v>4.7360584624734949</v>
      </c>
      <c r="V156" s="465">
        <f t="shared" si="105"/>
        <v>2.2430249759966808E-2</v>
      </c>
      <c r="W156" s="463">
        <f t="shared" si="106"/>
        <v>2.2430249759966808E-2</v>
      </c>
      <c r="X156" s="463">
        <f t="shared" si="107"/>
        <v>4.7360584624734949</v>
      </c>
      <c r="Y156" s="463">
        <f t="shared" si="108"/>
        <v>0.4934654947192697</v>
      </c>
      <c r="Z156" s="463">
        <f t="shared" si="124"/>
        <v>0.18539780654800611</v>
      </c>
      <c r="AA156" s="463">
        <f t="shared" si="125"/>
        <v>0.15997440000000002</v>
      </c>
      <c r="AB156" s="463">
        <f t="shared" si="126"/>
        <v>0</v>
      </c>
      <c r="AC156" s="463">
        <f t="shared" si="109"/>
        <v>0.9146654850927356</v>
      </c>
      <c r="AD156" s="463">
        <f t="shared" si="110"/>
        <v>4.6632740297801991</v>
      </c>
      <c r="AE156" s="463">
        <f t="shared" si="111"/>
        <v>0.21746124676822459</v>
      </c>
      <c r="AF156" s="463">
        <f t="shared" si="127"/>
        <v>0.14288399999999998</v>
      </c>
      <c r="AG156" s="463">
        <f t="shared" si="112"/>
        <v>0.37333498953402805</v>
      </c>
      <c r="AH156" s="463">
        <f t="shared" si="113"/>
        <v>0</v>
      </c>
      <c r="AI156">
        <f t="shared" si="128"/>
        <v>0</v>
      </c>
      <c r="AJ156" s="464">
        <f t="shared" si="129"/>
        <v>0.4770894</v>
      </c>
      <c r="AK156">
        <f t="shared" si="133"/>
        <v>7.2000000000000008E-2</v>
      </c>
      <c r="AL156" s="464">
        <f t="shared" si="134"/>
        <v>0.22559999999999999</v>
      </c>
      <c r="AM156" s="464">
        <f t="shared" si="135"/>
        <v>0.18424406779661015</v>
      </c>
      <c r="AN156" s="464">
        <f t="shared" si="114"/>
        <v>0.29759999999999998</v>
      </c>
      <c r="AO156" s="464">
        <f t="shared" si="115"/>
        <v>3.0391323135463715</v>
      </c>
      <c r="AP156" s="100">
        <f t="shared" si="130"/>
        <v>79.38</v>
      </c>
      <c r="AQ156" s="10">
        <f t="shared" si="116"/>
        <v>0.96312588802822341</v>
      </c>
      <c r="AR156" s="77">
        <f t="shared" si="117"/>
        <v>38.415950373894894</v>
      </c>
      <c r="AS156" s="77">
        <f t="shared" si="118"/>
        <v>14.933399581361122</v>
      </c>
      <c r="AT156" s="10"/>
      <c r="AU156">
        <f t="shared" si="119"/>
        <v>96.312588802822347</v>
      </c>
    </row>
    <row r="157" spans="7:47" x14ac:dyDescent="0.25">
      <c r="G157">
        <v>148</v>
      </c>
      <c r="H157">
        <f t="shared" si="120"/>
        <v>6.66</v>
      </c>
      <c r="I157" s="463">
        <f t="shared" si="97"/>
        <v>0.50779596054862686</v>
      </c>
      <c r="J157" s="464">
        <f t="shared" si="121"/>
        <v>2.2402762965380596</v>
      </c>
      <c r="K157" s="464">
        <f t="shared" si="131"/>
        <v>7.7801381482690299</v>
      </c>
      <c r="L157" s="464">
        <f t="shared" si="98"/>
        <v>5.5398618517309703</v>
      </c>
      <c r="M157" s="77">
        <f t="shared" si="122"/>
        <v>0</v>
      </c>
      <c r="N157" s="463">
        <f t="shared" si="99"/>
        <v>6.6913254658851056</v>
      </c>
      <c r="O157" s="463">
        <f t="shared" si="100"/>
        <v>0.56141737525695101</v>
      </c>
      <c r="P157">
        <f t="shared" si="123"/>
        <v>0.4</v>
      </c>
      <c r="Q157" s="463">
        <f t="shared" si="132"/>
        <v>0.96141737525695103</v>
      </c>
      <c r="R157" s="9">
        <f t="shared" si="101"/>
        <v>0.64671206143269333</v>
      </c>
      <c r="S157" s="9">
        <f t="shared" si="102"/>
        <v>4.1823649040252371E-4</v>
      </c>
      <c r="T157" s="9">
        <f t="shared" si="103"/>
        <v>4.1823649040252371E-4</v>
      </c>
      <c r="U157" s="463">
        <f t="shared" si="104"/>
        <v>4.768225383524892</v>
      </c>
      <c r="V157" s="465">
        <f t="shared" si="105"/>
        <v>2.2735973308091104E-2</v>
      </c>
      <c r="W157" s="463">
        <f t="shared" si="106"/>
        <v>2.2735973308091104E-2</v>
      </c>
      <c r="X157" s="463">
        <f t="shared" si="107"/>
        <v>4.768225383524892</v>
      </c>
      <c r="Y157" s="463">
        <f t="shared" si="108"/>
        <v>0.50019141277800427</v>
      </c>
      <c r="Z157" s="463">
        <f t="shared" si="124"/>
        <v>0.18670858060489859</v>
      </c>
      <c r="AA157" s="463">
        <f t="shared" si="125"/>
        <v>0.15997440000000002</v>
      </c>
      <c r="AB157" s="463">
        <f t="shared" si="126"/>
        <v>0</v>
      </c>
      <c r="AC157" s="463">
        <f t="shared" si="109"/>
        <v>0.92456782208614585</v>
      </c>
      <c r="AD157" s="463">
        <f t="shared" si="110"/>
        <v>4.6944502534707313</v>
      </c>
      <c r="AE157" s="463">
        <f t="shared" si="111"/>
        <v>0.22037863182311412</v>
      </c>
      <c r="AF157" s="463">
        <f t="shared" si="127"/>
        <v>0.14385599999999998</v>
      </c>
      <c r="AG157" s="463">
        <f t="shared" si="112"/>
        <v>0.37754716422314505</v>
      </c>
      <c r="AH157" s="463">
        <f t="shared" si="113"/>
        <v>0</v>
      </c>
      <c r="AI157">
        <f t="shared" si="128"/>
        <v>0</v>
      </c>
      <c r="AJ157" s="464">
        <f t="shared" si="129"/>
        <v>0.47706960000000004</v>
      </c>
      <c r="AK157">
        <f t="shared" si="133"/>
        <v>7.2000000000000008E-2</v>
      </c>
      <c r="AL157" s="464">
        <f t="shared" si="134"/>
        <v>0.22559999999999999</v>
      </c>
      <c r="AM157" s="464">
        <f t="shared" si="135"/>
        <v>0.18424406779661015</v>
      </c>
      <c r="AN157" s="464">
        <f t="shared" si="114"/>
        <v>0.29759999999999998</v>
      </c>
      <c r="AO157" s="464">
        <f t="shared" si="115"/>
        <v>3.0613561713647357</v>
      </c>
      <c r="AP157" s="100">
        <f t="shared" si="130"/>
        <v>79.92</v>
      </c>
      <c r="AQ157" s="10">
        <f t="shared" si="116"/>
        <v>0.96310790383995737</v>
      </c>
      <c r="AR157" s="77">
        <f t="shared" si="117"/>
        <v>38.831848527618128</v>
      </c>
      <c r="AS157" s="77">
        <f t="shared" si="118"/>
        <v>15.101886568925803</v>
      </c>
      <c r="AT157" s="10"/>
      <c r="AU157">
        <f t="shared" si="119"/>
        <v>96.310790383995737</v>
      </c>
    </row>
    <row r="158" spans="7:47" x14ac:dyDescent="0.25">
      <c r="G158">
        <v>149</v>
      </c>
      <c r="H158">
        <f t="shared" si="120"/>
        <v>6.7050000000000001</v>
      </c>
      <c r="I158" s="463">
        <f t="shared" si="97"/>
        <v>0.50784881314607222</v>
      </c>
      <c r="J158" s="464">
        <f t="shared" si="121"/>
        <v>2.2405094697620829</v>
      </c>
      <c r="K158" s="464">
        <f t="shared" si="131"/>
        <v>7.8252547348810415</v>
      </c>
      <c r="L158" s="464">
        <f t="shared" si="98"/>
        <v>5.5847452651189586</v>
      </c>
      <c r="M158" s="77">
        <f t="shared" si="122"/>
        <v>0</v>
      </c>
      <c r="N158" s="463">
        <f t="shared" si="99"/>
        <v>6.7361226649317931</v>
      </c>
      <c r="O158" s="463">
        <f t="shared" si="100"/>
        <v>0.56930322151032575</v>
      </c>
      <c r="P158">
        <f t="shared" si="123"/>
        <v>0.4</v>
      </c>
      <c r="Q158" s="463">
        <f t="shared" si="132"/>
        <v>0.96930322151032577</v>
      </c>
      <c r="R158" s="9">
        <f t="shared" si="101"/>
        <v>0.64677937274452213</v>
      </c>
      <c r="S158" s="9">
        <f t="shared" si="102"/>
        <v>4.1832355700779748E-4</v>
      </c>
      <c r="T158" s="9">
        <f t="shared" si="103"/>
        <v>4.1832355700779748E-4</v>
      </c>
      <c r="U158" s="463">
        <f t="shared" si="104"/>
        <v>4.8003975784059545</v>
      </c>
      <c r="V158" s="465">
        <f t="shared" si="105"/>
        <v>2.3043816910765753E-2</v>
      </c>
      <c r="W158" s="463">
        <f t="shared" si="106"/>
        <v>2.3043816910765753E-2</v>
      </c>
      <c r="X158" s="463">
        <f t="shared" si="107"/>
        <v>4.8003975784059545</v>
      </c>
      <c r="Y158" s="463">
        <f t="shared" si="108"/>
        <v>0.50696397203684651</v>
      </c>
      <c r="Z158" s="463">
        <f t="shared" si="124"/>
        <v>0.18801935462701677</v>
      </c>
      <c r="AA158" s="463">
        <f t="shared" si="125"/>
        <v>0.15997440000000002</v>
      </c>
      <c r="AB158" s="463">
        <f t="shared" si="126"/>
        <v>0</v>
      </c>
      <c r="AC158" s="463">
        <f t="shared" si="109"/>
        <v>0.93455360822768707</v>
      </c>
      <c r="AD158" s="463">
        <f t="shared" si="110"/>
        <v>4.7256250005943183</v>
      </c>
      <c r="AE158" s="463">
        <f t="shared" si="111"/>
        <v>0.22331531646242053</v>
      </c>
      <c r="AF158" s="463">
        <f t="shared" si="127"/>
        <v>0.14482799999999998</v>
      </c>
      <c r="AG158" s="463">
        <f t="shared" si="112"/>
        <v>0.38178465420220631</v>
      </c>
      <c r="AH158" s="463">
        <f t="shared" si="113"/>
        <v>0</v>
      </c>
      <c r="AI158">
        <f t="shared" si="128"/>
        <v>0</v>
      </c>
      <c r="AJ158" s="464">
        <f t="shared" si="129"/>
        <v>0.47704980000000002</v>
      </c>
      <c r="AK158">
        <f t="shared" si="133"/>
        <v>7.2000000000000008E-2</v>
      </c>
      <c r="AL158" s="464">
        <f t="shared" si="134"/>
        <v>0.22559999999999999</v>
      </c>
      <c r="AM158" s="464">
        <f t="shared" si="135"/>
        <v>0.18424406779661015</v>
      </c>
      <c r="AN158" s="464">
        <f t="shared" si="114"/>
        <v>0.29759999999999998</v>
      </c>
      <c r="AO158" s="464">
        <f t="shared" si="115"/>
        <v>3.0837534244079929</v>
      </c>
      <c r="AP158" s="100">
        <f t="shared" si="130"/>
        <v>80.460000000000008</v>
      </c>
      <c r="AQ158" s="10">
        <f t="shared" si="116"/>
        <v>0.96308816281281606</v>
      </c>
      <c r="AR158" s="77">
        <f t="shared" si="117"/>
        <v>39.251251545562859</v>
      </c>
      <c r="AS158" s="77">
        <f t="shared" si="118"/>
        <v>15.271386168088252</v>
      </c>
      <c r="AT158" s="10"/>
      <c r="AU158">
        <f t="shared" si="119"/>
        <v>96.308816281281608</v>
      </c>
    </row>
    <row r="159" spans="7:47" x14ac:dyDescent="0.25">
      <c r="G159">
        <v>150</v>
      </c>
      <c r="H159">
        <f t="shared" si="120"/>
        <v>6.75</v>
      </c>
      <c r="I159" s="463">
        <f t="shared" si="97"/>
        <v>0.50790166812993853</v>
      </c>
      <c r="J159" s="464">
        <f t="shared" si="121"/>
        <v>2.2407426535144346</v>
      </c>
      <c r="K159" s="464">
        <f t="shared" si="131"/>
        <v>7.8703713267572173</v>
      </c>
      <c r="L159" s="464">
        <f t="shared" si="98"/>
        <v>5.6296286732427827</v>
      </c>
      <c r="M159" s="77">
        <f t="shared" si="122"/>
        <v>0</v>
      </c>
      <c r="N159" s="463">
        <f t="shared" si="99"/>
        <v>6.7809225505536173</v>
      </c>
      <c r="O159" s="463">
        <f t="shared" si="100"/>
        <v>0.57725178800311172</v>
      </c>
      <c r="P159">
        <f t="shared" si="123"/>
        <v>0.4</v>
      </c>
      <c r="Q159" s="463">
        <f t="shared" si="132"/>
        <v>0.97725178800311174</v>
      </c>
      <c r="R159" s="9">
        <f t="shared" si="101"/>
        <v>0.64684668709561766</v>
      </c>
      <c r="S159" s="9">
        <f t="shared" si="102"/>
        <v>4.1841063660657591E-4</v>
      </c>
      <c r="T159" s="9">
        <f t="shared" si="103"/>
        <v>4.1841063660657591E-4</v>
      </c>
      <c r="U159" s="463">
        <f t="shared" si="104"/>
        <v>4.8325750086745796</v>
      </c>
      <c r="V159" s="465">
        <f t="shared" si="105"/>
        <v>2.3353781214466116E-2</v>
      </c>
      <c r="W159" s="463">
        <f t="shared" si="106"/>
        <v>2.3353781214466116E-2</v>
      </c>
      <c r="X159" s="463">
        <f t="shared" si="107"/>
        <v>4.8325750086745796</v>
      </c>
      <c r="Y159" s="463">
        <f t="shared" si="108"/>
        <v>0.51378318671825451</v>
      </c>
      <c r="Z159" s="463">
        <f t="shared" si="124"/>
        <v>0.18933012861435836</v>
      </c>
      <c r="AA159" s="463">
        <f t="shared" si="125"/>
        <v>0.15997440000000002</v>
      </c>
      <c r="AB159" s="463">
        <f t="shared" si="126"/>
        <v>0</v>
      </c>
      <c r="AC159" s="463">
        <f t="shared" si="109"/>
        <v>0.94462343021866013</v>
      </c>
      <c r="AD159" s="463">
        <f t="shared" si="110"/>
        <v>4.7567982322293707</v>
      </c>
      <c r="AE159" s="463">
        <f t="shared" si="111"/>
        <v>0.22627129422140468</v>
      </c>
      <c r="AF159" s="463">
        <f t="shared" si="127"/>
        <v>0.14579999999999999</v>
      </c>
      <c r="AG159" s="463">
        <f t="shared" si="112"/>
        <v>0.38604753010423043</v>
      </c>
      <c r="AH159" s="463">
        <f t="shared" si="113"/>
        <v>0</v>
      </c>
      <c r="AI159">
        <f t="shared" si="128"/>
        <v>0</v>
      </c>
      <c r="AJ159" s="464">
        <f t="shared" si="129"/>
        <v>0.47703000000000007</v>
      </c>
      <c r="AK159">
        <f t="shared" si="133"/>
        <v>7.2000000000000008E-2</v>
      </c>
      <c r="AL159" s="464">
        <f t="shared" si="134"/>
        <v>0.22559999999999999</v>
      </c>
      <c r="AM159" s="464">
        <f t="shared" si="135"/>
        <v>0.18424406779661015</v>
      </c>
      <c r="AN159" s="464">
        <f t="shared" si="114"/>
        <v>0.29759999999999998</v>
      </c>
      <c r="AO159" s="464">
        <f t="shared" si="115"/>
        <v>3.1063249401770752</v>
      </c>
      <c r="AP159" s="100">
        <f t="shared" si="130"/>
        <v>81</v>
      </c>
      <c r="AQ159" s="10">
        <f t="shared" si="116"/>
        <v>0.96306669037808357</v>
      </c>
      <c r="AR159" s="77">
        <f t="shared" si="117"/>
        <v>39.674184069183724</v>
      </c>
      <c r="AS159" s="77">
        <f t="shared" si="118"/>
        <v>15.441901204169216</v>
      </c>
      <c r="AT159" s="10"/>
      <c r="AU159">
        <f t="shared" si="119"/>
        <v>96.306669037808362</v>
      </c>
    </row>
    <row r="160" spans="7:47" x14ac:dyDescent="0.25">
      <c r="G160">
        <v>151</v>
      </c>
      <c r="H160">
        <f t="shared" si="120"/>
        <v>6.7949999999999999</v>
      </c>
      <c r="I160" s="463">
        <f t="shared" si="97"/>
        <v>0.50795452550038755</v>
      </c>
      <c r="J160" s="464">
        <f t="shared" si="121"/>
        <v>2.2409758477958275</v>
      </c>
      <c r="K160" s="464">
        <f t="shared" si="131"/>
        <v>7.9154879238979134</v>
      </c>
      <c r="L160" s="464">
        <f t="shared" si="98"/>
        <v>5.6745120761020864</v>
      </c>
      <c r="M160" s="77">
        <f t="shared" si="122"/>
        <v>0</v>
      </c>
      <c r="N160" s="463">
        <f t="shared" si="99"/>
        <v>6.8257250698515799</v>
      </c>
      <c r="O160" s="463">
        <f t="shared" si="100"/>
        <v>0.58526328629540858</v>
      </c>
      <c r="P160">
        <f t="shared" si="123"/>
        <v>0.4</v>
      </c>
      <c r="Q160" s="463">
        <f t="shared" si="132"/>
        <v>0.9852632862954086</v>
      </c>
      <c r="R160" s="9">
        <f t="shared" si="101"/>
        <v>0.64691400448618541</v>
      </c>
      <c r="S160" s="9">
        <f t="shared" si="102"/>
        <v>4.1849772920035232E-4</v>
      </c>
      <c r="T160" s="9">
        <f t="shared" si="103"/>
        <v>4.1849772920035232E-4</v>
      </c>
      <c r="U160" s="463">
        <f t="shared" si="104"/>
        <v>4.8647576368947698</v>
      </c>
      <c r="V160" s="465">
        <f t="shared" si="105"/>
        <v>2.3665866865725985E-2</v>
      </c>
      <c r="W160" s="463">
        <f t="shared" si="106"/>
        <v>2.3665866865725985E-2</v>
      </c>
      <c r="X160" s="463">
        <f t="shared" si="107"/>
        <v>4.8647576368947698</v>
      </c>
      <c r="Y160" s="463">
        <f t="shared" si="108"/>
        <v>0.52064907104597158</v>
      </c>
      <c r="Z160" s="463">
        <f t="shared" si="124"/>
        <v>0.1906409025669209</v>
      </c>
      <c r="AA160" s="463">
        <f t="shared" si="125"/>
        <v>0.15997440000000002</v>
      </c>
      <c r="AB160" s="463">
        <f t="shared" si="126"/>
        <v>0</v>
      </c>
      <c r="AC160" s="463">
        <f t="shared" si="109"/>
        <v>0.95477788213414028</v>
      </c>
      <c r="AD160" s="463">
        <f t="shared" si="110"/>
        <v>4.7879699104604203</v>
      </c>
      <c r="AE160" s="463">
        <f t="shared" si="111"/>
        <v>0.22924655863474364</v>
      </c>
      <c r="AF160" s="463">
        <f t="shared" si="127"/>
        <v>0.14677199999999999</v>
      </c>
      <c r="AG160" s="463">
        <f t="shared" si="112"/>
        <v>0.39033586316968316</v>
      </c>
      <c r="AH160" s="463">
        <f t="shared" si="113"/>
        <v>0</v>
      </c>
      <c r="AI160">
        <f t="shared" si="128"/>
        <v>0</v>
      </c>
      <c r="AJ160" s="464">
        <f t="shared" si="129"/>
        <v>0.4770102</v>
      </c>
      <c r="AK160">
        <f t="shared" si="133"/>
        <v>7.2000000000000008E-2</v>
      </c>
      <c r="AL160" s="464">
        <f t="shared" si="134"/>
        <v>0.22559999999999999</v>
      </c>
      <c r="AM160" s="464">
        <f t="shared" si="135"/>
        <v>0.18424406779661015</v>
      </c>
      <c r="AN160" s="464">
        <f t="shared" si="114"/>
        <v>0.29759999999999998</v>
      </c>
      <c r="AO160" s="464">
        <f t="shared" si="115"/>
        <v>3.1290715961941586</v>
      </c>
      <c r="AP160" s="100">
        <f t="shared" si="130"/>
        <v>81.539999999999992</v>
      </c>
      <c r="AQ160" s="10">
        <f t="shared" si="116"/>
        <v>0.96304351119949194</v>
      </c>
      <c r="AR160" s="77">
        <f t="shared" si="117"/>
        <v>40.100671049633888</v>
      </c>
      <c r="AS160" s="77">
        <f t="shared" si="118"/>
        <v>15.613434526787326</v>
      </c>
      <c r="AT160" s="10"/>
      <c r="AU160">
        <f t="shared" si="119"/>
        <v>96.304351119949189</v>
      </c>
    </row>
    <row r="161" spans="7:47" x14ac:dyDescent="0.25">
      <c r="G161">
        <v>152</v>
      </c>
      <c r="H161">
        <f t="shared" si="120"/>
        <v>6.84</v>
      </c>
      <c r="I161" s="463">
        <f t="shared" si="97"/>
        <v>0.50800738525758093</v>
      </c>
      <c r="J161" s="464">
        <f t="shared" si="121"/>
        <v>2.2412090526069743</v>
      </c>
      <c r="K161" s="464">
        <f t="shared" si="131"/>
        <v>7.960604526303487</v>
      </c>
      <c r="L161" s="464">
        <f t="shared" si="98"/>
        <v>5.7193954736965127</v>
      </c>
      <c r="M161" s="77">
        <f t="shared" si="122"/>
        <v>0</v>
      </c>
      <c r="N161" s="463">
        <f t="shared" si="99"/>
        <v>6.8705301713034208</v>
      </c>
      <c r="O161" s="463">
        <f t="shared" si="100"/>
        <v>0.59333793000210633</v>
      </c>
      <c r="P161">
        <f t="shared" si="123"/>
        <v>0.4</v>
      </c>
      <c r="Q161" s="463">
        <f t="shared" si="132"/>
        <v>0.99333793000210635</v>
      </c>
      <c r="R161" s="9">
        <f t="shared" si="101"/>
        <v>0.64698132491643146</v>
      </c>
      <c r="S161" s="9">
        <f t="shared" si="102"/>
        <v>4.1858483479062102E-4</v>
      </c>
      <c r="T161" s="9">
        <f t="shared" si="103"/>
        <v>4.1858483479062102E-4</v>
      </c>
      <c r="U161" s="463">
        <f t="shared" si="104"/>
        <v>4.8969454266039696</v>
      </c>
      <c r="V161" s="465">
        <f t="shared" si="105"/>
        <v>2.3980074511137536E-2</v>
      </c>
      <c r="W161" s="463">
        <f t="shared" si="106"/>
        <v>2.3980074511137536E-2</v>
      </c>
      <c r="X161" s="463">
        <f t="shared" si="107"/>
        <v>4.8969454266039696</v>
      </c>
      <c r="Y161" s="463">
        <f t="shared" si="108"/>
        <v>0.52756163924502575</v>
      </c>
      <c r="Z161" s="463">
        <f t="shared" si="124"/>
        <v>0.19195167648470213</v>
      </c>
      <c r="AA161" s="463">
        <f t="shared" si="125"/>
        <v>0.15997440000000002</v>
      </c>
      <c r="AB161" s="463">
        <f t="shared" si="126"/>
        <v>0</v>
      </c>
      <c r="AC161" s="463">
        <f t="shared" si="109"/>
        <v>0.96501756552264617</v>
      </c>
      <c r="AD161" s="463">
        <f t="shared" si="110"/>
        <v>4.8191399983454595</v>
      </c>
      <c r="AE161" s="463">
        <f t="shared" si="111"/>
        <v>0.23224110323653077</v>
      </c>
      <c r="AF161" s="463">
        <f t="shared" si="127"/>
        <v>0.14774399999999999</v>
      </c>
      <c r="AG161" s="463">
        <f t="shared" si="112"/>
        <v>0.3946497252499786</v>
      </c>
      <c r="AH161" s="463">
        <f t="shared" si="113"/>
        <v>0</v>
      </c>
      <c r="AI161">
        <f t="shared" si="128"/>
        <v>0</v>
      </c>
      <c r="AJ161" s="464">
        <f t="shared" si="129"/>
        <v>0.47699039999999998</v>
      </c>
      <c r="AK161">
        <f t="shared" si="133"/>
        <v>7.2000000000000008E-2</v>
      </c>
      <c r="AL161" s="464">
        <f t="shared" si="134"/>
        <v>0.22559999999999999</v>
      </c>
      <c r="AM161" s="464">
        <f t="shared" si="135"/>
        <v>0.18424406779661015</v>
      </c>
      <c r="AN161" s="464">
        <f t="shared" si="114"/>
        <v>0.29759999999999998</v>
      </c>
      <c r="AO161" s="464">
        <f t="shared" si="115"/>
        <v>3.1519942801206593</v>
      </c>
      <c r="AP161" s="100">
        <f t="shared" si="130"/>
        <v>82.08</v>
      </c>
      <c r="AQ161" s="10">
        <f t="shared" si="116"/>
        <v>0.9630186491969035</v>
      </c>
      <c r="AR161" s="77">
        <f t="shared" si="117"/>
        <v>40.530737751951136</v>
      </c>
      <c r="AS161" s="77">
        <f t="shared" si="118"/>
        <v>15.785989009999144</v>
      </c>
      <c r="AT161" s="10"/>
      <c r="AU161">
        <f t="shared" si="119"/>
        <v>96.301864919690345</v>
      </c>
    </row>
    <row r="162" spans="7:47" x14ac:dyDescent="0.25">
      <c r="G162">
        <v>153</v>
      </c>
      <c r="H162">
        <f t="shared" si="120"/>
        <v>6.8849999999999998</v>
      </c>
      <c r="I162" s="463">
        <f t="shared" si="97"/>
        <v>0.50806024740168021</v>
      </c>
      <c r="J162" s="464">
        <f t="shared" si="121"/>
        <v>2.2414422679485888</v>
      </c>
      <c r="K162" s="464">
        <f t="shared" si="131"/>
        <v>8.0057211339742942</v>
      </c>
      <c r="L162" s="464">
        <f t="shared" si="98"/>
        <v>5.7642788660257054</v>
      </c>
      <c r="M162" s="77">
        <f t="shared" si="122"/>
        <v>0</v>
      </c>
      <c r="N162" s="463">
        <f t="shared" si="99"/>
        <v>6.9153378047192229</v>
      </c>
      <c r="O162" s="463">
        <f t="shared" si="100"/>
        <v>0.60147593480789419</v>
      </c>
      <c r="P162">
        <f t="shared" si="123"/>
        <v>0.4</v>
      </c>
      <c r="Q162" s="463">
        <f t="shared" si="132"/>
        <v>1.0014759348078943</v>
      </c>
      <c r="R162" s="9">
        <f t="shared" si="101"/>
        <v>0.64704864838656151</v>
      </c>
      <c r="S162" s="9">
        <f t="shared" si="102"/>
        <v>4.1867195337887608E-4</v>
      </c>
      <c r="T162" s="9">
        <f t="shared" si="103"/>
        <v>4.1867195337887608E-4</v>
      </c>
      <c r="U162" s="463">
        <f t="shared" si="104"/>
        <v>4.9291383422816741</v>
      </c>
      <c r="V162" s="465">
        <f t="shared" si="105"/>
        <v>2.4296404797351328E-2</v>
      </c>
      <c r="W162" s="463">
        <f t="shared" si="106"/>
        <v>2.4296404797351328E-2</v>
      </c>
      <c r="X162" s="463">
        <f t="shared" si="107"/>
        <v>4.9291383422816741</v>
      </c>
      <c r="Y162" s="463">
        <f t="shared" si="108"/>
        <v>0.53452090554172915</v>
      </c>
      <c r="Z162" s="463">
        <f t="shared" si="124"/>
        <v>0.19326245036769965</v>
      </c>
      <c r="AA162" s="463">
        <f t="shared" si="125"/>
        <v>0.15997440000000002</v>
      </c>
      <c r="AB162" s="463">
        <f t="shared" si="126"/>
        <v>0</v>
      </c>
      <c r="AC162" s="463">
        <f t="shared" si="109"/>
        <v>0.97534308950756021</v>
      </c>
      <c r="AD162" s="463">
        <f t="shared" si="110"/>
        <v>4.8503084598845412</v>
      </c>
      <c r="AE162" s="463">
        <f t="shared" si="111"/>
        <v>0.2352549215602755</v>
      </c>
      <c r="AF162" s="463">
        <f t="shared" si="127"/>
        <v>0.14871599999999999</v>
      </c>
      <c r="AG162" s="463">
        <f t="shared" si="112"/>
        <v>0.39898918881101686</v>
      </c>
      <c r="AH162" s="463">
        <f t="shared" si="113"/>
        <v>0</v>
      </c>
      <c r="AI162">
        <f t="shared" si="128"/>
        <v>0</v>
      </c>
      <c r="AJ162" s="464">
        <f t="shared" si="129"/>
        <v>0.47697060000000002</v>
      </c>
      <c r="AK162">
        <f t="shared" si="133"/>
        <v>7.2000000000000008E-2</v>
      </c>
      <c r="AL162" s="464">
        <f t="shared" si="134"/>
        <v>0.22559999999999999</v>
      </c>
      <c r="AM162" s="464">
        <f t="shared" si="135"/>
        <v>0.18424406779661015</v>
      </c>
      <c r="AN162" s="464">
        <f t="shared" si="114"/>
        <v>0.29759999999999998</v>
      </c>
      <c r="AO162" s="464">
        <f t="shared" si="115"/>
        <v>3.1750938898772016</v>
      </c>
      <c r="AP162" s="100">
        <f t="shared" si="130"/>
        <v>82.62</v>
      </c>
      <c r="AQ162" s="10">
        <f t="shared" si="116"/>
        <v>0.96299212756905872</v>
      </c>
      <c r="AR162" s="77">
        <f t="shared" si="117"/>
        <v>40.964409759317526</v>
      </c>
      <c r="AS162" s="77">
        <f t="shared" si="118"/>
        <v>15.959567552440674</v>
      </c>
      <c r="AT162" s="10"/>
      <c r="AU162">
        <f t="shared" si="119"/>
        <v>96.299212756905874</v>
      </c>
    </row>
    <row r="163" spans="7:47" x14ac:dyDescent="0.25">
      <c r="G163">
        <v>154</v>
      </c>
      <c r="H163">
        <f t="shared" si="120"/>
        <v>6.93</v>
      </c>
      <c r="I163" s="463">
        <f t="shared" si="97"/>
        <v>0.50811311193284736</v>
      </c>
      <c r="J163" s="464">
        <f t="shared" si="121"/>
        <v>2.2416754938213854</v>
      </c>
      <c r="K163" s="464">
        <f t="shared" si="131"/>
        <v>8.0508377469106929</v>
      </c>
      <c r="L163" s="464">
        <f t="shared" si="98"/>
        <v>5.8091622530893066</v>
      </c>
      <c r="M163" s="77">
        <f t="shared" si="122"/>
        <v>0</v>
      </c>
      <c r="N163" s="463">
        <f t="shared" si="99"/>
        <v>6.9601479211987014</v>
      </c>
      <c r="O163" s="463">
        <f t="shared" si="100"/>
        <v>0.609677518482446</v>
      </c>
      <c r="P163">
        <f t="shared" si="123"/>
        <v>0.4</v>
      </c>
      <c r="Q163" s="463">
        <f t="shared" si="132"/>
        <v>1.009677518482446</v>
      </c>
      <c r="R163" s="9">
        <f t="shared" si="101"/>
        <v>0.64711597489678208</v>
      </c>
      <c r="S163" s="9">
        <f t="shared" si="102"/>
        <v>4.1875908496661268E-4</v>
      </c>
      <c r="T163" s="9">
        <f t="shared" si="103"/>
        <v>4.1875908496661268E-4</v>
      </c>
      <c r="U163" s="463">
        <f t="shared" si="104"/>
        <v>4.9613363493192377</v>
      </c>
      <c r="V163" s="465">
        <f t="shared" si="105"/>
        <v>2.4614858371076343E-2</v>
      </c>
      <c r="W163" s="463">
        <f t="shared" si="106"/>
        <v>2.4614858371076343E-2</v>
      </c>
      <c r="X163" s="463">
        <f t="shared" si="107"/>
        <v>4.9613363493192377</v>
      </c>
      <c r="Y163" s="463">
        <f t="shared" si="108"/>
        <v>0.54152688416367945</v>
      </c>
      <c r="Z163" s="463">
        <f t="shared" si="124"/>
        <v>0.19457322421591114</v>
      </c>
      <c r="AA163" s="463">
        <f t="shared" si="125"/>
        <v>0.15997440000000002</v>
      </c>
      <c r="AB163" s="463">
        <f t="shared" si="126"/>
        <v>0</v>
      </c>
      <c r="AC163" s="463">
        <f t="shared" si="109"/>
        <v>0.98575507089033976</v>
      </c>
      <c r="AD163" s="463">
        <f t="shared" si="110"/>
        <v>4.881475259989573</v>
      </c>
      <c r="AE163" s="463">
        <f t="shared" si="111"/>
        <v>0.23828800713890272</v>
      </c>
      <c r="AF163" s="463">
        <f t="shared" si="127"/>
        <v>0.14968799999999999</v>
      </c>
      <c r="AG163" s="463">
        <f t="shared" si="112"/>
        <v>0.40335432693676093</v>
      </c>
      <c r="AH163" s="463">
        <f t="shared" si="113"/>
        <v>0</v>
      </c>
      <c r="AI163">
        <f t="shared" si="128"/>
        <v>0</v>
      </c>
      <c r="AJ163" s="464">
        <f t="shared" si="129"/>
        <v>0.47695080000000001</v>
      </c>
      <c r="AK163">
        <f t="shared" si="133"/>
        <v>7.2000000000000008E-2</v>
      </c>
      <c r="AL163" s="464">
        <f t="shared" si="134"/>
        <v>0.22559999999999999</v>
      </c>
      <c r="AM163" s="464">
        <f t="shared" si="135"/>
        <v>0.18424406779661015</v>
      </c>
      <c r="AN163" s="464">
        <f t="shared" si="114"/>
        <v>0.29759999999999998</v>
      </c>
      <c r="AO163" s="464">
        <f t="shared" si="115"/>
        <v>3.1983713337655897</v>
      </c>
      <c r="AP163" s="100">
        <f t="shared" si="130"/>
        <v>83.16</v>
      </c>
      <c r="AQ163" s="10">
        <f t="shared" si="116"/>
        <v>0.96296396881543489</v>
      </c>
      <c r="AR163" s="77">
        <f t="shared" si="117"/>
        <v>41.401712977394268</v>
      </c>
      <c r="AS163" s="77">
        <f t="shared" si="118"/>
        <v>16.134173077470436</v>
      </c>
      <c r="AT163" s="10"/>
      <c r="AU163">
        <f t="shared" si="119"/>
        <v>96.296396881543487</v>
      </c>
    </row>
    <row r="164" spans="7:47" x14ac:dyDescent="0.25">
      <c r="G164">
        <v>155</v>
      </c>
      <c r="H164">
        <f t="shared" si="120"/>
        <v>6.9750000000000005</v>
      </c>
      <c r="I164" s="463">
        <f t="shared" si="97"/>
        <v>0.50816597885124382</v>
      </c>
      <c r="J164" s="464">
        <f t="shared" si="121"/>
        <v>2.2419087302260756</v>
      </c>
      <c r="K164" s="464">
        <f t="shared" si="131"/>
        <v>8.0959543651130375</v>
      </c>
      <c r="L164" s="464">
        <f t="shared" si="98"/>
        <v>5.8540456348869627</v>
      </c>
      <c r="M164" s="77">
        <f t="shared" si="122"/>
        <v>0</v>
      </c>
      <c r="N164" s="463">
        <f t="shared" si="99"/>
        <v>7.0049604730901471</v>
      </c>
      <c r="O164" s="463">
        <f t="shared" si="100"/>
        <v>0.61794290089579784</v>
      </c>
      <c r="P164">
        <f t="shared" si="123"/>
        <v>0.4</v>
      </c>
      <c r="Q164" s="463">
        <f t="shared" si="132"/>
        <v>1.0179429008957979</v>
      </c>
      <c r="R164" s="9">
        <f t="shared" si="101"/>
        <v>0.64718330444729844</v>
      </c>
      <c r="S164" s="9">
        <f t="shared" si="102"/>
        <v>4.1884622955532457E-4</v>
      </c>
      <c r="T164" s="9">
        <f t="shared" si="103"/>
        <v>4.1884622955532457E-4</v>
      </c>
      <c r="U164" s="463">
        <f t="shared" si="104"/>
        <v>4.9935394139908356</v>
      </c>
      <c r="V164" s="465">
        <f t="shared" si="105"/>
        <v>2.4935435879079936E-2</v>
      </c>
      <c r="W164" s="463">
        <f t="shared" si="106"/>
        <v>2.4935435879079936E-2</v>
      </c>
      <c r="X164" s="463">
        <f t="shared" si="107"/>
        <v>4.9935394139908356</v>
      </c>
      <c r="Y164" s="463">
        <f t="shared" si="108"/>
        <v>0.54857958933975859</v>
      </c>
      <c r="Z164" s="463">
        <f t="shared" si="124"/>
        <v>0.19588399802933423</v>
      </c>
      <c r="AA164" s="463">
        <f t="shared" si="125"/>
        <v>0.15997440000000002</v>
      </c>
      <c r="AB164" s="463">
        <f t="shared" si="126"/>
        <v>0</v>
      </c>
      <c r="AC164" s="463">
        <f t="shared" si="109"/>
        <v>0.99625413425554754</v>
      </c>
      <c r="AD164" s="463">
        <f t="shared" si="110"/>
        <v>4.9126403644552896</v>
      </c>
      <c r="AE164" s="463">
        <f t="shared" si="111"/>
        <v>0.24134035350475402</v>
      </c>
      <c r="AF164" s="463">
        <f t="shared" si="127"/>
        <v>0.15065999999999999</v>
      </c>
      <c r="AG164" s="463">
        <f t="shared" si="112"/>
        <v>0.40774521333285363</v>
      </c>
      <c r="AH164" s="463">
        <f t="shared" si="113"/>
        <v>0</v>
      </c>
      <c r="AI164">
        <f t="shared" si="128"/>
        <v>0</v>
      </c>
      <c r="AJ164" s="464">
        <f t="shared" si="129"/>
        <v>0.47693099999999999</v>
      </c>
      <c r="AK164">
        <f t="shared" si="133"/>
        <v>7.2000000000000008E-2</v>
      </c>
      <c r="AL164" s="464">
        <f t="shared" si="134"/>
        <v>0.22559999999999999</v>
      </c>
      <c r="AM164" s="464">
        <f t="shared" si="135"/>
        <v>0.18424406779661015</v>
      </c>
      <c r="AN164" s="464">
        <f t="shared" si="114"/>
        <v>0.29759999999999998</v>
      </c>
      <c r="AO164" s="464">
        <f t="shared" si="115"/>
        <v>3.2218275305928339</v>
      </c>
      <c r="AP164" s="100">
        <f t="shared" si="130"/>
        <v>83.7</v>
      </c>
      <c r="AQ164" s="10">
        <f t="shared" si="116"/>
        <v>0.96293419475725028</v>
      </c>
      <c r="AR164" s="77">
        <f t="shared" si="117"/>
        <v>41.842673638732997</v>
      </c>
      <c r="AS164" s="77">
        <f t="shared" si="118"/>
        <v>16.309808533314147</v>
      </c>
      <c r="AT164" s="10"/>
      <c r="AU164">
        <f t="shared" si="119"/>
        <v>96.293419475725031</v>
      </c>
    </row>
    <row r="165" spans="7:47" x14ac:dyDescent="0.25">
      <c r="G165">
        <v>156</v>
      </c>
      <c r="H165">
        <f t="shared" si="120"/>
        <v>7.0200000000000005</v>
      </c>
      <c r="I165" s="463">
        <f t="shared" si="97"/>
        <v>0.50821884815703122</v>
      </c>
      <c r="J165" s="464">
        <f t="shared" si="121"/>
        <v>2.242141977163373</v>
      </c>
      <c r="K165" s="464">
        <f t="shared" si="131"/>
        <v>8.1410709885816868</v>
      </c>
      <c r="L165" s="464">
        <f t="shared" si="98"/>
        <v>5.8989290114183142</v>
      </c>
      <c r="M165" s="77">
        <f t="shared" si="122"/>
        <v>0</v>
      </c>
      <c r="N165" s="463">
        <f t="shared" si="99"/>
        <v>7.0497754139508952</v>
      </c>
      <c r="O165" s="463">
        <f t="shared" si="100"/>
        <v>0.62627230403390288</v>
      </c>
      <c r="P165">
        <f t="shared" si="123"/>
        <v>0.4</v>
      </c>
      <c r="Q165" s="463">
        <f t="shared" si="132"/>
        <v>1.026272304033903</v>
      </c>
      <c r="R165" s="9">
        <f t="shared" si="101"/>
        <v>0.64725063703831665</v>
      </c>
      <c r="S165" s="9">
        <f t="shared" si="102"/>
        <v>4.1893338714650677E-4</v>
      </c>
      <c r="T165" s="9">
        <f t="shared" si="103"/>
        <v>4.1893338714650677E-4</v>
      </c>
      <c r="U165" s="463">
        <f t="shared" si="104"/>
        <v>5.0257475034255243</v>
      </c>
      <c r="V165" s="465">
        <f t="shared" si="105"/>
        <v>2.5258137968187894E-2</v>
      </c>
      <c r="W165" s="463">
        <f t="shared" si="106"/>
        <v>2.5258137968187894E-2</v>
      </c>
      <c r="X165" s="463">
        <f t="shared" si="107"/>
        <v>5.0257475034255243</v>
      </c>
      <c r="Y165" s="463">
        <f t="shared" si="108"/>
        <v>0.55567903530013363</v>
      </c>
      <c r="Z165" s="463">
        <f t="shared" si="124"/>
        <v>0.19719477180796655</v>
      </c>
      <c r="AA165" s="463">
        <f t="shared" si="125"/>
        <v>0.15997440000000002</v>
      </c>
      <c r="AB165" s="463">
        <f t="shared" si="126"/>
        <v>0</v>
      </c>
      <c r="AC165" s="463">
        <f t="shared" si="109"/>
        <v>1.0068409120777435</v>
      </c>
      <c r="AD165" s="463">
        <f t="shared" si="110"/>
        <v>4.9438037399312913</v>
      </c>
      <c r="AE165" s="463">
        <f t="shared" si="111"/>
        <v>0.24441195418958625</v>
      </c>
      <c r="AF165" s="463">
        <f t="shared" si="127"/>
        <v>0.15163199999999999</v>
      </c>
      <c r="AG165" s="463">
        <f t="shared" si="112"/>
        <v>0.41216192233027071</v>
      </c>
      <c r="AH165" s="463">
        <f t="shared" si="113"/>
        <v>0</v>
      </c>
      <c r="AI165">
        <f t="shared" si="128"/>
        <v>0</v>
      </c>
      <c r="AJ165" s="464">
        <f t="shared" si="129"/>
        <v>0.47691119999999998</v>
      </c>
      <c r="AK165">
        <f t="shared" si="133"/>
        <v>7.2000000000000008E-2</v>
      </c>
      <c r="AL165" s="464">
        <f t="shared" si="134"/>
        <v>0.22559999999999999</v>
      </c>
      <c r="AM165" s="464">
        <f t="shared" si="135"/>
        <v>0.18424406779661015</v>
      </c>
      <c r="AN165" s="464">
        <f t="shared" si="114"/>
        <v>0.29759999999999998</v>
      </c>
      <c r="AO165" s="464">
        <f t="shared" si="115"/>
        <v>3.2454634097972517</v>
      </c>
      <c r="AP165" s="100">
        <f t="shared" si="130"/>
        <v>84.240000000000009</v>
      </c>
      <c r="AQ165" s="10">
        <f t="shared" si="116"/>
        <v>0.96290282655765413</v>
      </c>
      <c r="AR165" s="77">
        <f t="shared" si="117"/>
        <v>42.287318307265224</v>
      </c>
      <c r="AS165" s="77">
        <f t="shared" si="118"/>
        <v>16.486476893210828</v>
      </c>
      <c r="AT165" s="10"/>
      <c r="AU165">
        <f t="shared" si="119"/>
        <v>96.290282655765409</v>
      </c>
    </row>
    <row r="166" spans="7:47" x14ac:dyDescent="0.25">
      <c r="G166">
        <v>157</v>
      </c>
      <c r="H166">
        <f t="shared" si="120"/>
        <v>7.0650000000000004</v>
      </c>
      <c r="I166" s="463">
        <f t="shared" si="97"/>
        <v>0.50827171985037145</v>
      </c>
      <c r="J166" s="464">
        <f t="shared" si="121"/>
        <v>2.2423752346339914</v>
      </c>
      <c r="K166" s="464">
        <f t="shared" si="131"/>
        <v>8.1861876173169961</v>
      </c>
      <c r="L166" s="464">
        <f t="shared" si="98"/>
        <v>5.9438123826830047</v>
      </c>
      <c r="M166" s="77">
        <f t="shared" si="122"/>
        <v>0</v>
      </c>
      <c r="N166" s="463">
        <f t="shared" si="99"/>
        <v>7.0945926985093131</v>
      </c>
      <c r="O166" s="463">
        <f t="shared" si="100"/>
        <v>0.63466595201438258</v>
      </c>
      <c r="P166">
        <f t="shared" si="123"/>
        <v>0.4</v>
      </c>
      <c r="Q166" s="463">
        <f t="shared" si="132"/>
        <v>1.0346659520143826</v>
      </c>
      <c r="R166" s="9">
        <f t="shared" si="101"/>
        <v>0.64731797267004265</v>
      </c>
      <c r="S166" s="9">
        <f t="shared" si="102"/>
        <v>4.1902055774165411E-4</v>
      </c>
      <c r="T166" s="9">
        <f t="shared" si="103"/>
        <v>4.1902055774165411E-4</v>
      </c>
      <c r="U166" s="463">
        <f t="shared" si="104"/>
        <v>5.0579605855803607</v>
      </c>
      <c r="V166" s="465">
        <f t="shared" si="105"/>
        <v>2.5582965285284424E-2</v>
      </c>
      <c r="W166" s="463">
        <f t="shared" si="106"/>
        <v>2.5582965285284424E-2</v>
      </c>
      <c r="X166" s="463">
        <f t="shared" si="107"/>
        <v>5.0579605855803607</v>
      </c>
      <c r="Y166" s="463">
        <f t="shared" si="108"/>
        <v>0.56282523627625725</v>
      </c>
      <c r="Z166" s="463">
        <f t="shared" si="124"/>
        <v>0.19850554555180569</v>
      </c>
      <c r="AA166" s="463">
        <f t="shared" si="125"/>
        <v>0.15997440000000002</v>
      </c>
      <c r="AB166" s="463">
        <f t="shared" si="126"/>
        <v>0</v>
      </c>
      <c r="AC166" s="463">
        <f t="shared" si="109"/>
        <v>1.0175160448302718</v>
      </c>
      <c r="AD166" s="463">
        <f t="shared" si="110"/>
        <v>4.9749653538951648</v>
      </c>
      <c r="AE166" s="463">
        <f t="shared" si="111"/>
        <v>0.24750280272457242</v>
      </c>
      <c r="AF166" s="463">
        <f t="shared" si="127"/>
        <v>0.15260399999999999</v>
      </c>
      <c r="AG166" s="463">
        <f t="shared" si="112"/>
        <v>0.41660452888901756</v>
      </c>
      <c r="AH166" s="463">
        <f t="shared" si="113"/>
        <v>0</v>
      </c>
      <c r="AI166">
        <f t="shared" si="128"/>
        <v>0</v>
      </c>
      <c r="AJ166" s="464">
        <f t="shared" si="129"/>
        <v>0.47689140000000002</v>
      </c>
      <c r="AK166">
        <f t="shared" si="133"/>
        <v>7.2000000000000008E-2</v>
      </c>
      <c r="AL166" s="464">
        <f t="shared" si="134"/>
        <v>0.22559999999999999</v>
      </c>
      <c r="AM166" s="464">
        <f t="shared" si="135"/>
        <v>0.18424406779661015</v>
      </c>
      <c r="AN166" s="464">
        <f t="shared" si="114"/>
        <v>0.29759999999999998</v>
      </c>
      <c r="AO166" s="464">
        <f t="shared" si="115"/>
        <v>3.2692799115766982</v>
      </c>
      <c r="AP166" s="100">
        <f t="shared" si="130"/>
        <v>84.78</v>
      </c>
      <c r="AQ166" s="10">
        <f t="shared" si="116"/>
        <v>0.96286988474113733</v>
      </c>
      <c r="AR166" s="77">
        <f t="shared" si="117"/>
        <v>42.735673882871417</v>
      </c>
      <c r="AS166" s="77">
        <f t="shared" si="118"/>
        <v>16.664181155560701</v>
      </c>
      <c r="AT166" s="10"/>
      <c r="AU166">
        <f t="shared" si="119"/>
        <v>96.286988474113727</v>
      </c>
    </row>
    <row r="167" spans="7:47" x14ac:dyDescent="0.25">
      <c r="G167">
        <v>158</v>
      </c>
      <c r="H167">
        <f t="shared" si="120"/>
        <v>7.11</v>
      </c>
      <c r="I167" s="463">
        <f t="shared" si="97"/>
        <v>0.50832459393142615</v>
      </c>
      <c r="J167" s="464">
        <f t="shared" si="121"/>
        <v>2.2426085026386446</v>
      </c>
      <c r="K167" s="464">
        <f t="shared" si="131"/>
        <v>8.2313042513193224</v>
      </c>
      <c r="L167" s="464">
        <f t="shared" si="98"/>
        <v>5.9886957486806782</v>
      </c>
      <c r="M167" s="77">
        <f t="shared" si="122"/>
        <v>0</v>
      </c>
      <c r="N167" s="463">
        <f t="shared" si="99"/>
        <v>7.1394122826281903</v>
      </c>
      <c r="O167" s="463">
        <f t="shared" si="100"/>
        <v>0.64312407110246395</v>
      </c>
      <c r="P167">
        <f t="shared" si="123"/>
        <v>0.4</v>
      </c>
      <c r="Q167" s="463">
        <f t="shared" si="132"/>
        <v>1.0431240711024641</v>
      </c>
      <c r="R167" s="9">
        <f t="shared" si="101"/>
        <v>0.64738531134268251</v>
      </c>
      <c r="S167" s="9">
        <f t="shared" si="102"/>
        <v>4.1910774134226199E-4</v>
      </c>
      <c r="T167" s="9">
        <f t="shared" si="103"/>
        <v>4.1910774134226199E-4</v>
      </c>
      <c r="U167" s="463">
        <f t="shared" si="104"/>
        <v>5.0901786292145168</v>
      </c>
      <c r="V167" s="465">
        <f t="shared" si="105"/>
        <v>2.590991847731218E-2</v>
      </c>
      <c r="W167" s="463">
        <f t="shared" si="106"/>
        <v>2.590991847731218E-2</v>
      </c>
      <c r="X167" s="463">
        <f t="shared" si="107"/>
        <v>5.0901786292145168</v>
      </c>
      <c r="Y167" s="463">
        <f t="shared" si="108"/>
        <v>0.57001820650086787</v>
      </c>
      <c r="Z167" s="463">
        <f t="shared" si="124"/>
        <v>0.19981631926084942</v>
      </c>
      <c r="AA167" s="463">
        <f t="shared" si="125"/>
        <v>0.15997440000000002</v>
      </c>
      <c r="AB167" s="463">
        <f t="shared" si="126"/>
        <v>0</v>
      </c>
      <c r="AC167" s="463">
        <f t="shared" si="109"/>
        <v>1.0282801810959821</v>
      </c>
      <c r="AD167" s="463">
        <f t="shared" si="110"/>
        <v>5.0061251746265887</v>
      </c>
      <c r="AE167" s="463">
        <f t="shared" si="111"/>
        <v>0.25061289264030095</v>
      </c>
      <c r="AF167" s="463">
        <f t="shared" si="127"/>
        <v>0.15357599999999999</v>
      </c>
      <c r="AG167" s="463">
        <f t="shared" si="112"/>
        <v>0.42107310860186192</v>
      </c>
      <c r="AH167" s="463">
        <f t="shared" si="113"/>
        <v>0</v>
      </c>
      <c r="AI167">
        <f t="shared" si="128"/>
        <v>0</v>
      </c>
      <c r="AJ167" s="464">
        <f t="shared" si="129"/>
        <v>0.47687160000000001</v>
      </c>
      <c r="AK167">
        <f t="shared" si="133"/>
        <v>7.2000000000000008E-2</v>
      </c>
      <c r="AL167" s="464">
        <f t="shared" si="134"/>
        <v>0.22559999999999999</v>
      </c>
      <c r="AM167" s="464">
        <f t="shared" si="135"/>
        <v>0.18424406779661015</v>
      </c>
      <c r="AN167" s="464">
        <f t="shared" si="114"/>
        <v>0.29759999999999998</v>
      </c>
      <c r="AO167" s="464">
        <f t="shared" si="115"/>
        <v>3.2932779870189628</v>
      </c>
      <c r="AP167" s="100">
        <f t="shared" si="130"/>
        <v>85.320000000000007</v>
      </c>
      <c r="AQ167" s="10">
        <f t="shared" si="116"/>
        <v>0.9628353892121968</v>
      </c>
      <c r="AR167" s="77">
        <f t="shared" si="117"/>
        <v>43.187767606031244</v>
      </c>
      <c r="AS167" s="77">
        <f t="shared" si="118"/>
        <v>16.842924344074476</v>
      </c>
      <c r="AT167" s="10"/>
      <c r="AU167">
        <f t="shared" si="119"/>
        <v>96.283538921219673</v>
      </c>
    </row>
    <row r="168" spans="7:47" x14ac:dyDescent="0.25">
      <c r="G168">
        <v>159</v>
      </c>
      <c r="H168">
        <f t="shared" si="120"/>
        <v>7.1550000000000002</v>
      </c>
      <c r="I168" s="463">
        <f t="shared" si="97"/>
        <v>0.5083774704003573</v>
      </c>
      <c r="J168" s="464">
        <f t="shared" si="121"/>
        <v>2.242841781178047</v>
      </c>
      <c r="K168" s="464">
        <f t="shared" si="131"/>
        <v>8.2764208905890229</v>
      </c>
      <c r="L168" s="464">
        <f t="shared" si="98"/>
        <v>6.0335791094109767</v>
      </c>
      <c r="M168" s="77">
        <f t="shared" si="122"/>
        <v>0</v>
      </c>
      <c r="N168" s="463">
        <f t="shared" si="99"/>
        <v>7.184234123269496</v>
      </c>
      <c r="O168" s="463">
        <f t="shared" si="100"/>
        <v>0.65164688972710949</v>
      </c>
      <c r="P168">
        <f t="shared" si="123"/>
        <v>0.4</v>
      </c>
      <c r="Q168" s="463">
        <f t="shared" si="132"/>
        <v>1.0516468897271096</v>
      </c>
      <c r="R168" s="9">
        <f t="shared" si="101"/>
        <v>0.64745265305644262</v>
      </c>
      <c r="S168" s="9">
        <f t="shared" si="102"/>
        <v>4.1919493794982627E-4</v>
      </c>
      <c r="T168" s="9">
        <f t="shared" si="103"/>
        <v>4.1919493794982627E-4</v>
      </c>
      <c r="U168" s="463">
        <f t="shared" si="104"/>
        <v>5.1224016038643647</v>
      </c>
      <c r="V168" s="465">
        <f t="shared" si="105"/>
        <v>2.6238998191272216E-2</v>
      </c>
      <c r="W168" s="463">
        <f t="shared" si="106"/>
        <v>2.6238998191272216E-2</v>
      </c>
      <c r="X168" s="463">
        <f t="shared" si="107"/>
        <v>5.1224016038643647</v>
      </c>
      <c r="Y168" s="463">
        <f t="shared" si="108"/>
        <v>0.5772579602079887</v>
      </c>
      <c r="Z168" s="463">
        <f t="shared" si="124"/>
        <v>0.20112709293509526</v>
      </c>
      <c r="AA168" s="463">
        <f t="shared" si="125"/>
        <v>0.15997440000000002</v>
      </c>
      <c r="AB168" s="463">
        <f t="shared" si="126"/>
        <v>0</v>
      </c>
      <c r="AC168" s="463">
        <f t="shared" si="109"/>
        <v>1.0391339776799229</v>
      </c>
      <c r="AD168" s="463">
        <f t="shared" si="110"/>
        <v>5.0372831711824189</v>
      </c>
      <c r="AE168" s="463">
        <f t="shared" si="111"/>
        <v>0.25374221746677605</v>
      </c>
      <c r="AF168" s="463">
        <f t="shared" si="127"/>
        <v>0.15454799999999996</v>
      </c>
      <c r="AG168" s="463">
        <f t="shared" si="112"/>
        <v>0.42556773769811007</v>
      </c>
      <c r="AH168" s="463">
        <f t="shared" si="113"/>
        <v>0</v>
      </c>
      <c r="AI168">
        <f t="shared" si="128"/>
        <v>0</v>
      </c>
      <c r="AJ168" s="464">
        <f t="shared" si="129"/>
        <v>0.47685180000000005</v>
      </c>
      <c r="AK168">
        <f t="shared" si="133"/>
        <v>7.2000000000000008E-2</v>
      </c>
      <c r="AL168" s="464">
        <f t="shared" si="134"/>
        <v>0.22559999999999999</v>
      </c>
      <c r="AM168" s="464">
        <f t="shared" si="135"/>
        <v>0.18424406779661015</v>
      </c>
      <c r="AN168" s="464">
        <f t="shared" si="114"/>
        <v>0.29759999999999998</v>
      </c>
      <c r="AO168" s="464">
        <f t="shared" si="115"/>
        <v>3.3174585982343645</v>
      </c>
      <c r="AP168" s="100">
        <f t="shared" si="130"/>
        <v>85.86</v>
      </c>
      <c r="AQ168" s="10">
        <f t="shared" si="116"/>
        <v>0.96279935927328553</v>
      </c>
      <c r="AR168" s="77">
        <f t="shared" si="117"/>
        <v>43.64362706255676</v>
      </c>
      <c r="AS168" s="77">
        <f t="shared" si="118"/>
        <v>17.022709507924404</v>
      </c>
      <c r="AT168" s="10"/>
      <c r="AU168">
        <f t="shared" si="119"/>
        <v>96.279935927328552</v>
      </c>
    </row>
    <row r="169" spans="7:47" x14ac:dyDescent="0.25">
      <c r="G169">
        <v>160</v>
      </c>
      <c r="H169">
        <f t="shared" si="120"/>
        <v>7.2</v>
      </c>
      <c r="I169" s="463">
        <f t="shared" si="97"/>
        <v>0.50843034925732633</v>
      </c>
      <c r="J169" s="464">
        <f t="shared" si="121"/>
        <v>2.2430750702529103</v>
      </c>
      <c r="K169" s="464">
        <f t="shared" si="131"/>
        <v>8.3215375351264562</v>
      </c>
      <c r="L169" s="464">
        <f t="shared" si="98"/>
        <v>6.078462464873545</v>
      </c>
      <c r="M169" s="77">
        <f t="shared" si="122"/>
        <v>0</v>
      </c>
      <c r="N169" s="463">
        <f t="shared" si="99"/>
        <v>7.2290581784604449</v>
      </c>
      <c r="O169" s="463">
        <f t="shared" si="100"/>
        <v>0.66023463849734598</v>
      </c>
      <c r="P169">
        <f t="shared" si="123"/>
        <v>0.4</v>
      </c>
      <c r="Q169" s="463">
        <f t="shared" si="132"/>
        <v>1.060234638497346</v>
      </c>
      <c r="R169" s="9">
        <f t="shared" si="101"/>
        <v>0.64751999781152825</v>
      </c>
      <c r="S169" s="9">
        <f t="shared" si="102"/>
        <v>4.1928214756584153E-4</v>
      </c>
      <c r="T169" s="9">
        <f t="shared" si="103"/>
        <v>4.1928214756584153E-4</v>
      </c>
      <c r="U169" s="463">
        <f t="shared" si="104"/>
        <v>5.1546294798194818</v>
      </c>
      <c r="V169" s="465">
        <f t="shared" si="105"/>
        <v>2.6570205074224064E-2</v>
      </c>
      <c r="W169" s="463">
        <f t="shared" si="106"/>
        <v>2.6570205074224064E-2</v>
      </c>
      <c r="X169" s="463">
        <f t="shared" si="107"/>
        <v>5.1546294798194818</v>
      </c>
      <c r="Y169" s="463">
        <f t="shared" si="108"/>
        <v>0.58454451163292931</v>
      </c>
      <c r="Z169" s="463">
        <f t="shared" si="124"/>
        <v>0.20243786657454094</v>
      </c>
      <c r="AA169" s="463">
        <f t="shared" si="125"/>
        <v>0.15997440000000002</v>
      </c>
      <c r="AB169" s="463">
        <f t="shared" si="126"/>
        <v>0</v>
      </c>
      <c r="AC169" s="463">
        <f t="shared" si="109"/>
        <v>1.0500780997240478</v>
      </c>
      <c r="AD169" s="463">
        <f t="shared" si="110"/>
        <v>5.0684393133726857</v>
      </c>
      <c r="AE169" s="463">
        <f t="shared" si="111"/>
        <v>0.25689077073341782</v>
      </c>
      <c r="AF169" s="463">
        <f t="shared" si="127"/>
        <v>0.15552000000000002</v>
      </c>
      <c r="AG169" s="463">
        <f t="shared" si="112"/>
        <v>0.43008849304742203</v>
      </c>
      <c r="AH169" s="463">
        <f t="shared" si="113"/>
        <v>0</v>
      </c>
      <c r="AI169">
        <f t="shared" si="128"/>
        <v>0</v>
      </c>
      <c r="AJ169" s="464">
        <f t="shared" si="129"/>
        <v>0.47683199999999998</v>
      </c>
      <c r="AK169">
        <f t="shared" si="133"/>
        <v>7.2000000000000008E-2</v>
      </c>
      <c r="AL169" s="464">
        <f t="shared" si="134"/>
        <v>0.22559999999999999</v>
      </c>
      <c r="AM169" s="464">
        <f t="shared" si="135"/>
        <v>0.18424406779661015</v>
      </c>
      <c r="AN169" s="464">
        <f t="shared" si="114"/>
        <v>0.29759999999999998</v>
      </c>
      <c r="AO169" s="464">
        <f t="shared" si="115"/>
        <v>3.3418227184906057</v>
      </c>
      <c r="AP169" s="100">
        <f t="shared" si="130"/>
        <v>86.4</v>
      </c>
      <c r="AQ169" s="10">
        <f t="shared" si="116"/>
        <v>0.96276181364207969</v>
      </c>
      <c r="AR169" s="77">
        <f t="shared" si="117"/>
        <v>44.103280188410004</v>
      </c>
      <c r="AS169" s="77">
        <f t="shared" si="118"/>
        <v>17.203539721896881</v>
      </c>
      <c r="AT169" s="10"/>
      <c r="AU169">
        <f t="shared" si="119"/>
        <v>96.276181364207972</v>
      </c>
    </row>
    <row r="170" spans="7:47" x14ac:dyDescent="0.25">
      <c r="G170">
        <v>161</v>
      </c>
      <c r="H170">
        <f t="shared" si="120"/>
        <v>7.2450000000000001</v>
      </c>
      <c r="I170" s="463">
        <f t="shared" si="97"/>
        <v>0.50848323050249522</v>
      </c>
      <c r="J170" s="464">
        <f t="shared" si="121"/>
        <v>2.2433083698639491</v>
      </c>
      <c r="K170" s="464">
        <f t="shared" si="131"/>
        <v>8.3666541849319742</v>
      </c>
      <c r="L170" s="464">
        <f t="shared" si="98"/>
        <v>6.123345815068026</v>
      </c>
      <c r="M170" s="77">
        <f t="shared" si="122"/>
        <v>0</v>
      </c>
      <c r="N170" s="463">
        <f t="shared" si="99"/>
        <v>7.2738844072608</v>
      </c>
      <c r="O170" s="463">
        <f t="shared" si="100"/>
        <v>0.66888755021878532</v>
      </c>
      <c r="P170">
        <f t="shared" si="123"/>
        <v>0.4</v>
      </c>
      <c r="Q170" s="463">
        <f t="shared" si="132"/>
        <v>1.0688875502187853</v>
      </c>
      <c r="R170" s="9">
        <f t="shared" si="101"/>
        <v>0.64758734560814579</v>
      </c>
      <c r="S170" s="9">
        <f t="shared" si="102"/>
        <v>4.1936937019180403E-4</v>
      </c>
      <c r="T170" s="9">
        <f t="shared" si="103"/>
        <v>4.1936937019180403E-4</v>
      </c>
      <c r="U170" s="463">
        <f t="shared" si="104"/>
        <v>5.1868622280995336</v>
      </c>
      <c r="V170" s="465">
        <f t="shared" si="105"/>
        <v>2.6903539773285658E-2</v>
      </c>
      <c r="W170" s="463">
        <f t="shared" si="106"/>
        <v>2.6903539773285658E-2</v>
      </c>
      <c r="X170" s="463">
        <f t="shared" si="107"/>
        <v>5.1868622280995336</v>
      </c>
      <c r="Y170" s="463">
        <f t="shared" si="108"/>
        <v>0.59187787501228439</v>
      </c>
      <c r="Z170" s="463">
        <f t="shared" si="124"/>
        <v>0.20374864017918409</v>
      </c>
      <c r="AA170" s="463">
        <f t="shared" si="125"/>
        <v>0.15997440000000002</v>
      </c>
      <c r="AB170" s="463">
        <f t="shared" si="126"/>
        <v>0</v>
      </c>
      <c r="AC170" s="463">
        <f t="shared" si="109"/>
        <v>1.0611132208239762</v>
      </c>
      <c r="AD170" s="463">
        <f t="shared" si="110"/>
        <v>5.0995935717374712</v>
      </c>
      <c r="AE170" s="463">
        <f t="shared" si="111"/>
        <v>0.26005854596906142</v>
      </c>
      <c r="AF170" s="463">
        <f t="shared" si="127"/>
        <v>0.15649199999999999</v>
      </c>
      <c r="AG170" s="463">
        <f t="shared" si="112"/>
        <v>0.43463545216366761</v>
      </c>
      <c r="AH170" s="463">
        <f t="shared" si="113"/>
        <v>0</v>
      </c>
      <c r="AI170">
        <f t="shared" si="128"/>
        <v>0</v>
      </c>
      <c r="AJ170" s="464">
        <f t="shared" si="129"/>
        <v>0.47681220000000002</v>
      </c>
      <c r="AK170">
        <f t="shared" si="133"/>
        <v>7.2000000000000008E-2</v>
      </c>
      <c r="AL170" s="464">
        <f t="shared" si="134"/>
        <v>0.22559999999999999</v>
      </c>
      <c r="AM170" s="464">
        <f t="shared" si="135"/>
        <v>0.18424406779661015</v>
      </c>
      <c r="AN170" s="464">
        <f t="shared" si="114"/>
        <v>0.29759999999999998</v>
      </c>
      <c r="AO170" s="464">
        <f t="shared" si="115"/>
        <v>3.3663713323499063</v>
      </c>
      <c r="AP170" s="100">
        <f t="shared" si="130"/>
        <v>86.94</v>
      </c>
      <c r="AQ170" s="10">
        <f t="shared" si="116"/>
        <v>0.96272277046809007</v>
      </c>
      <c r="AR170" s="77">
        <f t="shared" si="117"/>
        <v>44.566755274606997</v>
      </c>
      <c r="AS170" s="77">
        <f t="shared" si="118"/>
        <v>17.385418086546704</v>
      </c>
      <c r="AT170" s="10"/>
      <c r="AU170">
        <f t="shared" si="119"/>
        <v>96.272277046809009</v>
      </c>
    </row>
    <row r="171" spans="7:47" x14ac:dyDescent="0.25">
      <c r="G171">
        <v>162</v>
      </c>
      <c r="H171">
        <f t="shared" si="120"/>
        <v>7.2900000000000009</v>
      </c>
      <c r="I171" s="463">
        <f t="shared" si="97"/>
        <v>0.50853611413602584</v>
      </c>
      <c r="J171" s="464">
        <f t="shared" si="121"/>
        <v>2.2435416800118784</v>
      </c>
      <c r="K171" s="464">
        <f t="shared" si="131"/>
        <v>8.4117708400059392</v>
      </c>
      <c r="L171" s="464">
        <f t="shared" si="98"/>
        <v>6.1682291599940617</v>
      </c>
      <c r="M171" s="77">
        <f t="shared" si="122"/>
        <v>0</v>
      </c>
      <c r="N171" s="463">
        <f t="shared" si="99"/>
        <v>7.3187127697313841</v>
      </c>
      <c r="O171" s="463">
        <f t="shared" si="100"/>
        <v>0.67760585991035049</v>
      </c>
      <c r="P171">
        <f t="shared" si="123"/>
        <v>0.4</v>
      </c>
      <c r="Q171" s="463">
        <f t="shared" si="132"/>
        <v>1.0776058599103506</v>
      </c>
      <c r="R171" s="9">
        <f t="shared" si="101"/>
        <v>0.64765469644650164</v>
      </c>
      <c r="S171" s="9">
        <f t="shared" si="102"/>
        <v>4.1945660582921017E-4</v>
      </c>
      <c r="T171" s="9">
        <f t="shared" si="103"/>
        <v>4.1945660582921017E-4</v>
      </c>
      <c r="U171" s="463">
        <f t="shared" si="104"/>
        <v>5.2190998204320111</v>
      </c>
      <c r="V171" s="465">
        <f t="shared" si="105"/>
        <v>2.7239002935633451E-2</v>
      </c>
      <c r="W171" s="463">
        <f t="shared" si="106"/>
        <v>2.7239002935633451E-2</v>
      </c>
      <c r="X171" s="463">
        <f t="shared" si="107"/>
        <v>5.2190998204320111</v>
      </c>
      <c r="Y171" s="463">
        <f t="shared" si="108"/>
        <v>0.59925806458393593</v>
      </c>
      <c r="Z171" s="463">
        <f t="shared" si="124"/>
        <v>0.20505941374902226</v>
      </c>
      <c r="AA171" s="463">
        <f t="shared" si="125"/>
        <v>0.15997440000000002</v>
      </c>
      <c r="AB171" s="463">
        <f t="shared" si="126"/>
        <v>0</v>
      </c>
      <c r="AC171" s="463">
        <f t="shared" si="109"/>
        <v>1.0722400231478486</v>
      </c>
      <c r="AD171" s="463">
        <f t="shared" si="110"/>
        <v>5.1307459175246413</v>
      </c>
      <c r="AE171" s="463">
        <f t="shared" si="111"/>
        <v>0.26324553670195772</v>
      </c>
      <c r="AF171" s="463">
        <f t="shared" si="127"/>
        <v>0.15746399999999999</v>
      </c>
      <c r="AG171" s="463">
        <f t="shared" si="112"/>
        <v>0.43920869320882538</v>
      </c>
      <c r="AH171" s="463">
        <f t="shared" si="113"/>
        <v>0</v>
      </c>
      <c r="AI171">
        <f t="shared" si="128"/>
        <v>0</v>
      </c>
      <c r="AJ171" s="464">
        <f t="shared" si="129"/>
        <v>0.47679240000000001</v>
      </c>
      <c r="AK171">
        <f t="shared" si="133"/>
        <v>7.2000000000000008E-2</v>
      </c>
      <c r="AL171" s="464">
        <f t="shared" si="134"/>
        <v>0.22559999999999999</v>
      </c>
      <c r="AM171" s="464">
        <f t="shared" si="135"/>
        <v>0.18424406779661015</v>
      </c>
      <c r="AN171" s="464">
        <f t="shared" si="114"/>
        <v>0.29759999999999998</v>
      </c>
      <c r="AO171" s="464">
        <f t="shared" si="115"/>
        <v>3.3911054358084876</v>
      </c>
      <c r="AP171" s="100">
        <f t="shared" si="130"/>
        <v>87.480000000000018</v>
      </c>
      <c r="AQ171" s="10">
        <f t="shared" si="116"/>
        <v>0.96268224734864738</v>
      </c>
      <c r="AR171" s="77">
        <f t="shared" si="117"/>
        <v>45.034080972209644</v>
      </c>
      <c r="AS171" s="77">
        <f t="shared" si="118"/>
        <v>17.568347728353015</v>
      </c>
      <c r="AT171" s="10"/>
      <c r="AU171">
        <f t="shared" si="119"/>
        <v>96.268224734864731</v>
      </c>
    </row>
    <row r="172" spans="7:47" x14ac:dyDescent="0.25">
      <c r="G172">
        <v>163</v>
      </c>
      <c r="H172">
        <f t="shared" si="120"/>
        <v>7.3349999999999991</v>
      </c>
      <c r="I172" s="463">
        <f t="shared" si="97"/>
        <v>0.50858900015807973</v>
      </c>
      <c r="J172" s="464">
        <f t="shared" si="121"/>
        <v>2.2437750006974104</v>
      </c>
      <c r="K172" s="464">
        <f t="shared" si="131"/>
        <v>8.4568875003487047</v>
      </c>
      <c r="L172" s="464">
        <f t="shared" si="98"/>
        <v>6.2131124996512934</v>
      </c>
      <c r="M172" s="77">
        <f t="shared" si="122"/>
        <v>0</v>
      </c>
      <c r="N172" s="463">
        <f t="shared" si="99"/>
        <v>7.3635432269037127</v>
      </c>
      <c r="O172" s="463">
        <f t="shared" si="100"/>
        <v>0.68638980482119738</v>
      </c>
      <c r="P172">
        <f t="shared" si="123"/>
        <v>0.4</v>
      </c>
      <c r="Q172" s="463">
        <f t="shared" si="132"/>
        <v>1.0863898048211973</v>
      </c>
      <c r="R172" s="9">
        <f t="shared" si="101"/>
        <v>0.64772205032680141</v>
      </c>
      <c r="S172" s="9">
        <f t="shared" si="102"/>
        <v>4.1954385447955545E-4</v>
      </c>
      <c r="T172" s="9">
        <f t="shared" si="103"/>
        <v>4.1954385447955545E-4</v>
      </c>
      <c r="U172" s="463">
        <f t="shared" si="104"/>
        <v>5.2513422292307563</v>
      </c>
      <c r="V172" s="465">
        <f t="shared" si="105"/>
        <v>2.7576595208502249E-2</v>
      </c>
      <c r="W172" s="463">
        <f t="shared" si="106"/>
        <v>2.7576595208502249E-2</v>
      </c>
      <c r="X172" s="463">
        <f t="shared" si="107"/>
        <v>5.2513422292307563</v>
      </c>
      <c r="Y172" s="463">
        <f t="shared" si="108"/>
        <v>0.60668509458704944</v>
      </c>
      <c r="Z172" s="463">
        <f t="shared" si="124"/>
        <v>0.20637018728405312</v>
      </c>
      <c r="AA172" s="463">
        <f t="shared" si="125"/>
        <v>0.15997440000000002</v>
      </c>
      <c r="AB172" s="463">
        <f t="shared" si="126"/>
        <v>0</v>
      </c>
      <c r="AC172" s="463">
        <f t="shared" si="109"/>
        <v>1.0834591975573158</v>
      </c>
      <c r="AD172" s="463">
        <f t="shared" si="110"/>
        <v>5.1618963226683743</v>
      </c>
      <c r="AE172" s="463">
        <f t="shared" si="111"/>
        <v>0.26645173645977283</v>
      </c>
      <c r="AF172" s="463">
        <f t="shared" si="127"/>
        <v>0.15843599999999997</v>
      </c>
      <c r="AG172" s="463">
        <f t="shared" si="112"/>
        <v>0.44380829499692176</v>
      </c>
      <c r="AH172" s="463">
        <f t="shared" si="113"/>
        <v>0</v>
      </c>
      <c r="AI172">
        <f t="shared" si="128"/>
        <v>0</v>
      </c>
      <c r="AJ172" s="464">
        <f t="shared" si="129"/>
        <v>0.47677259999999999</v>
      </c>
      <c r="AK172">
        <f t="shared" si="133"/>
        <v>7.2000000000000008E-2</v>
      </c>
      <c r="AL172" s="464">
        <f t="shared" si="134"/>
        <v>0.22559999999999999</v>
      </c>
      <c r="AM172" s="464">
        <f t="shared" si="135"/>
        <v>0.18424406779661015</v>
      </c>
      <c r="AN172" s="464">
        <f t="shared" si="114"/>
        <v>0.29759999999999998</v>
      </c>
      <c r="AO172" s="464">
        <f t="shared" si="115"/>
        <v>3.4160260364384167</v>
      </c>
      <c r="AP172" s="100">
        <f t="shared" si="130"/>
        <v>88.019999999999982</v>
      </c>
      <c r="AQ172" s="10">
        <f t="shared" si="116"/>
        <v>0.96264026134428593</v>
      </c>
      <c r="AR172" s="77">
        <f t="shared" si="117"/>
        <v>45.505286297407267</v>
      </c>
      <c r="AS172" s="77">
        <f t="shared" si="118"/>
        <v>17.75233179987687</v>
      </c>
      <c r="AT172" s="10"/>
      <c r="AU172">
        <f t="shared" si="119"/>
        <v>96.26402613442859</v>
      </c>
    </row>
    <row r="173" spans="7:47" x14ac:dyDescent="0.25">
      <c r="G173">
        <v>164</v>
      </c>
      <c r="H173">
        <f t="shared" si="120"/>
        <v>7.38</v>
      </c>
      <c r="I173" s="463">
        <f t="shared" si="97"/>
        <v>0.50864188856881898</v>
      </c>
      <c r="J173" s="464">
        <f t="shared" si="121"/>
        <v>2.2440083319212603</v>
      </c>
      <c r="K173" s="464">
        <f t="shared" si="131"/>
        <v>8.5020041659606296</v>
      </c>
      <c r="L173" s="464">
        <f t="shared" si="98"/>
        <v>6.2579958340393702</v>
      </c>
      <c r="M173" s="77">
        <f t="shared" si="122"/>
        <v>0</v>
      </c>
      <c r="N173" s="463">
        <f t="shared" si="99"/>
        <v>7.4083757407507571</v>
      </c>
      <c r="O173" s="463">
        <f t="shared" si="100"/>
        <v>0.69523962444784926</v>
      </c>
      <c r="P173">
        <f t="shared" si="123"/>
        <v>0.4</v>
      </c>
      <c r="Q173" s="463">
        <f t="shared" si="132"/>
        <v>1.0952396244478493</v>
      </c>
      <c r="R173" s="9">
        <f t="shared" si="101"/>
        <v>0.64778940724925138</v>
      </c>
      <c r="S173" s="9">
        <f t="shared" si="102"/>
        <v>4.1963111614433645E-4</v>
      </c>
      <c r="T173" s="9">
        <f t="shared" si="103"/>
        <v>4.1963111614433645E-4</v>
      </c>
      <c r="U173" s="463">
        <f t="shared" si="104"/>
        <v>5.2835894275752997</v>
      </c>
      <c r="V173" s="465">
        <f t="shared" si="105"/>
        <v>2.7916317239185483E-2</v>
      </c>
      <c r="W173" s="463">
        <f t="shared" si="106"/>
        <v>2.7916317239185483E-2</v>
      </c>
      <c r="X173" s="463">
        <f t="shared" si="107"/>
        <v>5.2835894275752997</v>
      </c>
      <c r="Y173" s="463">
        <f t="shared" si="108"/>
        <v>0.61415897926208052</v>
      </c>
      <c r="Z173" s="463">
        <f t="shared" si="124"/>
        <v>0.20768096078427453</v>
      </c>
      <c r="AA173" s="463">
        <f t="shared" si="125"/>
        <v>0.15997440000000002</v>
      </c>
      <c r="AB173" s="463">
        <f t="shared" si="126"/>
        <v>0</v>
      </c>
      <c r="AC173" s="463">
        <f t="shared" si="109"/>
        <v>1.0947714437307197</v>
      </c>
      <c r="AD173" s="463">
        <f t="shared" si="110"/>
        <v>5.1930447597684788</v>
      </c>
      <c r="AE173" s="463">
        <f t="shared" si="111"/>
        <v>0.2696771387695886</v>
      </c>
      <c r="AF173" s="463">
        <f t="shared" si="127"/>
        <v>0.15940799999999999</v>
      </c>
      <c r="AG173" s="463">
        <f t="shared" si="112"/>
        <v>0.44843433699801449</v>
      </c>
      <c r="AH173" s="463">
        <f t="shared" si="113"/>
        <v>0</v>
      </c>
      <c r="AI173">
        <f t="shared" si="128"/>
        <v>0</v>
      </c>
      <c r="AJ173" s="464">
        <f t="shared" si="129"/>
        <v>0.47675280000000003</v>
      </c>
      <c r="AK173">
        <f t="shared" si="133"/>
        <v>7.2000000000000008E-2</v>
      </c>
      <c r="AL173" s="464">
        <f t="shared" si="134"/>
        <v>0.22559999999999999</v>
      </c>
      <c r="AM173" s="464">
        <f t="shared" si="135"/>
        <v>0.18424406779661015</v>
      </c>
      <c r="AN173" s="464">
        <f t="shared" si="114"/>
        <v>0.29759999999999998</v>
      </c>
      <c r="AO173" s="464">
        <f t="shared" si="115"/>
        <v>3.4411341535319133</v>
      </c>
      <c r="AP173" s="100">
        <f t="shared" si="130"/>
        <v>88.56</v>
      </c>
      <c r="AQ173" s="10">
        <f t="shared" si="116"/>
        <v>0.96259682899354981</v>
      </c>
      <c r="AR173" s="77">
        <f t="shared" si="117"/>
        <v>45.980400636690227</v>
      </c>
      <c r="AS173" s="77">
        <f t="shared" si="118"/>
        <v>17.937373479920581</v>
      </c>
      <c r="AT173" s="10"/>
      <c r="AU173">
        <f t="shared" si="119"/>
        <v>96.259682899354985</v>
      </c>
    </row>
    <row r="174" spans="7:47" x14ac:dyDescent="0.25">
      <c r="G174">
        <v>165</v>
      </c>
      <c r="H174">
        <f t="shared" si="120"/>
        <v>7.4249999999999998</v>
      </c>
      <c r="I174" s="463">
        <f t="shared" ref="I174:I209" si="136">(Vout+Rdcr*H174+RdsonBot*H174)/(Vin-RdsonTop*H174+RdsonBot*H174)</f>
        <v>0.50869477936840524</v>
      </c>
      <c r="J174" s="464">
        <f t="shared" si="121"/>
        <v>2.2442416736841406</v>
      </c>
      <c r="K174" s="464">
        <f t="shared" si="131"/>
        <v>8.5471208368420708</v>
      </c>
      <c r="L174" s="464">
        <f t="shared" ref="L174:L209" si="137">H174-J174/2</f>
        <v>6.3028791631579297</v>
      </c>
      <c r="M174" s="77">
        <f t="shared" si="122"/>
        <v>0</v>
      </c>
      <c r="N174" s="463">
        <f t="shared" ref="N174:N209" si="138">SQRT(H174^2+(J174^2)/12)</f>
        <v>7.4532102741587156</v>
      </c>
      <c r="O174" s="463">
        <f t="shared" ref="O174:O209" si="139">(N174^2*Rdcr*(1+Ltc*Ta-Ltc*25))/(1-N174^2*Rdcr*Ltc*ThetaCa)</f>
        <v>0.70415556055152884</v>
      </c>
      <c r="P174">
        <f t="shared" si="123"/>
        <v>0.4</v>
      </c>
      <c r="Q174" s="463">
        <f t="shared" si="132"/>
        <v>1.1041555605515287</v>
      </c>
      <c r="R174" s="9">
        <f t="shared" ref="R174:R209" si="140">J174/(2*SQRT(3))</f>
        <v>0.64785676721405749</v>
      </c>
      <c r="S174" s="9">
        <f t="shared" ref="S174:S209" si="141">RCoutEsr*R174^2</f>
        <v>4.1971839082504948E-4</v>
      </c>
      <c r="T174" s="9">
        <f t="shared" ref="T174:T209" si="142">S174</f>
        <v>4.1971839082504948E-4</v>
      </c>
      <c r="U174" s="463">
        <f t="shared" ref="U174:U209" si="143">SQRT(I174)*SQRT(H174^2+(J174^2)/12)</f>
        <v>5.3158413891908864</v>
      </c>
      <c r="V174" s="465">
        <f t="shared" ref="V174:V209" si="144">RCinEsr*U174^2</f>
        <v>2.8258169675034892E-2</v>
      </c>
      <c r="W174" s="463">
        <f t="shared" ref="W174:W209" si="145">V174</f>
        <v>2.8258169675034892E-2</v>
      </c>
      <c r="X174" s="463">
        <f t="shared" ref="X174:X209" si="146">SQRT(I174)*SQRT(H174^2+(J174^2)/12)</f>
        <v>5.3158413891908864</v>
      </c>
      <c r="Y174" s="463">
        <f t="shared" ref="Y174:Y209" si="147">RdsonTop*X174^2</f>
        <v>0.62167973285076761</v>
      </c>
      <c r="Z174" s="463">
        <f t="shared" si="124"/>
        <v>0.20899173424968387</v>
      </c>
      <c r="AA174" s="463">
        <f t="shared" si="125"/>
        <v>0.15997440000000002</v>
      </c>
      <c r="AB174" s="463">
        <f t="shared" si="126"/>
        <v>0</v>
      </c>
      <c r="AC174" s="463">
        <f t="shared" ref="AC174:AC209" si="148">(AB174+AA174+Z174+Y174*(1+RdsonTopTc*Ta-RdsonTopTc*25))/(1-Y174*RdsonTopTc*ThetaJaTop)</f>
        <v>1.1061774702884846</v>
      </c>
      <c r="AD174" s="463">
        <f t="shared" ref="AD174:AD209" si="149">SQRT(1-I174)*SQRT(H174^2+(J174^2)/12)</f>
        <v>5.2241912020704362</v>
      </c>
      <c r="AE174" s="463">
        <f t="shared" ref="AE174:AE209" si="150">RdsonBot*AD174^2</f>
        <v>0.27292173715790152</v>
      </c>
      <c r="AF174" s="463">
        <f t="shared" si="127"/>
        <v>0.16037999999999999</v>
      </c>
      <c r="AG174" s="463">
        <f t="shared" ref="AG174:AG209" si="151">(AF174+AE174*(1+RdsonBotTc*Ta-RdsonBotTc*25))/(1-AE174*RdsonBotTc*ThetaJaBot)</f>
        <v>0.45308689934221591</v>
      </c>
      <c r="AH174" s="463">
        <f t="shared" ref="AH174:AH209" si="152">IF(RDSON_sense=1, 0, AD174^2*Rshunt)</f>
        <v>0</v>
      </c>
      <c r="AI174">
        <f t="shared" si="128"/>
        <v>0</v>
      </c>
      <c r="AJ174" s="464">
        <f t="shared" si="129"/>
        <v>0.47673299999999996</v>
      </c>
      <c r="AK174">
        <f t="shared" si="133"/>
        <v>7.2000000000000008E-2</v>
      </c>
      <c r="AL174" s="464">
        <f t="shared" si="134"/>
        <v>0.22559999999999999</v>
      </c>
      <c r="AM174" s="464">
        <f t="shared" si="135"/>
        <v>0.18424406779661015</v>
      </c>
      <c r="AN174" s="464">
        <f t="shared" ref="AN174:AN209" si="153">SUM(AK174:AL174)</f>
        <v>0.29759999999999998</v>
      </c>
      <c r="AO174" s="464">
        <f t="shared" ref="AO174:AO209" si="154">SUM(Q174,T174,W174,AC174,AJ174,AI174,AG174,AN174, AH174)</f>
        <v>3.4664308182480887</v>
      </c>
      <c r="AP174" s="100">
        <f t="shared" si="130"/>
        <v>89.1</v>
      </c>
      <c r="AQ174" s="10">
        <f t="shared" ref="AQ174:AQ209" si="155">AP174/(AP174+AO174)</f>
        <v>0.96255196632724949</v>
      </c>
      <c r="AR174" s="77">
        <f t="shared" ref="AR174:AR209" si="156">ThetaJaTop*AC174</f>
        <v>46.459453752116353</v>
      </c>
      <c r="AS174" s="77">
        <f t="shared" ref="AS174:AS209" si="157">AG174*ThetaJaBot</f>
        <v>18.123475973688635</v>
      </c>
      <c r="AT174" s="10"/>
      <c r="AU174">
        <f t="shared" ref="AU174:AU209" si="158">AQ174*100</f>
        <v>96.255196632724946</v>
      </c>
    </row>
    <row r="175" spans="7:47" x14ac:dyDescent="0.25">
      <c r="G175">
        <v>166</v>
      </c>
      <c r="H175">
        <f t="shared" si="120"/>
        <v>7.47</v>
      </c>
      <c r="I175" s="463">
        <f t="shared" si="136"/>
        <v>0.50874767255700037</v>
      </c>
      <c r="J175" s="464">
        <f t="shared" si="121"/>
        <v>2.2444750259867661</v>
      </c>
      <c r="K175" s="464">
        <f t="shared" si="131"/>
        <v>8.5922375129933819</v>
      </c>
      <c r="L175" s="464">
        <f t="shared" si="137"/>
        <v>6.3477624870066167</v>
      </c>
      <c r="M175" s="77">
        <f t="shared" si="122"/>
        <v>0</v>
      </c>
      <c r="N175" s="463">
        <f t="shared" si="138"/>
        <v>7.498046790899827</v>
      </c>
      <c r="O175" s="463">
        <f t="shared" si="139"/>
        <v>0.7131378571757071</v>
      </c>
      <c r="P175">
        <f t="shared" si="123"/>
        <v>0.4</v>
      </c>
      <c r="Q175" s="463">
        <f t="shared" si="132"/>
        <v>1.1131378571757071</v>
      </c>
      <c r="R175" s="9">
        <f t="shared" si="140"/>
        <v>0.64792413022142592</v>
      </c>
      <c r="S175" s="9">
        <f t="shared" si="141"/>
        <v>4.1980567852319128E-4</v>
      </c>
      <c r="T175" s="9">
        <f t="shared" si="142"/>
        <v>4.1980567852319128E-4</v>
      </c>
      <c r="U175" s="463">
        <f t="shared" si="143"/>
        <v>5.3480980884292695</v>
      </c>
      <c r="V175" s="465">
        <f t="shared" si="144"/>
        <v>2.8602153163460806E-2</v>
      </c>
      <c r="W175" s="463">
        <f t="shared" si="145"/>
        <v>2.8602153163460806E-2</v>
      </c>
      <c r="X175" s="463">
        <f t="shared" si="146"/>
        <v>5.3480980884292695</v>
      </c>
      <c r="Y175" s="463">
        <f t="shared" si="147"/>
        <v>0.6292473695961377</v>
      </c>
      <c r="Z175" s="463">
        <f t="shared" si="124"/>
        <v>0.21030250768027881</v>
      </c>
      <c r="AA175" s="463">
        <f t="shared" si="125"/>
        <v>0.15997440000000002</v>
      </c>
      <c r="AB175" s="463">
        <f t="shared" si="126"/>
        <v>0</v>
      </c>
      <c r="AC175" s="463">
        <f t="shared" si="148"/>
        <v>1.1176779949207949</v>
      </c>
      <c r="AD175" s="463">
        <f t="shared" si="149"/>
        <v>5.2553356234461734</v>
      </c>
      <c r="AE175" s="463">
        <f t="shared" si="150"/>
        <v>0.27618552515062378</v>
      </c>
      <c r="AF175" s="463">
        <f t="shared" si="127"/>
        <v>0.16135199999999997</v>
      </c>
      <c r="AG175" s="463">
        <f t="shared" si="151"/>
        <v>0.45776606282376198</v>
      </c>
      <c r="AH175" s="463">
        <f t="shared" si="152"/>
        <v>0</v>
      </c>
      <c r="AI175">
        <f t="shared" si="128"/>
        <v>0</v>
      </c>
      <c r="AJ175" s="464">
        <f t="shared" si="129"/>
        <v>0.4767132</v>
      </c>
      <c r="AK175">
        <f t="shared" si="133"/>
        <v>7.2000000000000008E-2</v>
      </c>
      <c r="AL175" s="464">
        <f t="shared" si="134"/>
        <v>0.22559999999999999</v>
      </c>
      <c r="AM175" s="464">
        <f t="shared" si="135"/>
        <v>0.18424406779661015</v>
      </c>
      <c r="AN175" s="464">
        <f t="shared" si="153"/>
        <v>0.29759999999999998</v>
      </c>
      <c r="AO175" s="464">
        <f t="shared" si="154"/>
        <v>3.4919170737622482</v>
      </c>
      <c r="AP175" s="100">
        <f t="shared" si="130"/>
        <v>89.64</v>
      </c>
      <c r="AQ175" s="10">
        <f t="shared" si="155"/>
        <v>0.96250568888218435</v>
      </c>
      <c r="AR175" s="77">
        <f t="shared" si="156"/>
        <v>46.942475786673384</v>
      </c>
      <c r="AS175" s="77">
        <f t="shared" si="157"/>
        <v>18.31064251295048</v>
      </c>
      <c r="AT175" s="10"/>
      <c r="AU175">
        <f t="shared" si="158"/>
        <v>96.250568888218439</v>
      </c>
    </row>
    <row r="176" spans="7:47" x14ac:dyDescent="0.25">
      <c r="G176">
        <v>167</v>
      </c>
      <c r="H176">
        <f t="shared" si="120"/>
        <v>7.5149999999999997</v>
      </c>
      <c r="I176" s="463">
        <f t="shared" si="136"/>
        <v>0.50880056813476637</v>
      </c>
      <c r="J176" s="464">
        <f t="shared" si="121"/>
        <v>2.2447083888298516</v>
      </c>
      <c r="K176" s="464">
        <f t="shared" si="131"/>
        <v>8.6373541944149252</v>
      </c>
      <c r="L176" s="464">
        <f t="shared" si="137"/>
        <v>6.3926458055850741</v>
      </c>
      <c r="M176" s="77">
        <f t="shared" si="122"/>
        <v>0</v>
      </c>
      <c r="N176" s="463">
        <f t="shared" si="138"/>
        <v>7.5428852556061239</v>
      </c>
      <c r="O176" s="463">
        <f t="shared" si="139"/>
        <v>0.72218676066385801</v>
      </c>
      <c r="P176">
        <f t="shared" si="123"/>
        <v>0.4</v>
      </c>
      <c r="Q176" s="463">
        <f t="shared" si="132"/>
        <v>1.122186760663858</v>
      </c>
      <c r="R176" s="9">
        <f t="shared" si="140"/>
        <v>0.64799149627156305</v>
      </c>
      <c r="S176" s="9">
        <f t="shared" si="141"/>
        <v>4.1989297924025908E-4</v>
      </c>
      <c r="T176" s="9">
        <f t="shared" si="142"/>
        <v>4.1989297924025908E-4</v>
      </c>
      <c r="U176" s="463">
        <f t="shared" si="143"/>
        <v>5.3803595002501465</v>
      </c>
      <c r="V176" s="465">
        <f t="shared" si="144"/>
        <v>2.8948268351932007E-2</v>
      </c>
      <c r="W176" s="463">
        <f t="shared" si="145"/>
        <v>2.8948268351932007E-2</v>
      </c>
      <c r="X176" s="463">
        <f t="shared" si="146"/>
        <v>5.3803595002501465</v>
      </c>
      <c r="Y176" s="463">
        <f t="shared" si="147"/>
        <v>0.63686190374250418</v>
      </c>
      <c r="Z176" s="463">
        <f t="shared" si="124"/>
        <v>0.21161328107605706</v>
      </c>
      <c r="AA176" s="463">
        <f t="shared" si="125"/>
        <v>0.15997440000000002</v>
      </c>
      <c r="AB176" s="463">
        <f t="shared" si="126"/>
        <v>0</v>
      </c>
      <c r="AC176" s="463">
        <f t="shared" si="148"/>
        <v>1.1292737445175836</v>
      </c>
      <c r="AD176" s="463">
        <f t="shared" si="149"/>
        <v>5.2864779983755019</v>
      </c>
      <c r="AE176" s="463">
        <f t="shared" si="150"/>
        <v>0.27946849627308257</v>
      </c>
      <c r="AF176" s="463">
        <f t="shared" si="127"/>
        <v>0.16232399999999997</v>
      </c>
      <c r="AG176" s="463">
        <f t="shared" si="151"/>
        <v>0.46247190890512363</v>
      </c>
      <c r="AH176" s="463">
        <f t="shared" si="152"/>
        <v>0</v>
      </c>
      <c r="AI176">
        <f t="shared" si="128"/>
        <v>0</v>
      </c>
      <c r="AJ176" s="464">
        <f t="shared" si="129"/>
        <v>0.47669339999999999</v>
      </c>
      <c r="AK176">
        <f t="shared" si="133"/>
        <v>7.2000000000000008E-2</v>
      </c>
      <c r="AL176" s="464">
        <f t="shared" si="134"/>
        <v>0.22559999999999999</v>
      </c>
      <c r="AM176" s="464">
        <f t="shared" si="135"/>
        <v>0.18424406779661015</v>
      </c>
      <c r="AN176" s="464">
        <f t="shared" si="153"/>
        <v>0.29759999999999998</v>
      </c>
      <c r="AO176" s="464">
        <f t="shared" si="154"/>
        <v>3.517593975417737</v>
      </c>
      <c r="AP176" s="100">
        <f t="shared" si="130"/>
        <v>90.179999999999993</v>
      </c>
      <c r="AQ176" s="10">
        <f t="shared" si="155"/>
        <v>0.96245801171436052</v>
      </c>
      <c r="AR176" s="77">
        <f t="shared" si="156"/>
        <v>47.429497269738512</v>
      </c>
      <c r="AS176" s="77">
        <f t="shared" si="157"/>
        <v>18.498876356204946</v>
      </c>
      <c r="AT176" s="10"/>
      <c r="AU176">
        <f t="shared" si="158"/>
        <v>96.245801171436057</v>
      </c>
    </row>
    <row r="177" spans="7:47" x14ac:dyDescent="0.25">
      <c r="G177">
        <v>168</v>
      </c>
      <c r="H177">
        <f t="shared" si="120"/>
        <v>7.56</v>
      </c>
      <c r="I177" s="463">
        <f t="shared" si="136"/>
        <v>0.50885346610186499</v>
      </c>
      <c r="J177" s="464">
        <f t="shared" si="121"/>
        <v>2.2449417622141103</v>
      </c>
      <c r="K177" s="464">
        <f t="shared" si="131"/>
        <v>8.6824708811070543</v>
      </c>
      <c r="L177" s="464">
        <f t="shared" si="137"/>
        <v>6.4375291188929449</v>
      </c>
      <c r="M177" s="77">
        <f t="shared" si="122"/>
        <v>0</v>
      </c>
      <c r="N177" s="463">
        <f t="shared" si="138"/>
        <v>7.587725633744129</v>
      </c>
      <c r="O177" s="463">
        <f t="shared" si="139"/>
        <v>0.73130251967743454</v>
      </c>
      <c r="P177">
        <f t="shared" si="123"/>
        <v>0.4</v>
      </c>
      <c r="Q177" s="463">
        <f t="shared" si="132"/>
        <v>1.1313025196774347</v>
      </c>
      <c r="R177" s="9">
        <f t="shared" si="140"/>
        <v>0.64805886536467472</v>
      </c>
      <c r="S177" s="9">
        <f t="shared" si="141"/>
        <v>4.1998029297774956E-4</v>
      </c>
      <c r="T177" s="9">
        <f t="shared" si="142"/>
        <v>4.1998029297774956E-4</v>
      </c>
      <c r="U177" s="463">
        <f t="shared" si="143"/>
        <v>5.4126256002032651</v>
      </c>
      <c r="V177" s="465">
        <f t="shared" si="144"/>
        <v>2.9296515887975754E-2</v>
      </c>
      <c r="W177" s="463">
        <f t="shared" si="145"/>
        <v>2.9296515887975754E-2</v>
      </c>
      <c r="X177" s="463">
        <f t="shared" si="146"/>
        <v>5.4126256002032651</v>
      </c>
      <c r="Y177" s="463">
        <f t="shared" si="147"/>
        <v>0.64452334953546653</v>
      </c>
      <c r="Z177" s="463">
        <f t="shared" si="124"/>
        <v>0.21292405443701631</v>
      </c>
      <c r="AA177" s="463">
        <f t="shared" si="125"/>
        <v>0.15997440000000002</v>
      </c>
      <c r="AB177" s="463">
        <f t="shared" si="126"/>
        <v>0</v>
      </c>
      <c r="AC177" s="463">
        <f t="shared" si="148"/>
        <v>1.140965455300887</v>
      </c>
      <c r="AD177" s="463">
        <f t="shared" si="149"/>
        <v>5.3176183019282224</v>
      </c>
      <c r="AE177" s="463">
        <f t="shared" si="150"/>
        <v>0.28277064405001989</v>
      </c>
      <c r="AF177" s="463">
        <f t="shared" si="127"/>
        <v>0.16329599999999997</v>
      </c>
      <c r="AG177" s="463">
        <f t="shared" si="151"/>
        <v>0.46720451972116112</v>
      </c>
      <c r="AH177" s="463">
        <f t="shared" si="152"/>
        <v>0</v>
      </c>
      <c r="AI177">
        <f t="shared" si="128"/>
        <v>0</v>
      </c>
      <c r="AJ177" s="464">
        <f t="shared" si="129"/>
        <v>0.47667360000000003</v>
      </c>
      <c r="AK177">
        <f t="shared" si="133"/>
        <v>7.2000000000000008E-2</v>
      </c>
      <c r="AL177" s="464">
        <f t="shared" si="134"/>
        <v>0.22559999999999999</v>
      </c>
      <c r="AM177" s="464">
        <f t="shared" si="135"/>
        <v>0.18424406779661015</v>
      </c>
      <c r="AN177" s="464">
        <f t="shared" si="153"/>
        <v>0.29759999999999998</v>
      </c>
      <c r="AO177" s="464">
        <f t="shared" si="154"/>
        <v>3.543462590880436</v>
      </c>
      <c r="AP177" s="100">
        <f t="shared" si="130"/>
        <v>90.72</v>
      </c>
      <c r="AQ177" s="10">
        <f t="shared" si="155"/>
        <v>0.96240894941171773</v>
      </c>
      <c r="AR177" s="77">
        <f t="shared" si="156"/>
        <v>47.920549122637254</v>
      </c>
      <c r="AS177" s="77">
        <f t="shared" si="157"/>
        <v>18.688180788846445</v>
      </c>
      <c r="AT177" s="10"/>
      <c r="AU177">
        <f t="shared" si="158"/>
        <v>96.240894941171774</v>
      </c>
    </row>
    <row r="178" spans="7:47" x14ac:dyDescent="0.25">
      <c r="G178">
        <v>169</v>
      </c>
      <c r="H178">
        <f t="shared" si="120"/>
        <v>7.6049999999999995</v>
      </c>
      <c r="I178" s="463">
        <f t="shared" si="136"/>
        <v>0.50890636645845833</v>
      </c>
      <c r="J178" s="464">
        <f t="shared" si="121"/>
        <v>2.2451751461402574</v>
      </c>
      <c r="K178" s="464">
        <f t="shared" si="131"/>
        <v>8.727587573070128</v>
      </c>
      <c r="L178" s="464">
        <f t="shared" si="137"/>
        <v>6.4824124269298711</v>
      </c>
      <c r="M178" s="77">
        <f t="shared" si="122"/>
        <v>0</v>
      </c>
      <c r="N178" s="463">
        <f t="shared" si="138"/>
        <v>7.632567891590428</v>
      </c>
      <c r="O178" s="463">
        <f t="shared" si="139"/>
        <v>0.74048538521405383</v>
      </c>
      <c r="P178">
        <f t="shared" si="123"/>
        <v>0.4</v>
      </c>
      <c r="Q178" s="463">
        <f t="shared" si="132"/>
        <v>1.140485385214054</v>
      </c>
      <c r="R178" s="9">
        <f t="shared" si="140"/>
        <v>0.64812623750096754</v>
      </c>
      <c r="S178" s="9">
        <f t="shared" si="141"/>
        <v>4.2006761973716056E-4</v>
      </c>
      <c r="T178" s="9">
        <f t="shared" si="142"/>
        <v>4.2006761973716056E-4</v>
      </c>
      <c r="U178" s="463">
        <f t="shared" si="143"/>
        <v>5.4448963644111572</v>
      </c>
      <c r="V178" s="465">
        <f t="shared" si="144"/>
        <v>2.9646896419177841E-2</v>
      </c>
      <c r="W178" s="463">
        <f t="shared" si="145"/>
        <v>2.9646896419177841E-2</v>
      </c>
      <c r="X178" s="463">
        <f t="shared" si="146"/>
        <v>5.4448963644111572</v>
      </c>
      <c r="Y178" s="463">
        <f t="shared" si="147"/>
        <v>0.65223172122191242</v>
      </c>
      <c r="Z178" s="463">
        <f t="shared" si="124"/>
        <v>0.21423482776315414</v>
      </c>
      <c r="AA178" s="463">
        <f t="shared" si="125"/>
        <v>0.15997440000000002</v>
      </c>
      <c r="AB178" s="463">
        <f t="shared" si="126"/>
        <v>0</v>
      </c>
      <c r="AC178" s="463">
        <f t="shared" si="148"/>
        <v>1.1527538729596207</v>
      </c>
      <c r="AD178" s="463">
        <f t="shared" si="149"/>
        <v>5.3487565097468499</v>
      </c>
      <c r="AE178" s="463">
        <f t="shared" si="150"/>
        <v>0.28609196200559306</v>
      </c>
      <c r="AF178" s="463">
        <f t="shared" si="127"/>
        <v>0.16426799999999997</v>
      </c>
      <c r="AG178" s="463">
        <f t="shared" si="151"/>
        <v>0.47196397808332474</v>
      </c>
      <c r="AH178" s="463">
        <f t="shared" si="152"/>
        <v>0</v>
      </c>
      <c r="AI178">
        <f t="shared" si="128"/>
        <v>0</v>
      </c>
      <c r="AJ178" s="464">
        <f t="shared" si="129"/>
        <v>0.47665380000000002</v>
      </c>
      <c r="AK178">
        <f t="shared" si="133"/>
        <v>7.2000000000000008E-2</v>
      </c>
      <c r="AL178" s="464">
        <f t="shared" si="134"/>
        <v>0.22559999999999999</v>
      </c>
      <c r="AM178" s="464">
        <f t="shared" si="135"/>
        <v>0.18424406779661015</v>
      </c>
      <c r="AN178" s="464">
        <f t="shared" si="153"/>
        <v>0.29759999999999998</v>
      </c>
      <c r="AO178" s="464">
        <f t="shared" si="154"/>
        <v>3.5695240002959143</v>
      </c>
      <c r="AP178" s="100">
        <f t="shared" si="130"/>
        <v>91.259999999999991</v>
      </c>
      <c r="AQ178" s="10">
        <f t="shared" si="155"/>
        <v>0.96235851610638923</v>
      </c>
      <c r="AR178" s="77">
        <f t="shared" si="156"/>
        <v>48.415662664304072</v>
      </c>
      <c r="AS178" s="77">
        <f t="shared" si="157"/>
        <v>18.878559123332991</v>
      </c>
      <c r="AT178" s="10"/>
      <c r="AU178">
        <f t="shared" si="158"/>
        <v>96.235851610638917</v>
      </c>
    </row>
    <row r="179" spans="7:47" x14ac:dyDescent="0.25">
      <c r="G179">
        <v>170</v>
      </c>
      <c r="H179">
        <f t="shared" si="120"/>
        <v>7.6499999999999995</v>
      </c>
      <c r="I179" s="463">
        <f t="shared" si="136"/>
        <v>0.50895926920470791</v>
      </c>
      <c r="J179" s="464">
        <f t="shared" si="121"/>
        <v>2.2454085406090054</v>
      </c>
      <c r="K179" s="464">
        <f t="shared" si="131"/>
        <v>8.7727042703045015</v>
      </c>
      <c r="L179" s="464">
        <f t="shared" si="137"/>
        <v>6.5272957296954965</v>
      </c>
      <c r="M179" s="77">
        <f t="shared" si="122"/>
        <v>0</v>
      </c>
      <c r="N179" s="463">
        <f t="shared" si="138"/>
        <v>7.6774119962080958</v>
      </c>
      <c r="O179" s="463">
        <f t="shared" si="139"/>
        <v>0.7497356106259081</v>
      </c>
      <c r="P179">
        <f t="shared" si="123"/>
        <v>0.4</v>
      </c>
      <c r="Q179" s="463">
        <f t="shared" si="132"/>
        <v>1.1497356106259082</v>
      </c>
      <c r="R179" s="9">
        <f t="shared" si="140"/>
        <v>0.64819361268064701</v>
      </c>
      <c r="S179" s="9">
        <f t="shared" si="141"/>
        <v>4.2015495951998864E-4</v>
      </c>
      <c r="T179" s="9">
        <f t="shared" si="142"/>
        <v>4.2015495951998864E-4</v>
      </c>
      <c r="U179" s="463">
        <f t="shared" si="143"/>
        <v>5.4771717695524709</v>
      </c>
      <c r="V179" s="465">
        <f t="shared" si="144"/>
        <v>2.9999410593182545E-2</v>
      </c>
      <c r="W179" s="463">
        <f t="shared" si="145"/>
        <v>2.9999410593182545E-2</v>
      </c>
      <c r="X179" s="463">
        <f t="shared" si="146"/>
        <v>5.4771717695524709</v>
      </c>
      <c r="Y179" s="463">
        <f t="shared" si="147"/>
        <v>0.65998703305001594</v>
      </c>
      <c r="Z179" s="463">
        <f t="shared" si="124"/>
        <v>0.21554560105446813</v>
      </c>
      <c r="AA179" s="463">
        <f t="shared" si="125"/>
        <v>0.15997440000000002</v>
      </c>
      <c r="AB179" s="463">
        <f t="shared" si="126"/>
        <v>0</v>
      </c>
      <c r="AC179" s="463">
        <f t="shared" si="148"/>
        <v>1.1646397527868149</v>
      </c>
      <c r="AD179" s="463">
        <f t="shared" si="149"/>
        <v>5.3798925980299499</v>
      </c>
      <c r="AE179" s="463">
        <f t="shared" si="150"/>
        <v>0.28943244366337445</v>
      </c>
      <c r="AF179" s="463">
        <f t="shared" si="127"/>
        <v>0.16523999999999994</v>
      </c>
      <c r="AG179" s="463">
        <f t="shared" si="151"/>
        <v>0.47675036748389865</v>
      </c>
      <c r="AH179" s="463">
        <f t="shared" si="152"/>
        <v>0</v>
      </c>
      <c r="AI179">
        <f t="shared" si="128"/>
        <v>0</v>
      </c>
      <c r="AJ179" s="464">
        <f t="shared" si="129"/>
        <v>0.47663400000000006</v>
      </c>
      <c r="AK179">
        <f t="shared" si="133"/>
        <v>7.2000000000000008E-2</v>
      </c>
      <c r="AL179" s="464">
        <f t="shared" si="134"/>
        <v>0.22559999999999999</v>
      </c>
      <c r="AM179" s="464">
        <f t="shared" si="135"/>
        <v>0.18424406779661015</v>
      </c>
      <c r="AN179" s="464">
        <f t="shared" si="153"/>
        <v>0.29759999999999998</v>
      </c>
      <c r="AO179" s="464">
        <f t="shared" si="154"/>
        <v>3.5957792964493249</v>
      </c>
      <c r="AP179" s="100">
        <f t="shared" si="130"/>
        <v>91.8</v>
      </c>
      <c r="AQ179" s="10">
        <f t="shared" si="155"/>
        <v>0.96230672548651053</v>
      </c>
      <c r="AR179" s="77">
        <f t="shared" si="156"/>
        <v>48.914869617046222</v>
      </c>
      <c r="AS179" s="77">
        <f t="shared" si="157"/>
        <v>19.070014699355944</v>
      </c>
      <c r="AT179" s="10"/>
      <c r="AU179">
        <f t="shared" si="158"/>
        <v>96.230672548651057</v>
      </c>
    </row>
    <row r="180" spans="7:47" x14ac:dyDescent="0.25">
      <c r="G180">
        <v>171</v>
      </c>
      <c r="H180">
        <f t="shared" si="120"/>
        <v>7.6950000000000003</v>
      </c>
      <c r="I180" s="463">
        <f t="shared" si="136"/>
        <v>0.50901217434077617</v>
      </c>
      <c r="J180" s="464">
        <f t="shared" si="121"/>
        <v>2.2456419456210712</v>
      </c>
      <c r="K180" s="464">
        <f t="shared" si="131"/>
        <v>8.8178209728105355</v>
      </c>
      <c r="L180" s="464">
        <f t="shared" si="137"/>
        <v>6.5721790271894651</v>
      </c>
      <c r="M180" s="77">
        <f t="shared" si="122"/>
        <v>0</v>
      </c>
      <c r="N180" s="463">
        <f t="shared" si="138"/>
        <v>7.7222579154239428</v>
      </c>
      <c r="O180" s="463">
        <f t="shared" si="139"/>
        <v>0.75905345163839433</v>
      </c>
      <c r="P180">
        <f t="shared" si="123"/>
        <v>0.4</v>
      </c>
      <c r="Q180" s="463">
        <f t="shared" si="132"/>
        <v>1.1590534516383943</v>
      </c>
      <c r="R180" s="9">
        <f t="shared" si="140"/>
        <v>0.6482609909039202</v>
      </c>
      <c r="S180" s="9">
        <f t="shared" si="141"/>
        <v>4.202423123277325E-4</v>
      </c>
      <c r="T180" s="9">
        <f t="shared" si="142"/>
        <v>4.202423123277325E-4</v>
      </c>
      <c r="U180" s="463">
        <f t="shared" si="143"/>
        <v>5.509451792845879</v>
      </c>
      <c r="V180" s="465">
        <f t="shared" si="144"/>
        <v>3.0354059057692669E-2</v>
      </c>
      <c r="W180" s="463">
        <f t="shared" si="145"/>
        <v>3.0354059057692669E-2</v>
      </c>
      <c r="X180" s="463">
        <f t="shared" si="146"/>
        <v>5.509451792845879</v>
      </c>
      <c r="Y180" s="463">
        <f t="shared" si="147"/>
        <v>0.66778929926923869</v>
      </c>
      <c r="Z180" s="463">
        <f t="shared" si="124"/>
        <v>0.21685637431095606</v>
      </c>
      <c r="AA180" s="463">
        <f t="shared" si="125"/>
        <v>0.15997440000000002</v>
      </c>
      <c r="AB180" s="463">
        <f t="shared" si="126"/>
        <v>0</v>
      </c>
      <c r="AC180" s="463">
        <f t="shared" si="148"/>
        <v>1.1766238598193719</v>
      </c>
      <c r="AD180" s="463">
        <f t="shared" si="149"/>
        <v>5.4110265435160327</v>
      </c>
      <c r="AE180" s="463">
        <f t="shared" si="150"/>
        <v>0.29279208254635064</v>
      </c>
      <c r="AF180" s="463">
        <f t="shared" si="127"/>
        <v>0.166212</v>
      </c>
      <c r="AG180" s="463">
        <f t="shared" si="151"/>
        <v>0.48156377210028978</v>
      </c>
      <c r="AH180" s="463">
        <f t="shared" si="152"/>
        <v>0</v>
      </c>
      <c r="AI180">
        <f t="shared" si="128"/>
        <v>0</v>
      </c>
      <c r="AJ180" s="464">
        <f t="shared" si="129"/>
        <v>0.47661419999999999</v>
      </c>
      <c r="AK180">
        <f t="shared" si="133"/>
        <v>7.2000000000000008E-2</v>
      </c>
      <c r="AL180" s="464">
        <f t="shared" si="134"/>
        <v>0.22559999999999999</v>
      </c>
      <c r="AM180" s="464">
        <f t="shared" si="135"/>
        <v>0.18424406779661015</v>
      </c>
      <c r="AN180" s="464">
        <f t="shared" si="153"/>
        <v>0.29759999999999998</v>
      </c>
      <c r="AO180" s="464">
        <f t="shared" si="154"/>
        <v>3.6222295849280766</v>
      </c>
      <c r="AP180" s="100">
        <f t="shared" si="130"/>
        <v>92.34</v>
      </c>
      <c r="AQ180" s="10">
        <f t="shared" si="155"/>
        <v>0.96225359080759632</v>
      </c>
      <c r="AR180" s="77">
        <f t="shared" si="156"/>
        <v>49.418202112413617</v>
      </c>
      <c r="AS180" s="77">
        <f t="shared" si="157"/>
        <v>19.262550884011592</v>
      </c>
      <c r="AT180" s="10"/>
      <c r="AU180">
        <f t="shared" si="158"/>
        <v>96.225359080759631</v>
      </c>
    </row>
    <row r="181" spans="7:47" x14ac:dyDescent="0.25">
      <c r="G181">
        <v>172</v>
      </c>
      <c r="H181">
        <f t="shared" si="120"/>
        <v>7.74</v>
      </c>
      <c r="I181" s="463">
        <f t="shared" si="136"/>
        <v>0.50906508186682453</v>
      </c>
      <c r="J181" s="464">
        <f t="shared" si="121"/>
        <v>2.2458753611771667</v>
      </c>
      <c r="K181" s="464">
        <f t="shared" si="131"/>
        <v>8.8629376805885833</v>
      </c>
      <c r="L181" s="464">
        <f t="shared" si="137"/>
        <v>6.6170623194114171</v>
      </c>
      <c r="M181" s="77">
        <f t="shared" si="122"/>
        <v>0</v>
      </c>
      <c r="N181" s="463">
        <f t="shared" si="138"/>
        <v>7.7671056178065392</v>
      </c>
      <c r="O181" s="463">
        <f t="shared" si="139"/>
        <v>0.76843916636896925</v>
      </c>
      <c r="P181">
        <f t="shared" si="123"/>
        <v>0.4</v>
      </c>
      <c r="Q181" s="463">
        <f t="shared" si="132"/>
        <v>1.1684391663689693</v>
      </c>
      <c r="R181" s="9">
        <f t="shared" si="140"/>
        <v>0.6483283721709926</v>
      </c>
      <c r="S181" s="9">
        <f t="shared" si="141"/>
        <v>4.2032967816188911E-4</v>
      </c>
      <c r="T181" s="9">
        <f t="shared" si="142"/>
        <v>4.2032967816188911E-4</v>
      </c>
      <c r="U181" s="463">
        <f t="shared" si="143"/>
        <v>5.5417364120345463</v>
      </c>
      <c r="V181" s="465">
        <f t="shared" si="144"/>
        <v>3.0710842460469526E-2</v>
      </c>
      <c r="W181" s="463">
        <f t="shared" si="145"/>
        <v>3.0710842460469526E-2</v>
      </c>
      <c r="X181" s="463">
        <f t="shared" si="146"/>
        <v>5.5417364120345463</v>
      </c>
      <c r="Y181" s="463">
        <f t="shared" si="147"/>
        <v>0.67563853413032948</v>
      </c>
      <c r="Z181" s="463">
        <f t="shared" si="124"/>
        <v>0.2181671475326154</v>
      </c>
      <c r="AA181" s="463">
        <f t="shared" si="125"/>
        <v>0.15997440000000002</v>
      </c>
      <c r="AB181" s="463">
        <f t="shared" si="126"/>
        <v>0</v>
      </c>
      <c r="AC181" s="463">
        <f t="shared" si="148"/>
        <v>1.1887069689803913</v>
      </c>
      <c r="AD181" s="463">
        <f t="shared" si="149"/>
        <v>5.442158323468032</v>
      </c>
      <c r="AE181" s="463">
        <f t="shared" si="150"/>
        <v>0.29617087217692378</v>
      </c>
      <c r="AF181" s="463">
        <f t="shared" si="127"/>
        <v>0.167184</v>
      </c>
      <c r="AG181" s="463">
        <f t="shared" si="151"/>
        <v>0.48640427679936432</v>
      </c>
      <c r="AH181" s="463">
        <f t="shared" si="152"/>
        <v>0</v>
      </c>
      <c r="AI181">
        <f t="shared" si="128"/>
        <v>0</v>
      </c>
      <c r="AJ181" s="464">
        <f t="shared" si="129"/>
        <v>0.47659440000000003</v>
      </c>
      <c r="AK181">
        <f t="shared" si="133"/>
        <v>7.2000000000000008E-2</v>
      </c>
      <c r="AL181" s="464">
        <f t="shared" si="134"/>
        <v>0.22559999999999999</v>
      </c>
      <c r="AM181" s="464">
        <f t="shared" si="135"/>
        <v>0.18424406779661015</v>
      </c>
      <c r="AN181" s="464">
        <f t="shared" si="153"/>
        <v>0.29759999999999998</v>
      </c>
      <c r="AO181" s="464">
        <f t="shared" si="154"/>
        <v>3.6488759842873564</v>
      </c>
      <c r="AP181" s="100">
        <f t="shared" si="130"/>
        <v>92.88</v>
      </c>
      <c r="AQ181" s="10">
        <f t="shared" si="155"/>
        <v>0.96219912490350235</v>
      </c>
      <c r="AR181" s="77">
        <f t="shared" si="156"/>
        <v>49.925692697176437</v>
      </c>
      <c r="AS181" s="77">
        <f t="shared" si="157"/>
        <v>19.456171071974573</v>
      </c>
      <c r="AT181" s="10"/>
      <c r="AU181">
        <f t="shared" si="158"/>
        <v>96.219912490350239</v>
      </c>
    </row>
    <row r="182" spans="7:47" x14ac:dyDescent="0.25">
      <c r="G182">
        <v>173</v>
      </c>
      <c r="H182">
        <f t="shared" si="120"/>
        <v>7.7850000000000001</v>
      </c>
      <c r="I182" s="463">
        <f t="shared" si="136"/>
        <v>0.50911799178301531</v>
      </c>
      <c r="J182" s="464">
        <f t="shared" si="121"/>
        <v>2.2461087872780086</v>
      </c>
      <c r="K182" s="464">
        <f t="shared" si="131"/>
        <v>8.908054393639004</v>
      </c>
      <c r="L182" s="464">
        <f t="shared" si="137"/>
        <v>6.6619456063609963</v>
      </c>
      <c r="M182" s="77">
        <f t="shared" si="122"/>
        <v>0</v>
      </c>
      <c r="N182" s="463">
        <f t="shared" si="138"/>
        <v>7.8119550726450004</v>
      </c>
      <c r="O182" s="463">
        <f t="shared" si="139"/>
        <v>0.77789301534623345</v>
      </c>
      <c r="P182">
        <f t="shared" si="123"/>
        <v>0.4</v>
      </c>
      <c r="Q182" s="463">
        <f t="shared" si="132"/>
        <v>1.1778930153462335</v>
      </c>
      <c r="R182" s="9">
        <f t="shared" si="140"/>
        <v>0.64839575648207104</v>
      </c>
      <c r="S182" s="9">
        <f t="shared" si="141"/>
        <v>4.2041705702395714E-4</v>
      </c>
      <c r="T182" s="9">
        <f t="shared" si="142"/>
        <v>4.2041705702395714E-4</v>
      </c>
      <c r="U182" s="463">
        <f t="shared" si="143"/>
        <v>5.5740256053711255</v>
      </c>
      <c r="V182" s="465">
        <f t="shared" si="144"/>
        <v>3.106976144933294E-2</v>
      </c>
      <c r="W182" s="463">
        <f t="shared" si="145"/>
        <v>3.106976144933294E-2</v>
      </c>
      <c r="X182" s="463">
        <f t="shared" si="146"/>
        <v>5.5740256053711255</v>
      </c>
      <c r="Y182" s="463">
        <f t="shared" si="147"/>
        <v>0.68353475188532464</v>
      </c>
      <c r="Z182" s="463">
        <f t="shared" si="124"/>
        <v>0.21947792071944391</v>
      </c>
      <c r="AA182" s="463">
        <f t="shared" si="125"/>
        <v>0.15997440000000002</v>
      </c>
      <c r="AB182" s="463">
        <f t="shared" si="126"/>
        <v>0</v>
      </c>
      <c r="AC182" s="463">
        <f t="shared" si="148"/>
        <v>1.2008898652241202</v>
      </c>
      <c r="AD182" s="463">
        <f t="shared" si="149"/>
        <v>5.4732879156582852</v>
      </c>
      <c r="AE182" s="463">
        <f t="shared" si="150"/>
        <v>0.29956880607691017</v>
      </c>
      <c r="AF182" s="463">
        <f t="shared" si="127"/>
        <v>0.16815599999999997</v>
      </c>
      <c r="AG182" s="463">
        <f t="shared" si="151"/>
        <v>0.4912719671418273</v>
      </c>
      <c r="AH182" s="463">
        <f t="shared" si="152"/>
        <v>0</v>
      </c>
      <c r="AI182">
        <f t="shared" si="128"/>
        <v>0</v>
      </c>
      <c r="AJ182" s="464">
        <f t="shared" si="129"/>
        <v>0.47657460000000001</v>
      </c>
      <c r="AK182">
        <f t="shared" si="133"/>
        <v>7.2000000000000008E-2</v>
      </c>
      <c r="AL182" s="464">
        <f t="shared" si="134"/>
        <v>0.22559999999999999</v>
      </c>
      <c r="AM182" s="464">
        <f t="shared" si="135"/>
        <v>0.18424406779661015</v>
      </c>
      <c r="AN182" s="464">
        <f t="shared" si="153"/>
        <v>0.29759999999999998</v>
      </c>
      <c r="AO182" s="464">
        <f t="shared" si="154"/>
        <v>3.6757196262185383</v>
      </c>
      <c r="AP182" s="100">
        <f t="shared" si="130"/>
        <v>93.42</v>
      </c>
      <c r="AQ182" s="10">
        <f t="shared" si="155"/>
        <v>0.96214334019698644</v>
      </c>
      <c r="AR182" s="77">
        <f t="shared" si="156"/>
        <v>50.437374339413047</v>
      </c>
      <c r="AS182" s="77">
        <f t="shared" si="157"/>
        <v>19.650878685673092</v>
      </c>
      <c r="AT182" s="10"/>
      <c r="AU182">
        <f t="shared" si="158"/>
        <v>96.21433401969864</v>
      </c>
    </row>
    <row r="183" spans="7:47" x14ac:dyDescent="0.25">
      <c r="G183">
        <v>174</v>
      </c>
      <c r="H183">
        <f t="shared" si="120"/>
        <v>7.83</v>
      </c>
      <c r="I183" s="463">
        <f t="shared" si="136"/>
        <v>0.50917090408951049</v>
      </c>
      <c r="J183" s="464">
        <f t="shared" si="121"/>
        <v>2.2463422239243109</v>
      </c>
      <c r="K183" s="464">
        <f t="shared" si="131"/>
        <v>8.9531711119621562</v>
      </c>
      <c r="L183" s="464">
        <f t="shared" si="137"/>
        <v>6.7068288880378448</v>
      </c>
      <c r="M183" s="77">
        <f t="shared" si="122"/>
        <v>0</v>
      </c>
      <c r="N183" s="463">
        <f t="shared" si="138"/>
        <v>7.8568062499284936</v>
      </c>
      <c r="O183" s="463">
        <f t="shared" si="139"/>
        <v>0.78741526152924501</v>
      </c>
      <c r="P183">
        <f t="shared" si="123"/>
        <v>0.4</v>
      </c>
      <c r="Q183" s="463">
        <f t="shared" si="132"/>
        <v>1.187415261529245</v>
      </c>
      <c r="R183" s="9">
        <f t="shared" si="140"/>
        <v>0.64846314383736181</v>
      </c>
      <c r="S183" s="9">
        <f t="shared" si="141"/>
        <v>4.2050444891543497E-4</v>
      </c>
      <c r="T183" s="9">
        <f t="shared" si="142"/>
        <v>4.2050444891543497E-4</v>
      </c>
      <c r="U183" s="463">
        <f t="shared" si="143"/>
        <v>5.606319351603271</v>
      </c>
      <c r="V183" s="465">
        <f t="shared" si="144"/>
        <v>3.143081667216132E-2</v>
      </c>
      <c r="W183" s="463">
        <f t="shared" si="145"/>
        <v>3.143081667216132E-2</v>
      </c>
      <c r="X183" s="463">
        <f t="shared" si="146"/>
        <v>5.606319351603271</v>
      </c>
      <c r="Y183" s="463">
        <f t="shared" si="147"/>
        <v>0.69147796678754903</v>
      </c>
      <c r="Z183" s="463">
        <f t="shared" si="124"/>
        <v>0.22078869387143926</v>
      </c>
      <c r="AA183" s="463">
        <f t="shared" si="125"/>
        <v>0.15997440000000002</v>
      </c>
      <c r="AB183" s="463">
        <f t="shared" si="126"/>
        <v>0</v>
      </c>
      <c r="AC183" s="463">
        <f t="shared" si="148"/>
        <v>1.2131733436835863</v>
      </c>
      <c r="AD183" s="463">
        <f t="shared" si="149"/>
        <v>5.5044152983540506</v>
      </c>
      <c r="AE183" s="463">
        <f t="shared" si="150"/>
        <v>0.3029858777675411</v>
      </c>
      <c r="AF183" s="463">
        <f t="shared" si="127"/>
        <v>0.16912799999999997</v>
      </c>
      <c r="AG183" s="463">
        <f t="shared" si="151"/>
        <v>0.49616692938665158</v>
      </c>
      <c r="AH183" s="463">
        <f t="shared" si="152"/>
        <v>0</v>
      </c>
      <c r="AI183">
        <f t="shared" si="128"/>
        <v>0</v>
      </c>
      <c r="AJ183" s="464">
        <f t="shared" si="129"/>
        <v>0.4765548</v>
      </c>
      <c r="AK183">
        <f t="shared" si="133"/>
        <v>7.2000000000000008E-2</v>
      </c>
      <c r="AL183" s="464">
        <f t="shared" si="134"/>
        <v>0.22559999999999999</v>
      </c>
      <c r="AM183" s="464">
        <f t="shared" si="135"/>
        <v>0.18424406779661015</v>
      </c>
      <c r="AN183" s="464">
        <f t="shared" si="153"/>
        <v>0.29759999999999998</v>
      </c>
      <c r="AO183" s="464">
        <f t="shared" si="154"/>
        <v>3.7027616557205598</v>
      </c>
      <c r="AP183" s="100">
        <f t="shared" si="130"/>
        <v>93.960000000000008</v>
      </c>
      <c r="AQ183" s="10">
        <f t="shared" si="155"/>
        <v>0.96208624870988713</v>
      </c>
      <c r="AR183" s="77">
        <f t="shared" si="156"/>
        <v>50.953280434710628</v>
      </c>
      <c r="AS183" s="77">
        <f t="shared" si="157"/>
        <v>19.846677175466063</v>
      </c>
      <c r="AT183" s="10"/>
      <c r="AU183">
        <f t="shared" si="158"/>
        <v>96.208624870988714</v>
      </c>
    </row>
    <row r="184" spans="7:47" x14ac:dyDescent="0.25">
      <c r="G184">
        <v>175</v>
      </c>
      <c r="H184">
        <f t="shared" si="120"/>
        <v>7.875</v>
      </c>
      <c r="I184" s="463">
        <f t="shared" si="136"/>
        <v>0.50922381878647172</v>
      </c>
      <c r="J184" s="464">
        <f t="shared" si="121"/>
        <v>2.246575671116787</v>
      </c>
      <c r="K184" s="464">
        <f t="shared" si="131"/>
        <v>8.9982878355583935</v>
      </c>
      <c r="L184" s="464">
        <f t="shared" si="137"/>
        <v>6.7517121644416065</v>
      </c>
      <c r="M184" s="77">
        <f t="shared" si="122"/>
        <v>0</v>
      </c>
      <c r="N184" s="463">
        <f t="shared" si="138"/>
        <v>7.9016591203264284</v>
      </c>
      <c r="O184" s="463">
        <f t="shared" si="139"/>
        <v>0.797006170327066</v>
      </c>
      <c r="P184">
        <f t="shared" si="123"/>
        <v>0.4</v>
      </c>
      <c r="Q184" s="463">
        <f t="shared" si="132"/>
        <v>1.197006170327066</v>
      </c>
      <c r="R184" s="9">
        <f t="shared" si="140"/>
        <v>0.64853053423707063</v>
      </c>
      <c r="S184" s="9">
        <f t="shared" si="141"/>
        <v>4.2059185383782022E-4</v>
      </c>
      <c r="T184" s="9">
        <f t="shared" si="142"/>
        <v>4.2059185383782022E-4</v>
      </c>
      <c r="U184" s="463">
        <f t="shared" si="143"/>
        <v>5.6386176299596302</v>
      </c>
      <c r="V184" s="465">
        <f t="shared" si="144"/>
        <v>3.1794008776891557E-2</v>
      </c>
      <c r="W184" s="463">
        <f t="shared" si="145"/>
        <v>3.1794008776891557E-2</v>
      </c>
      <c r="X184" s="463">
        <f t="shared" si="146"/>
        <v>5.6386176299596302</v>
      </c>
      <c r="Y184" s="463">
        <f t="shared" si="147"/>
        <v>0.69946819309161423</v>
      </c>
      <c r="Z184" s="463">
        <f t="shared" si="124"/>
        <v>0.22209946698859898</v>
      </c>
      <c r="AA184" s="463">
        <f t="shared" si="125"/>
        <v>0.15997440000000002</v>
      </c>
      <c r="AB184" s="463">
        <f t="shared" si="126"/>
        <v>0</v>
      </c>
      <c r="AC184" s="463">
        <f t="shared" si="148"/>
        <v>1.2255582098209592</v>
      </c>
      <c r="AD184" s="463">
        <f t="shared" si="149"/>
        <v>5.5355404503034986</v>
      </c>
      <c r="AE184" s="463">
        <f t="shared" si="150"/>
        <v>0.30642208076946259</v>
      </c>
      <c r="AF184" s="463">
        <f t="shared" si="127"/>
        <v>0.17009999999999997</v>
      </c>
      <c r="AG184" s="463">
        <f t="shared" si="151"/>
        <v>0.50108925049555175</v>
      </c>
      <c r="AH184" s="463">
        <f t="shared" si="152"/>
        <v>0</v>
      </c>
      <c r="AI184">
        <f t="shared" si="128"/>
        <v>0</v>
      </c>
      <c r="AJ184" s="464">
        <f t="shared" si="129"/>
        <v>0.47653500000000004</v>
      </c>
      <c r="AK184">
        <f t="shared" si="133"/>
        <v>7.2000000000000008E-2</v>
      </c>
      <c r="AL184" s="464">
        <f t="shared" si="134"/>
        <v>0.22559999999999999</v>
      </c>
      <c r="AM184" s="464">
        <f t="shared" si="135"/>
        <v>0.18424406779661015</v>
      </c>
      <c r="AN184" s="464">
        <f t="shared" si="153"/>
        <v>0.29759999999999998</v>
      </c>
      <c r="AO184" s="464">
        <f t="shared" si="154"/>
        <v>3.7300032312743063</v>
      </c>
      <c r="AP184" s="100">
        <f t="shared" si="130"/>
        <v>94.5</v>
      </c>
      <c r="AQ184" s="10">
        <f t="shared" si="155"/>
        <v>0.96202786207293178</v>
      </c>
      <c r="AR184" s="77">
        <f t="shared" si="156"/>
        <v>51.473444812480288</v>
      </c>
      <c r="AS184" s="77">
        <f t="shared" si="157"/>
        <v>20.04357001982207</v>
      </c>
      <c r="AT184" s="10"/>
      <c r="AU184">
        <f t="shared" si="158"/>
        <v>96.202786207293173</v>
      </c>
    </row>
    <row r="185" spans="7:47" x14ac:dyDescent="0.25">
      <c r="G185">
        <v>176</v>
      </c>
      <c r="H185">
        <f t="shared" si="120"/>
        <v>7.92</v>
      </c>
      <c r="I185" s="463">
        <f t="shared" si="136"/>
        <v>0.5092767358740613</v>
      </c>
      <c r="J185" s="464">
        <f t="shared" si="121"/>
        <v>2.2468091288561527</v>
      </c>
      <c r="K185" s="464">
        <f t="shared" si="131"/>
        <v>9.0434045644280765</v>
      </c>
      <c r="L185" s="464">
        <f t="shared" si="137"/>
        <v>6.7965954355719234</v>
      </c>
      <c r="M185" s="77">
        <f t="shared" si="122"/>
        <v>0</v>
      </c>
      <c r="N185" s="463">
        <f t="shared" si="138"/>
        <v>7.9465136551693289</v>
      </c>
      <c r="O185" s="463">
        <f t="shared" si="139"/>
        <v>0.8066660096185444</v>
      </c>
      <c r="P185">
        <f t="shared" si="123"/>
        <v>0.4</v>
      </c>
      <c r="Q185" s="463">
        <f t="shared" si="132"/>
        <v>1.2066660096185444</v>
      </c>
      <c r="R185" s="9">
        <f t="shared" si="140"/>
        <v>0.64859792768140423</v>
      </c>
      <c r="S185" s="9">
        <f t="shared" si="141"/>
        <v>4.2067927179261205E-4</v>
      </c>
      <c r="T185" s="9">
        <f t="shared" si="142"/>
        <v>4.2067927179261205E-4</v>
      </c>
      <c r="U185" s="463">
        <f t="shared" si="143"/>
        <v>5.6709204201363237</v>
      </c>
      <c r="V185" s="465">
        <f t="shared" si="144"/>
        <v>3.2159338411519141E-2</v>
      </c>
      <c r="W185" s="463">
        <f t="shared" si="145"/>
        <v>3.2159338411519141E-2</v>
      </c>
      <c r="X185" s="463">
        <f t="shared" si="146"/>
        <v>5.6709204201363237</v>
      </c>
      <c r="Y185" s="463">
        <f t="shared" si="147"/>
        <v>0.70750544505342094</v>
      </c>
      <c r="Z185" s="463">
        <f t="shared" si="124"/>
        <v>0.22341024007092078</v>
      </c>
      <c r="AA185" s="463">
        <f t="shared" si="125"/>
        <v>0.15997440000000002</v>
      </c>
      <c r="AB185" s="463">
        <f t="shared" si="126"/>
        <v>0</v>
      </c>
      <c r="AC185" s="463">
        <f t="shared" si="148"/>
        <v>1.2380452795807169</v>
      </c>
      <c r="AD185" s="463">
        <f t="shared" si="149"/>
        <v>5.5666633507221785</v>
      </c>
      <c r="AE185" s="463">
        <f t="shared" si="150"/>
        <v>0.30987740860273472</v>
      </c>
      <c r="AF185" s="463">
        <f t="shared" si="127"/>
        <v>0.17107199999999997</v>
      </c>
      <c r="AG185" s="463">
        <f t="shared" si="151"/>
        <v>0.5060390181375064</v>
      </c>
      <c r="AH185" s="463">
        <f t="shared" si="152"/>
        <v>0</v>
      </c>
      <c r="AI185">
        <f t="shared" si="128"/>
        <v>0</v>
      </c>
      <c r="AJ185" s="464">
        <f t="shared" si="129"/>
        <v>0.47651519999999997</v>
      </c>
      <c r="AK185">
        <f t="shared" si="133"/>
        <v>7.2000000000000008E-2</v>
      </c>
      <c r="AL185" s="464">
        <f t="shared" si="134"/>
        <v>0.22559999999999999</v>
      </c>
      <c r="AM185" s="464">
        <f t="shared" si="135"/>
        <v>0.18424406779661015</v>
      </c>
      <c r="AN185" s="464">
        <f t="shared" si="153"/>
        <v>0.29759999999999998</v>
      </c>
      <c r="AO185" s="464">
        <f t="shared" si="154"/>
        <v>3.7574455250200796</v>
      </c>
      <c r="AP185" s="100">
        <f t="shared" si="130"/>
        <v>95.039999999999992</v>
      </c>
      <c r="AQ185" s="10">
        <f t="shared" si="155"/>
        <v>0.96196819153518986</v>
      </c>
      <c r="AR185" s="77">
        <f t="shared" si="156"/>
        <v>51.997901742390106</v>
      </c>
      <c r="AS185" s="77">
        <f t="shared" si="157"/>
        <v>20.241560725500257</v>
      </c>
      <c r="AT185" s="10"/>
      <c r="AU185">
        <f t="shared" si="158"/>
        <v>96.196819153518987</v>
      </c>
    </row>
    <row r="186" spans="7:47" x14ac:dyDescent="0.25">
      <c r="G186">
        <v>177</v>
      </c>
      <c r="H186">
        <f t="shared" si="120"/>
        <v>7.9649999999999999</v>
      </c>
      <c r="I186" s="463">
        <f t="shared" si="136"/>
        <v>0.50932965535244101</v>
      </c>
      <c r="J186" s="464">
        <f t="shared" si="121"/>
        <v>2.247042597143122</v>
      </c>
      <c r="K186" s="464">
        <f t="shared" si="131"/>
        <v>9.0885212985715604</v>
      </c>
      <c r="L186" s="464">
        <f t="shared" si="137"/>
        <v>6.8414787014284393</v>
      </c>
      <c r="M186" s="77">
        <f t="shared" si="122"/>
        <v>0</v>
      </c>
      <c r="N186" s="463">
        <f t="shared" si="138"/>
        <v>7.9913698264303417</v>
      </c>
      <c r="O186" s="463">
        <f t="shared" si="139"/>
        <v>0.81639504977233845</v>
      </c>
      <c r="P186">
        <f t="shared" si="123"/>
        <v>0.4</v>
      </c>
      <c r="Q186" s="463">
        <f t="shared" si="132"/>
        <v>1.2163950497723386</v>
      </c>
      <c r="R186" s="9">
        <f t="shared" si="140"/>
        <v>0.64866532417056866</v>
      </c>
      <c r="S186" s="9">
        <f t="shared" si="141"/>
        <v>4.2076670278130889E-4</v>
      </c>
      <c r="T186" s="9">
        <f t="shared" si="142"/>
        <v>4.2076670278130889E-4</v>
      </c>
      <c r="U186" s="463">
        <f t="shared" si="143"/>
        <v>5.7032277022838613</v>
      </c>
      <c r="V186" s="465">
        <f t="shared" si="144"/>
        <v>3.2526806224098051E-2</v>
      </c>
      <c r="W186" s="463">
        <f t="shared" si="145"/>
        <v>3.2526806224098051E-2</v>
      </c>
      <c r="X186" s="463">
        <f t="shared" si="146"/>
        <v>5.7032277022838613</v>
      </c>
      <c r="Y186" s="463">
        <f t="shared" si="147"/>
        <v>0.71558973693015715</v>
      </c>
      <c r="Z186" s="463">
        <f t="shared" si="124"/>
        <v>0.22472101311840223</v>
      </c>
      <c r="AA186" s="463">
        <f t="shared" si="125"/>
        <v>0.15997440000000002</v>
      </c>
      <c r="AB186" s="463">
        <f t="shared" si="126"/>
        <v>0</v>
      </c>
      <c r="AC186" s="463">
        <f t="shared" si="148"/>
        <v>1.250635379545656</v>
      </c>
      <c r="AD186" s="463">
        <f t="shared" si="149"/>
        <v>5.5977839792799484</v>
      </c>
      <c r="AE186" s="463">
        <f t="shared" si="150"/>
        <v>0.31335185478683253</v>
      </c>
      <c r="AF186" s="463">
        <f t="shared" si="127"/>
        <v>0.17204399999999997</v>
      </c>
      <c r="AG186" s="463">
        <f t="shared" si="151"/>
        <v>0.51101632069332803</v>
      </c>
      <c r="AH186" s="463">
        <f t="shared" si="152"/>
        <v>0</v>
      </c>
      <c r="AI186">
        <f t="shared" si="128"/>
        <v>0</v>
      </c>
      <c r="AJ186" s="464">
        <f t="shared" si="129"/>
        <v>0.47649540000000001</v>
      </c>
      <c r="AK186">
        <f t="shared" si="133"/>
        <v>7.2000000000000008E-2</v>
      </c>
      <c r="AL186" s="464">
        <f t="shared" si="134"/>
        <v>0.22559999999999999</v>
      </c>
      <c r="AM186" s="464">
        <f t="shared" si="135"/>
        <v>0.18424406779661015</v>
      </c>
      <c r="AN186" s="464">
        <f t="shared" si="153"/>
        <v>0.29759999999999998</v>
      </c>
      <c r="AO186" s="464">
        <f t="shared" si="154"/>
        <v>3.7850897229382023</v>
      </c>
      <c r="AP186" s="100">
        <f t="shared" si="130"/>
        <v>95.58</v>
      </c>
      <c r="AQ186" s="10">
        <f t="shared" si="155"/>
        <v>0.96190724797318417</v>
      </c>
      <c r="AR186" s="77">
        <f t="shared" si="156"/>
        <v>52.526685940917552</v>
      </c>
      <c r="AS186" s="77">
        <f t="shared" si="157"/>
        <v>20.440652827733121</v>
      </c>
      <c r="AT186" s="10"/>
      <c r="AU186">
        <f t="shared" si="158"/>
        <v>96.19072479731841</v>
      </c>
    </row>
    <row r="187" spans="7:47" x14ac:dyDescent="0.25">
      <c r="G187">
        <v>178</v>
      </c>
      <c r="H187">
        <f t="shared" si="120"/>
        <v>8.01</v>
      </c>
      <c r="I187" s="463">
        <f t="shared" si="136"/>
        <v>0.50938257722177316</v>
      </c>
      <c r="J187" s="464">
        <f t="shared" si="121"/>
        <v>2.2472760759784109</v>
      </c>
      <c r="K187" s="464">
        <f t="shared" si="131"/>
        <v>9.1336380379892059</v>
      </c>
      <c r="L187" s="464">
        <f t="shared" si="137"/>
        <v>6.8863619620107945</v>
      </c>
      <c r="M187" s="77">
        <f t="shared" si="122"/>
        <v>0</v>
      </c>
      <c r="N187" s="463">
        <f t="shared" si="138"/>
        <v>8.0362276067073548</v>
      </c>
      <c r="O187" s="463">
        <f t="shared" si="139"/>
        <v>0.82619356366717778</v>
      </c>
      <c r="P187">
        <f t="shared" si="123"/>
        <v>0.4</v>
      </c>
      <c r="Q187" s="463">
        <f t="shared" si="132"/>
        <v>1.2261935636671777</v>
      </c>
      <c r="R187" s="9">
        <f t="shared" si="140"/>
        <v>0.64873272370477075</v>
      </c>
      <c r="S187" s="9">
        <f t="shared" si="141"/>
        <v>4.2085414680541046E-4</v>
      </c>
      <c r="T187" s="9">
        <f t="shared" si="142"/>
        <v>4.2085414680541046E-4</v>
      </c>
      <c r="U187" s="463">
        <f t="shared" si="143"/>
        <v>5.7355394569945117</v>
      </c>
      <c r="V187" s="465">
        <f t="shared" si="144"/>
        <v>3.2896412862740899E-2</v>
      </c>
      <c r="W187" s="463">
        <f t="shared" si="145"/>
        <v>3.2896412862740899E-2</v>
      </c>
      <c r="X187" s="463">
        <f t="shared" si="146"/>
        <v>5.7355394569945117</v>
      </c>
      <c r="Y187" s="463">
        <f t="shared" si="147"/>
        <v>0.72372108298029969</v>
      </c>
      <c r="Z187" s="463">
        <f t="shared" si="124"/>
        <v>0.22603178613104105</v>
      </c>
      <c r="AA187" s="463">
        <f t="shared" si="125"/>
        <v>0.15997440000000002</v>
      </c>
      <c r="AB187" s="463">
        <f t="shared" si="126"/>
        <v>0</v>
      </c>
      <c r="AC187" s="463">
        <f t="shared" si="148"/>
        <v>1.2633293470958264</v>
      </c>
      <c r="AD187" s="463">
        <f t="shared" si="149"/>
        <v>5.6289023160883263</v>
      </c>
      <c r="AE187" s="463">
        <f t="shared" si="150"/>
        <v>0.31684541284064521</v>
      </c>
      <c r="AF187" s="463">
        <f t="shared" si="127"/>
        <v>0.17301599999999998</v>
      </c>
      <c r="AG187" s="463">
        <f t="shared" si="151"/>
        <v>0.51602124726028176</v>
      </c>
      <c r="AH187" s="463">
        <f t="shared" si="152"/>
        <v>0</v>
      </c>
      <c r="AI187">
        <f t="shared" si="128"/>
        <v>0</v>
      </c>
      <c r="AJ187" s="464">
        <f t="shared" si="129"/>
        <v>0.4764756</v>
      </c>
      <c r="AK187">
        <f t="shared" si="133"/>
        <v>7.2000000000000008E-2</v>
      </c>
      <c r="AL187" s="464">
        <f t="shared" si="134"/>
        <v>0.22559999999999999</v>
      </c>
      <c r="AM187" s="464">
        <f t="shared" si="135"/>
        <v>0.18424406779661015</v>
      </c>
      <c r="AN187" s="464">
        <f t="shared" si="153"/>
        <v>0.29759999999999998</v>
      </c>
      <c r="AO187" s="464">
        <f t="shared" si="154"/>
        <v>3.8129370250328325</v>
      </c>
      <c r="AP187" s="100">
        <f t="shared" si="130"/>
        <v>96.12</v>
      </c>
      <c r="AQ187" s="10">
        <f t="shared" si="155"/>
        <v>0.96184504189967202</v>
      </c>
      <c r="AR187" s="77">
        <f t="shared" si="156"/>
        <v>53.059832578024711</v>
      </c>
      <c r="AS187" s="77">
        <f t="shared" si="157"/>
        <v>20.640849890411271</v>
      </c>
      <c r="AT187" s="10"/>
      <c r="AU187">
        <f t="shared" si="158"/>
        <v>96.1845041899672</v>
      </c>
    </row>
    <row r="188" spans="7:47" x14ac:dyDescent="0.25">
      <c r="G188">
        <v>179</v>
      </c>
      <c r="H188">
        <f t="shared" si="120"/>
        <v>8.0549999999999997</v>
      </c>
      <c r="I188" s="463">
        <f t="shared" si="136"/>
        <v>0.50943550148221961</v>
      </c>
      <c r="J188" s="464">
        <f t="shared" si="121"/>
        <v>2.2475095653627335</v>
      </c>
      <c r="K188" s="464">
        <f t="shared" si="131"/>
        <v>9.1787547826813665</v>
      </c>
      <c r="L188" s="464">
        <f t="shared" si="137"/>
        <v>6.931245217318633</v>
      </c>
      <c r="M188" s="77">
        <f t="shared" si="122"/>
        <v>0</v>
      </c>
      <c r="N188" s="463">
        <f t="shared" si="138"/>
        <v>8.0810869692057139</v>
      </c>
      <c r="O188" s="463">
        <f t="shared" si="139"/>
        <v>0.83606182671237328</v>
      </c>
      <c r="P188">
        <f t="shared" si="123"/>
        <v>0.4</v>
      </c>
      <c r="Q188" s="463">
        <f t="shared" si="132"/>
        <v>1.2360618267123733</v>
      </c>
      <c r="R188" s="9">
        <f t="shared" si="140"/>
        <v>0.64880012628421657</v>
      </c>
      <c r="S188" s="9">
        <f t="shared" si="141"/>
        <v>4.209416038664154E-4</v>
      </c>
      <c r="T188" s="9">
        <f t="shared" si="142"/>
        <v>4.209416038664154E-4</v>
      </c>
      <c r="U188" s="463">
        <f t="shared" si="143"/>
        <v>5.7678556652900737</v>
      </c>
      <c r="V188" s="465">
        <f t="shared" si="144"/>
        <v>3.32681589756188E-2</v>
      </c>
      <c r="W188" s="463">
        <f t="shared" si="145"/>
        <v>3.32681589756188E-2</v>
      </c>
      <c r="X188" s="463">
        <f t="shared" si="146"/>
        <v>5.7678556652900737</v>
      </c>
      <c r="Y188" s="463">
        <f t="shared" si="147"/>
        <v>0.73189949746361349</v>
      </c>
      <c r="Z188" s="463">
        <f t="shared" si="124"/>
        <v>0.22734255910883483</v>
      </c>
      <c r="AA188" s="463">
        <f t="shared" si="125"/>
        <v>0.15997440000000002</v>
      </c>
      <c r="AB188" s="463">
        <f t="shared" si="126"/>
        <v>0</v>
      </c>
      <c r="AC188" s="463">
        <f t="shared" si="148"/>
        <v>1.2761280305704352</v>
      </c>
      <c r="AD188" s="463">
        <f t="shared" si="149"/>
        <v>5.6600183416882661</v>
      </c>
      <c r="AE188" s="463">
        <f t="shared" si="150"/>
        <v>0.32035807628247592</v>
      </c>
      <c r="AF188" s="463">
        <f t="shared" si="127"/>
        <v>0.17398799999999998</v>
      </c>
      <c r="AG188" s="463">
        <f t="shared" si="151"/>
        <v>0.52105388765675142</v>
      </c>
      <c r="AH188" s="463">
        <f t="shared" si="152"/>
        <v>0</v>
      </c>
      <c r="AI188">
        <f t="shared" si="128"/>
        <v>0</v>
      </c>
      <c r="AJ188" s="464">
        <f t="shared" si="129"/>
        <v>0.47645580000000004</v>
      </c>
      <c r="AK188">
        <f t="shared" si="133"/>
        <v>7.2000000000000008E-2</v>
      </c>
      <c r="AL188" s="464">
        <f t="shared" si="134"/>
        <v>0.22559999999999999</v>
      </c>
      <c r="AM188" s="464">
        <f t="shared" si="135"/>
        <v>0.18424406779661015</v>
      </c>
      <c r="AN188" s="464">
        <f t="shared" si="153"/>
        <v>0.29759999999999998</v>
      </c>
      <c r="AO188" s="464">
        <f t="shared" si="154"/>
        <v>3.8409886455190452</v>
      </c>
      <c r="AP188" s="100">
        <f t="shared" si="130"/>
        <v>96.66</v>
      </c>
      <c r="AQ188" s="10">
        <f t="shared" si="155"/>
        <v>0.9617815834721114</v>
      </c>
      <c r="AR188" s="77">
        <f t="shared" si="156"/>
        <v>53.597377283958281</v>
      </c>
      <c r="AS188" s="77">
        <f t="shared" si="157"/>
        <v>20.842155506270057</v>
      </c>
      <c r="AT188" s="10"/>
      <c r="AU188">
        <f t="shared" si="158"/>
        <v>96.178158347211138</v>
      </c>
    </row>
    <row r="189" spans="7:47" x14ac:dyDescent="0.25">
      <c r="G189">
        <v>180</v>
      </c>
      <c r="H189">
        <f t="shared" si="120"/>
        <v>8.1</v>
      </c>
      <c r="I189" s="463">
        <f t="shared" si="136"/>
        <v>0.50948842813394246</v>
      </c>
      <c r="J189" s="464">
        <f t="shared" si="121"/>
        <v>2.2477430652968047</v>
      </c>
      <c r="K189" s="464">
        <f t="shared" si="131"/>
        <v>9.2238715326484026</v>
      </c>
      <c r="L189" s="464">
        <f t="shared" si="137"/>
        <v>6.9761284673515975</v>
      </c>
      <c r="M189" s="77">
        <f t="shared" si="122"/>
        <v>0</v>
      </c>
      <c r="N189" s="463">
        <f t="shared" si="138"/>
        <v>8.1259478877215194</v>
      </c>
      <c r="O189" s="463">
        <f t="shared" si="139"/>
        <v>0.84600011686857624</v>
      </c>
      <c r="P189">
        <f t="shared" si="123"/>
        <v>0.4</v>
      </c>
      <c r="Q189" s="463">
        <f t="shared" si="132"/>
        <v>1.2460001168685761</v>
      </c>
      <c r="R189" s="9">
        <f t="shared" si="140"/>
        <v>0.64886753190911239</v>
      </c>
      <c r="S189" s="9">
        <f t="shared" si="141"/>
        <v>4.2102907396582301E-4</v>
      </c>
      <c r="T189" s="9">
        <f t="shared" si="142"/>
        <v>4.2102907396582301E-4</v>
      </c>
      <c r="U189" s="463">
        <f t="shared" si="143"/>
        <v>5.8001763086100668</v>
      </c>
      <c r="V189" s="465">
        <f t="shared" si="144"/>
        <v>3.3642045210961501E-2</v>
      </c>
      <c r="W189" s="463">
        <f t="shared" si="145"/>
        <v>3.3642045210961501E-2</v>
      </c>
      <c r="X189" s="463">
        <f t="shared" si="146"/>
        <v>5.8001763086100668</v>
      </c>
      <c r="Y189" s="463">
        <f t="shared" si="147"/>
        <v>0.74012499464115289</v>
      </c>
      <c r="Z189" s="463">
        <f t="shared" si="124"/>
        <v>0.22865333205178126</v>
      </c>
      <c r="AA189" s="463">
        <f t="shared" si="125"/>
        <v>0.15997440000000002</v>
      </c>
      <c r="AB189" s="463">
        <f t="shared" si="126"/>
        <v>0</v>
      </c>
      <c r="AC189" s="463">
        <f t="shared" si="148"/>
        <v>1.2890322894327999</v>
      </c>
      <c r="AD189" s="463">
        <f t="shared" si="149"/>
        <v>5.6911320370383534</v>
      </c>
      <c r="AE189" s="463">
        <f t="shared" si="150"/>
        <v>0.32388983863004323</v>
      </c>
      <c r="AF189" s="463">
        <f t="shared" si="127"/>
        <v>0.17495999999999998</v>
      </c>
      <c r="AG189" s="463">
        <f t="shared" si="151"/>
        <v>0.52611433242695849</v>
      </c>
      <c r="AH189" s="463">
        <f t="shared" si="152"/>
        <v>0</v>
      </c>
      <c r="AI189">
        <f t="shared" si="128"/>
        <v>0</v>
      </c>
      <c r="AJ189" s="464">
        <f t="shared" si="129"/>
        <v>0.47643600000000003</v>
      </c>
      <c r="AK189">
        <f t="shared" si="133"/>
        <v>7.2000000000000008E-2</v>
      </c>
      <c r="AL189" s="464">
        <f t="shared" si="134"/>
        <v>0.22559999999999999</v>
      </c>
      <c r="AM189" s="464">
        <f t="shared" si="135"/>
        <v>0.18424406779661015</v>
      </c>
      <c r="AN189" s="464">
        <f t="shared" si="153"/>
        <v>0.29759999999999998</v>
      </c>
      <c r="AO189" s="464">
        <f t="shared" si="154"/>
        <v>3.8692458130132623</v>
      </c>
      <c r="AP189" s="100">
        <f t="shared" si="130"/>
        <v>97.199999999999989</v>
      </c>
      <c r="AQ189" s="10">
        <f t="shared" si="155"/>
        <v>0.96171688250081833</v>
      </c>
      <c r="AR189" s="77">
        <f t="shared" si="156"/>
        <v>54.139356156177598</v>
      </c>
      <c r="AS189" s="77">
        <f t="shared" si="157"/>
        <v>21.04457329707834</v>
      </c>
      <c r="AT189" s="10"/>
      <c r="AU189">
        <f t="shared" si="158"/>
        <v>96.171688250081829</v>
      </c>
    </row>
    <row r="190" spans="7:47" x14ac:dyDescent="0.25">
      <c r="G190">
        <v>181</v>
      </c>
      <c r="H190">
        <f t="shared" si="120"/>
        <v>8.1449999999999996</v>
      </c>
      <c r="I190" s="463">
        <f t="shared" si="136"/>
        <v>0.50954135717710369</v>
      </c>
      <c r="J190" s="464">
        <f t="shared" si="121"/>
        <v>2.2479765757813395</v>
      </c>
      <c r="K190" s="464">
        <f t="shared" si="131"/>
        <v>9.2689882878906698</v>
      </c>
      <c r="L190" s="464">
        <f t="shared" si="137"/>
        <v>7.0210117121093294</v>
      </c>
      <c r="M190" s="77">
        <f t="shared" si="122"/>
        <v>0</v>
      </c>
      <c r="N190" s="463">
        <f t="shared" si="138"/>
        <v>8.1708103366254399</v>
      </c>
      <c r="O190" s="463">
        <f t="shared" si="139"/>
        <v>0.85600871466878115</v>
      </c>
      <c r="P190">
        <f t="shared" si="123"/>
        <v>0.4</v>
      </c>
      <c r="Q190" s="463">
        <f t="shared" si="132"/>
        <v>1.2560087146687811</v>
      </c>
      <c r="R190" s="9">
        <f t="shared" si="140"/>
        <v>0.64893494057966483</v>
      </c>
      <c r="S190" s="9">
        <f t="shared" si="141"/>
        <v>4.2111655710513316E-4</v>
      </c>
      <c r="T190" s="9">
        <f t="shared" si="142"/>
        <v>4.2111655710513316E-4</v>
      </c>
      <c r="U190" s="463">
        <f t="shared" si="143"/>
        <v>5.8325013688002905</v>
      </c>
      <c r="V190" s="465">
        <f t="shared" si="144"/>
        <v>3.4018072217057257E-2</v>
      </c>
      <c r="W190" s="463">
        <f t="shared" si="145"/>
        <v>3.4018072217057257E-2</v>
      </c>
      <c r="X190" s="463">
        <f t="shared" si="146"/>
        <v>5.8325013688002905</v>
      </c>
      <c r="Y190" s="463">
        <f t="shared" si="147"/>
        <v>0.74839758877525964</v>
      </c>
      <c r="Z190" s="463">
        <f t="shared" si="124"/>
        <v>0.22996410495987787</v>
      </c>
      <c r="AA190" s="463">
        <f t="shared" si="125"/>
        <v>0.15997440000000002</v>
      </c>
      <c r="AB190" s="463">
        <f t="shared" si="126"/>
        <v>0</v>
      </c>
      <c r="AC190" s="463">
        <f t="shared" si="148"/>
        <v>1.3020429944383998</v>
      </c>
      <c r="AD190" s="463">
        <f t="shared" si="149"/>
        <v>5.7222433835033506</v>
      </c>
      <c r="AE190" s="463">
        <f t="shared" si="150"/>
        <v>0.32744069340047871</v>
      </c>
      <c r="AF190" s="463">
        <f t="shared" si="127"/>
        <v>0.17593199999999998</v>
      </c>
      <c r="AG190" s="463">
        <f t="shared" si="151"/>
        <v>0.53120267284572542</v>
      </c>
      <c r="AH190" s="463">
        <f t="shared" si="152"/>
        <v>0</v>
      </c>
      <c r="AI190">
        <f t="shared" si="128"/>
        <v>0</v>
      </c>
      <c r="AJ190" s="464">
        <f t="shared" si="129"/>
        <v>0.47641620000000007</v>
      </c>
      <c r="AK190">
        <f t="shared" si="133"/>
        <v>7.2000000000000008E-2</v>
      </c>
      <c r="AL190" s="464">
        <f t="shared" si="134"/>
        <v>0.22559999999999999</v>
      </c>
      <c r="AM190" s="464">
        <f t="shared" si="135"/>
        <v>0.18424406779661015</v>
      </c>
      <c r="AN190" s="464">
        <f t="shared" si="153"/>
        <v>0.29759999999999998</v>
      </c>
      <c r="AO190" s="464">
        <f t="shared" si="154"/>
        <v>3.8977097707270687</v>
      </c>
      <c r="AP190" s="100">
        <f t="shared" si="130"/>
        <v>97.74</v>
      </c>
      <c r="AQ190" s="10">
        <f t="shared" si="155"/>
        <v>0.96165094845683285</v>
      </c>
      <c r="AR190" s="77">
        <f t="shared" si="156"/>
        <v>54.685805766412791</v>
      </c>
      <c r="AS190" s="77">
        <f t="shared" si="157"/>
        <v>21.248106913829016</v>
      </c>
      <c r="AT190" s="10"/>
      <c r="AU190">
        <f t="shared" si="158"/>
        <v>96.165094845683285</v>
      </c>
    </row>
    <row r="191" spans="7:47" x14ac:dyDescent="0.25">
      <c r="G191">
        <v>182</v>
      </c>
      <c r="H191">
        <f t="shared" si="120"/>
        <v>8.19</v>
      </c>
      <c r="I191" s="463">
        <f t="shared" si="136"/>
        <v>0.50959428861186562</v>
      </c>
      <c r="J191" s="464">
        <f t="shared" si="121"/>
        <v>2.2482100968170542</v>
      </c>
      <c r="K191" s="464">
        <f t="shared" si="131"/>
        <v>9.3141050484085266</v>
      </c>
      <c r="L191" s="464">
        <f t="shared" si="137"/>
        <v>7.0658949515914724</v>
      </c>
      <c r="M191" s="77">
        <f t="shared" si="122"/>
        <v>0</v>
      </c>
      <c r="N191" s="463">
        <f t="shared" si="138"/>
        <v>8.2156742908470903</v>
      </c>
      <c r="O191" s="463">
        <f t="shared" si="139"/>
        <v>0.86608790323959228</v>
      </c>
      <c r="P191">
        <f t="shared" si="123"/>
        <v>0.4</v>
      </c>
      <c r="Q191" s="463">
        <f t="shared" si="132"/>
        <v>1.2660879032395922</v>
      </c>
      <c r="R191" s="9">
        <f t="shared" si="140"/>
        <v>0.6490023522960805</v>
      </c>
      <c r="S191" s="9">
        <f t="shared" si="141"/>
        <v>4.2120405328584579E-4</v>
      </c>
      <c r="T191" s="9">
        <f t="shared" si="142"/>
        <v>4.2120405328584579E-4</v>
      </c>
      <c r="U191" s="463">
        <f t="shared" si="143"/>
        <v>5.8648308281017787</v>
      </c>
      <c r="V191" s="465">
        <f t="shared" si="144"/>
        <v>3.4396240642252995E-2</v>
      </c>
      <c r="W191" s="463">
        <f t="shared" si="145"/>
        <v>3.4396240642252995E-2</v>
      </c>
      <c r="X191" s="463">
        <f t="shared" si="146"/>
        <v>5.8648308281017787</v>
      </c>
      <c r="Y191" s="463">
        <f t="shared" si="147"/>
        <v>0.7567172941295659</v>
      </c>
      <c r="Z191" s="463">
        <f t="shared" si="124"/>
        <v>0.23127487783312242</v>
      </c>
      <c r="AA191" s="463">
        <f t="shared" si="125"/>
        <v>0.15997440000000002</v>
      </c>
      <c r="AB191" s="463">
        <f t="shared" si="126"/>
        <v>0</v>
      </c>
      <c r="AC191" s="463">
        <f t="shared" si="148"/>
        <v>1.3151610278061132</v>
      </c>
      <c r="AD191" s="463">
        <f t="shared" si="149"/>
        <v>5.7533523628431489</v>
      </c>
      <c r="AE191" s="463">
        <f t="shared" si="150"/>
        <v>0.33101063411032849</v>
      </c>
      <c r="AF191" s="463">
        <f t="shared" si="127"/>
        <v>0.17690399999999998</v>
      </c>
      <c r="AG191" s="463">
        <f t="shared" si="151"/>
        <v>0.53631900092329443</v>
      </c>
      <c r="AH191" s="463">
        <f t="shared" si="152"/>
        <v>0</v>
      </c>
      <c r="AI191">
        <f t="shared" si="128"/>
        <v>0</v>
      </c>
      <c r="AJ191" s="464">
        <f t="shared" si="129"/>
        <v>0.4763964</v>
      </c>
      <c r="AK191">
        <f t="shared" si="133"/>
        <v>7.2000000000000008E-2</v>
      </c>
      <c r="AL191" s="464">
        <f t="shared" si="134"/>
        <v>0.22559999999999999</v>
      </c>
      <c r="AM191" s="464">
        <f t="shared" si="135"/>
        <v>0.18424406779661015</v>
      </c>
      <c r="AN191" s="464">
        <f t="shared" si="153"/>
        <v>0.29759999999999998</v>
      </c>
      <c r="AO191" s="464">
        <f t="shared" si="154"/>
        <v>3.926381776664539</v>
      </c>
      <c r="AP191" s="100">
        <f t="shared" si="130"/>
        <v>98.28</v>
      </c>
      <c r="AQ191" s="10">
        <f t="shared" si="155"/>
        <v>0.96158379047950016</v>
      </c>
      <c r="AR191" s="77">
        <f t="shared" si="156"/>
        <v>55.236763167856758</v>
      </c>
      <c r="AS191" s="77">
        <f t="shared" si="157"/>
        <v>21.452760036931778</v>
      </c>
      <c r="AT191" s="10"/>
      <c r="AU191">
        <f t="shared" si="158"/>
        <v>96.158379047950021</v>
      </c>
    </row>
    <row r="192" spans="7:47" x14ac:dyDescent="0.25">
      <c r="G192">
        <v>183</v>
      </c>
      <c r="H192">
        <f t="shared" si="120"/>
        <v>8.2349999999999994</v>
      </c>
      <c r="I192" s="463">
        <f t="shared" si="136"/>
        <v>0.50964722243839011</v>
      </c>
      <c r="J192" s="464">
        <f t="shared" si="121"/>
        <v>2.2484436284046621</v>
      </c>
      <c r="K192" s="464">
        <f t="shared" si="131"/>
        <v>9.3592218142023302</v>
      </c>
      <c r="L192" s="464">
        <f t="shared" si="137"/>
        <v>7.1107781857976686</v>
      </c>
      <c r="M192" s="77">
        <f t="shared" si="122"/>
        <v>0</v>
      </c>
      <c r="N192" s="463">
        <f t="shared" si="138"/>
        <v>8.2605397258598945</v>
      </c>
      <c r="O192" s="463">
        <f t="shared" si="139"/>
        <v>0.8762379683227417</v>
      </c>
      <c r="P192">
        <f t="shared" si="123"/>
        <v>0.4</v>
      </c>
      <c r="Q192" s="463">
        <f t="shared" si="132"/>
        <v>1.2762379683227416</v>
      </c>
      <c r="R192" s="9">
        <f t="shared" si="140"/>
        <v>0.64906976705856534</v>
      </c>
      <c r="S192" s="9">
        <f t="shared" si="141"/>
        <v>4.2129156250946025E-4</v>
      </c>
      <c r="T192" s="9">
        <f t="shared" si="142"/>
        <v>4.2129156250946025E-4</v>
      </c>
      <c r="U192" s="463">
        <f t="shared" si="143"/>
        <v>5.8971646691400901</v>
      </c>
      <c r="V192" s="465">
        <f t="shared" si="144"/>
        <v>3.4776551134954148E-2</v>
      </c>
      <c r="W192" s="463">
        <f t="shared" si="145"/>
        <v>3.4776551134954148E-2</v>
      </c>
      <c r="X192" s="463">
        <f t="shared" si="146"/>
        <v>5.8971646691400901</v>
      </c>
      <c r="Y192" s="463">
        <f t="shared" si="147"/>
        <v>0.76508412496899114</v>
      </c>
      <c r="Z192" s="463">
        <f t="shared" si="124"/>
        <v>0.23258565067151249</v>
      </c>
      <c r="AA192" s="463">
        <f t="shared" si="125"/>
        <v>0.15997440000000002</v>
      </c>
      <c r="AB192" s="463">
        <f t="shared" si="126"/>
        <v>0</v>
      </c>
      <c r="AC192" s="463">
        <f t="shared" si="148"/>
        <v>1.328387283392688</v>
      </c>
      <c r="AD192" s="463">
        <f t="shared" si="149"/>
        <v>5.7844589572020739</v>
      </c>
      <c r="AE192" s="463">
        <f t="shared" si="150"/>
        <v>0.33459965427555305</v>
      </c>
      <c r="AF192" s="463">
        <f t="shared" si="127"/>
        <v>0.17787599999999998</v>
      </c>
      <c r="AG192" s="463">
        <f t="shared" si="151"/>
        <v>0.54146340941019522</v>
      </c>
      <c r="AH192" s="463">
        <f t="shared" si="152"/>
        <v>0</v>
      </c>
      <c r="AI192">
        <f t="shared" si="128"/>
        <v>0</v>
      </c>
      <c r="AJ192" s="464">
        <f t="shared" si="129"/>
        <v>0.47637659999999998</v>
      </c>
      <c r="AK192">
        <f t="shared" si="133"/>
        <v>7.2000000000000008E-2</v>
      </c>
      <c r="AL192" s="464">
        <f t="shared" si="134"/>
        <v>0.22559999999999999</v>
      </c>
      <c r="AM192" s="464">
        <f t="shared" si="135"/>
        <v>0.18424406779661015</v>
      </c>
      <c r="AN192" s="464">
        <f t="shared" si="153"/>
        <v>0.29759999999999998</v>
      </c>
      <c r="AO192" s="464">
        <f t="shared" si="154"/>
        <v>3.9552631038230888</v>
      </c>
      <c r="AP192" s="100">
        <f t="shared" si="130"/>
        <v>98.82</v>
      </c>
      <c r="AQ192" s="10">
        <f t="shared" si="155"/>
        <v>0.96151541738377744</v>
      </c>
      <c r="AR192" s="77">
        <f t="shared" si="156"/>
        <v>55.792265902492893</v>
      </c>
      <c r="AS192" s="77">
        <f t="shared" si="157"/>
        <v>21.65853637640781</v>
      </c>
      <c r="AT192" s="10"/>
      <c r="AU192">
        <f t="shared" si="158"/>
        <v>96.151541738377745</v>
      </c>
    </row>
    <row r="193" spans="7:47" x14ac:dyDescent="0.25">
      <c r="G193">
        <v>184</v>
      </c>
      <c r="H193">
        <f t="shared" si="120"/>
        <v>8.2800000000000011</v>
      </c>
      <c r="I193" s="463">
        <f t="shared" si="136"/>
        <v>0.50970015865683937</v>
      </c>
      <c r="J193" s="464">
        <f t="shared" si="121"/>
        <v>2.2486771705448798</v>
      </c>
      <c r="K193" s="464">
        <f t="shared" si="131"/>
        <v>9.4043385852724413</v>
      </c>
      <c r="L193" s="464">
        <f t="shared" si="137"/>
        <v>7.155661414727561</v>
      </c>
      <c r="M193" s="77">
        <f t="shared" si="122"/>
        <v>0</v>
      </c>
      <c r="N193" s="463">
        <f t="shared" si="138"/>
        <v>8.3054066176664403</v>
      </c>
      <c r="O193" s="463">
        <f t="shared" si="139"/>
        <v>0.8864591982968697</v>
      </c>
      <c r="P193">
        <f t="shared" si="123"/>
        <v>0.4</v>
      </c>
      <c r="Q193" s="463">
        <f t="shared" si="132"/>
        <v>1.2864591982968698</v>
      </c>
      <c r="R193" s="9">
        <f t="shared" si="140"/>
        <v>0.64913718486732619</v>
      </c>
      <c r="S193" s="9">
        <f t="shared" si="141"/>
        <v>4.2137908477747724E-4</v>
      </c>
      <c r="T193" s="9">
        <f t="shared" si="142"/>
        <v>4.2137908477747724E-4</v>
      </c>
      <c r="U193" s="463">
        <f t="shared" si="143"/>
        <v>5.9295028749149639</v>
      </c>
      <c r="V193" s="465">
        <f t="shared" si="144"/>
        <v>3.5159004343624824E-2</v>
      </c>
      <c r="W193" s="463">
        <f t="shared" si="145"/>
        <v>3.5159004343624824E-2</v>
      </c>
      <c r="X193" s="463">
        <f t="shared" si="146"/>
        <v>5.9295028749149639</v>
      </c>
      <c r="Y193" s="463">
        <f t="shared" si="147"/>
        <v>0.77349809555974602</v>
      </c>
      <c r="Z193" s="463">
        <f t="shared" si="124"/>
        <v>0.2338964234750458</v>
      </c>
      <c r="AA193" s="463">
        <f t="shared" si="125"/>
        <v>0.15997440000000002</v>
      </c>
      <c r="AB193" s="463">
        <f t="shared" si="126"/>
        <v>0</v>
      </c>
      <c r="AC193" s="463">
        <f t="shared" si="148"/>
        <v>1.3417226668705335</v>
      </c>
      <c r="AD193" s="463">
        <f t="shared" si="149"/>
        <v>5.8155631490985185</v>
      </c>
      <c r="AE193" s="463">
        <f t="shared" si="150"/>
        <v>0.33820774741152676</v>
      </c>
      <c r="AF193" s="463">
        <f t="shared" si="127"/>
        <v>0.17884800000000001</v>
      </c>
      <c r="AG193" s="463">
        <f t="shared" si="151"/>
        <v>0.54663599180216271</v>
      </c>
      <c r="AH193" s="463">
        <f t="shared" si="152"/>
        <v>0</v>
      </c>
      <c r="AI193">
        <f t="shared" si="128"/>
        <v>0</v>
      </c>
      <c r="AJ193" s="464">
        <f t="shared" si="129"/>
        <v>0.47635680000000002</v>
      </c>
      <c r="AK193">
        <f t="shared" si="133"/>
        <v>7.2000000000000008E-2</v>
      </c>
      <c r="AL193" s="464">
        <f t="shared" si="134"/>
        <v>0.22559999999999999</v>
      </c>
      <c r="AM193" s="464">
        <f t="shared" si="135"/>
        <v>0.18424406779661015</v>
      </c>
      <c r="AN193" s="464">
        <f t="shared" si="153"/>
        <v>0.29759999999999998</v>
      </c>
      <c r="AO193" s="464">
        <f t="shared" si="154"/>
        <v>3.9843550403979684</v>
      </c>
      <c r="AP193" s="100">
        <f t="shared" si="130"/>
        <v>99.360000000000014</v>
      </c>
      <c r="AQ193" s="10">
        <f t="shared" si="155"/>
        <v>0.96144583766727787</v>
      </c>
      <c r="AR193" s="77">
        <f t="shared" si="156"/>
        <v>56.352352008562406</v>
      </c>
      <c r="AS193" s="77">
        <f t="shared" si="157"/>
        <v>21.865439672086509</v>
      </c>
      <c r="AT193" s="10"/>
      <c r="AU193">
        <f t="shared" si="158"/>
        <v>96.144583766727791</v>
      </c>
    </row>
    <row r="194" spans="7:47" x14ac:dyDescent="0.25">
      <c r="G194">
        <v>185</v>
      </c>
      <c r="H194">
        <f t="shared" si="120"/>
        <v>8.3250000000000011</v>
      </c>
      <c r="I194" s="463">
        <f t="shared" si="136"/>
        <v>0.5097530972673755</v>
      </c>
      <c r="J194" s="464">
        <f t="shared" si="121"/>
        <v>2.2489107232384211</v>
      </c>
      <c r="K194" s="464">
        <f t="shared" si="131"/>
        <v>9.4494553616192114</v>
      </c>
      <c r="L194" s="464">
        <f t="shared" si="137"/>
        <v>7.2005446383807907</v>
      </c>
      <c r="M194" s="77">
        <f t="shared" si="122"/>
        <v>0</v>
      </c>
      <c r="N194" s="463">
        <f t="shared" si="138"/>
        <v>8.3502749427843046</v>
      </c>
      <c r="O194" s="463">
        <f t="shared" si="139"/>
        <v>0.89675188419956675</v>
      </c>
      <c r="P194">
        <f t="shared" si="123"/>
        <v>0.4</v>
      </c>
      <c r="Q194" s="463">
        <f t="shared" si="132"/>
        <v>1.2967518841995669</v>
      </c>
      <c r="R194" s="9">
        <f t="shared" si="140"/>
        <v>0.64920460572256922</v>
      </c>
      <c r="S194" s="9">
        <f t="shared" si="141"/>
        <v>4.2146662009139659E-4</v>
      </c>
      <c r="T194" s="9">
        <f t="shared" si="142"/>
        <v>4.2146662009139659E-4</v>
      </c>
      <c r="U194" s="463">
        <f t="shared" si="143"/>
        <v>5.9618454287902889</v>
      </c>
      <c r="V194" s="465">
        <f t="shared" si="144"/>
        <v>3.5543600916787661E-2</v>
      </c>
      <c r="W194" s="463">
        <f t="shared" si="145"/>
        <v>3.5543600916787661E-2</v>
      </c>
      <c r="X194" s="463">
        <f t="shared" si="146"/>
        <v>5.9618454287902889</v>
      </c>
      <c r="Y194" s="463">
        <f t="shared" si="147"/>
        <v>0.78195922016932851</v>
      </c>
      <c r="Z194" s="463">
        <f t="shared" si="124"/>
        <v>0.23520719624371986</v>
      </c>
      <c r="AA194" s="463">
        <f t="shared" si="125"/>
        <v>0.15997440000000002</v>
      </c>
      <c r="AB194" s="463">
        <f t="shared" si="126"/>
        <v>0</v>
      </c>
      <c r="AC194" s="463">
        <f t="shared" si="148"/>
        <v>1.3551680959088941</v>
      </c>
      <c r="AD194" s="463">
        <f t="shared" si="149"/>
        <v>5.8466649214149218</v>
      </c>
      <c r="AE194" s="463">
        <f t="shared" si="150"/>
        <v>0.34183490703303754</v>
      </c>
      <c r="AF194" s="463">
        <f t="shared" si="127"/>
        <v>0.17982000000000001</v>
      </c>
      <c r="AG194" s="463">
        <f t="shared" si="151"/>
        <v>0.55183684234510877</v>
      </c>
      <c r="AH194" s="463">
        <f t="shared" si="152"/>
        <v>0</v>
      </c>
      <c r="AI194">
        <f t="shared" si="128"/>
        <v>0</v>
      </c>
      <c r="AJ194" s="464">
        <f t="shared" si="129"/>
        <v>0.47633700000000001</v>
      </c>
      <c r="AK194">
        <f t="shared" si="133"/>
        <v>7.2000000000000008E-2</v>
      </c>
      <c r="AL194" s="464">
        <f t="shared" si="134"/>
        <v>0.22559999999999999</v>
      </c>
      <c r="AM194" s="464">
        <f t="shared" si="135"/>
        <v>0.18424406779661015</v>
      </c>
      <c r="AN194" s="464">
        <f t="shared" si="153"/>
        <v>0.29759999999999998</v>
      </c>
      <c r="AO194" s="464">
        <f t="shared" si="154"/>
        <v>4.0136588899904488</v>
      </c>
      <c r="AP194" s="100">
        <f t="shared" si="130"/>
        <v>99.9</v>
      </c>
      <c r="AQ194" s="10">
        <f t="shared" si="155"/>
        <v>0.96137505951705959</v>
      </c>
      <c r="AR194" s="77">
        <f t="shared" si="156"/>
        <v>56.917060028173552</v>
      </c>
      <c r="AS194" s="77">
        <f t="shared" si="157"/>
        <v>22.073473693804353</v>
      </c>
      <c r="AT194" s="10"/>
      <c r="AU194">
        <f t="shared" si="158"/>
        <v>96.137505951705961</v>
      </c>
    </row>
    <row r="195" spans="7:47" x14ac:dyDescent="0.25">
      <c r="G195">
        <v>186</v>
      </c>
      <c r="H195">
        <f t="shared" si="120"/>
        <v>8.370000000000001</v>
      </c>
      <c r="I195" s="463">
        <f t="shared" si="136"/>
        <v>0.50980603827016069</v>
      </c>
      <c r="J195" s="464">
        <f t="shared" si="121"/>
        <v>2.2491442864860032</v>
      </c>
      <c r="K195" s="464">
        <f t="shared" si="131"/>
        <v>9.494572143243003</v>
      </c>
      <c r="L195" s="464">
        <f t="shared" si="137"/>
        <v>7.245427856756999</v>
      </c>
      <c r="M195" s="77">
        <f t="shared" si="122"/>
        <v>0</v>
      </c>
      <c r="N195" s="463">
        <f t="shared" si="138"/>
        <v>8.3951446782323362</v>
      </c>
      <c r="O195" s="463">
        <f t="shared" si="139"/>
        <v>0.9071163197496892</v>
      </c>
      <c r="P195">
        <f t="shared" si="123"/>
        <v>0.4</v>
      </c>
      <c r="Q195" s="463">
        <f t="shared" si="132"/>
        <v>1.3071163197496891</v>
      </c>
      <c r="R195" s="9">
        <f t="shared" si="140"/>
        <v>0.64927202962450137</v>
      </c>
      <c r="S195" s="9">
        <f t="shared" si="141"/>
        <v>4.2155416845271937E-4</v>
      </c>
      <c r="T195" s="9">
        <f t="shared" si="142"/>
        <v>4.2155416845271937E-4</v>
      </c>
      <c r="U195" s="463">
        <f t="shared" si="143"/>
        <v>5.99419231448441</v>
      </c>
      <c r="V195" s="465">
        <f t="shared" si="144"/>
        <v>3.5930341503023967E-2</v>
      </c>
      <c r="W195" s="463">
        <f t="shared" si="145"/>
        <v>3.5930341503023967E-2</v>
      </c>
      <c r="X195" s="463">
        <f t="shared" si="146"/>
        <v>5.99419231448441</v>
      </c>
      <c r="Y195" s="463">
        <f t="shared" si="147"/>
        <v>0.79046751306652729</v>
      </c>
      <c r="Z195" s="463">
        <f t="shared" si="124"/>
        <v>0.23651796897753233</v>
      </c>
      <c r="AA195" s="463">
        <f t="shared" si="125"/>
        <v>0.15997440000000002</v>
      </c>
      <c r="AB195" s="463">
        <f t="shared" si="126"/>
        <v>0</v>
      </c>
      <c r="AC195" s="463">
        <f t="shared" si="148"/>
        <v>1.3687245003584885</v>
      </c>
      <c r="AD195" s="463">
        <f t="shared" si="149"/>
        <v>5.8777642573880708</v>
      </c>
      <c r="AE195" s="463">
        <f t="shared" si="150"/>
        <v>0.34548112665428737</v>
      </c>
      <c r="AF195" s="463">
        <f t="shared" si="127"/>
        <v>0.18079200000000001</v>
      </c>
      <c r="AG195" s="463">
        <f t="shared" si="151"/>
        <v>0.55706605604014492</v>
      </c>
      <c r="AH195" s="463">
        <f t="shared" si="152"/>
        <v>0</v>
      </c>
      <c r="AI195">
        <f t="shared" si="128"/>
        <v>0</v>
      </c>
      <c r="AJ195" s="464">
        <f t="shared" si="129"/>
        <v>0.4763172</v>
      </c>
      <c r="AK195">
        <f t="shared" si="133"/>
        <v>7.2000000000000008E-2</v>
      </c>
      <c r="AL195" s="464">
        <f t="shared" si="134"/>
        <v>0.22559999999999999</v>
      </c>
      <c r="AM195" s="464">
        <f t="shared" si="135"/>
        <v>0.18424406779661015</v>
      </c>
      <c r="AN195" s="464">
        <f t="shared" si="153"/>
        <v>0.29759999999999998</v>
      </c>
      <c r="AO195" s="464">
        <f t="shared" si="154"/>
        <v>4.0431759718197986</v>
      </c>
      <c r="AP195" s="100">
        <f t="shared" si="130"/>
        <v>100.44000000000001</v>
      </c>
      <c r="AQ195" s="10">
        <f t="shared" si="155"/>
        <v>0.96130309081616849</v>
      </c>
      <c r="AR195" s="77">
        <f t="shared" si="156"/>
        <v>57.486429015056515</v>
      </c>
      <c r="AS195" s="77">
        <f t="shared" si="157"/>
        <v>22.282642241605796</v>
      </c>
      <c r="AT195" s="10"/>
      <c r="AU195">
        <f t="shared" si="158"/>
        <v>96.130309081616844</v>
      </c>
    </row>
    <row r="196" spans="7:47" x14ac:dyDescent="0.25">
      <c r="G196">
        <v>187</v>
      </c>
      <c r="H196">
        <f t="shared" si="120"/>
        <v>8.4150000000000009</v>
      </c>
      <c r="I196" s="463">
        <f t="shared" si="136"/>
        <v>0.50985898166535693</v>
      </c>
      <c r="J196" s="464">
        <f t="shared" si="121"/>
        <v>2.2493778602883392</v>
      </c>
      <c r="K196" s="464">
        <f t="shared" si="131"/>
        <v>9.5396889301441696</v>
      </c>
      <c r="L196" s="464">
        <f t="shared" si="137"/>
        <v>7.2903110698558313</v>
      </c>
      <c r="M196" s="77">
        <f t="shared" si="122"/>
        <v>0</v>
      </c>
      <c r="N196" s="463">
        <f t="shared" si="138"/>
        <v>8.4400158015173741</v>
      </c>
      <c r="O196" s="463">
        <f t="shared" si="139"/>
        <v>0.91755280136993833</v>
      </c>
      <c r="P196">
        <f t="shared" si="123"/>
        <v>0.4</v>
      </c>
      <c r="Q196" s="463">
        <f t="shared" si="132"/>
        <v>1.3175528013699385</v>
      </c>
      <c r="R196" s="9">
        <f t="shared" si="140"/>
        <v>0.64933945657332859</v>
      </c>
      <c r="S196" s="9">
        <f t="shared" si="141"/>
        <v>4.2164172986294569E-4</v>
      </c>
      <c r="T196" s="9">
        <f t="shared" si="142"/>
        <v>4.2164172986294569E-4</v>
      </c>
      <c r="U196" s="463">
        <f t="shared" si="143"/>
        <v>6.0265435160607348</v>
      </c>
      <c r="V196" s="465">
        <f t="shared" si="144"/>
        <v>3.6319226750973682E-2</v>
      </c>
      <c r="W196" s="463">
        <f t="shared" si="145"/>
        <v>3.6319226750973682E-2</v>
      </c>
      <c r="X196" s="463">
        <f t="shared" si="146"/>
        <v>6.0265435160607348</v>
      </c>
      <c r="Y196" s="463">
        <f t="shared" si="147"/>
        <v>0.79902298852142095</v>
      </c>
      <c r="Z196" s="463">
        <f t="shared" si="124"/>
        <v>0.23782874167648088</v>
      </c>
      <c r="AA196" s="463">
        <f t="shared" si="125"/>
        <v>0.15997440000000002</v>
      </c>
      <c r="AB196" s="463">
        <f t="shared" si="126"/>
        <v>0</v>
      </c>
      <c r="AC196" s="463">
        <f t="shared" si="148"/>
        <v>1.3823928224396835</v>
      </c>
      <c r="AD196" s="463">
        <f t="shared" si="149"/>
        <v>5.9088611405997087</v>
      </c>
      <c r="AE196" s="463">
        <f t="shared" si="150"/>
        <v>0.34914639978889289</v>
      </c>
      <c r="AF196" s="463">
        <f t="shared" si="127"/>
        <v>0.18176400000000001</v>
      </c>
      <c r="AG196" s="463">
        <f t="shared" si="151"/>
        <v>0.56232372864866031</v>
      </c>
      <c r="AH196" s="463">
        <f t="shared" si="152"/>
        <v>0</v>
      </c>
      <c r="AI196">
        <f t="shared" si="128"/>
        <v>0</v>
      </c>
      <c r="AJ196" s="464">
        <f t="shared" si="129"/>
        <v>0.47629739999999998</v>
      </c>
      <c r="AK196">
        <f t="shared" si="133"/>
        <v>7.2000000000000008E-2</v>
      </c>
      <c r="AL196" s="464">
        <f t="shared" si="134"/>
        <v>0.22559999999999999</v>
      </c>
      <c r="AM196" s="464">
        <f t="shared" si="135"/>
        <v>0.18424406779661015</v>
      </c>
      <c r="AN196" s="464">
        <f t="shared" si="153"/>
        <v>0.29759999999999998</v>
      </c>
      <c r="AO196" s="464">
        <f t="shared" si="154"/>
        <v>4.0729076209391186</v>
      </c>
      <c r="AP196" s="100">
        <f t="shared" si="130"/>
        <v>100.98000000000002</v>
      </c>
      <c r="AQ196" s="10">
        <f t="shared" si="155"/>
        <v>0.96122993914994403</v>
      </c>
      <c r="AR196" s="77">
        <f t="shared" si="156"/>
        <v>58.060498542466711</v>
      </c>
      <c r="AS196" s="77">
        <f t="shared" si="157"/>
        <v>22.492949145946412</v>
      </c>
      <c r="AT196" s="10"/>
      <c r="AU196">
        <f t="shared" si="158"/>
        <v>96.12299391499441</v>
      </c>
    </row>
    <row r="197" spans="7:47" x14ac:dyDescent="0.25">
      <c r="G197">
        <v>188</v>
      </c>
      <c r="H197">
        <f t="shared" si="120"/>
        <v>8.4599999999999991</v>
      </c>
      <c r="I197" s="463">
        <f t="shared" si="136"/>
        <v>0.50991192745312675</v>
      </c>
      <c r="J197" s="464">
        <f t="shared" si="121"/>
        <v>2.2496114446461473</v>
      </c>
      <c r="K197" s="464">
        <f t="shared" si="131"/>
        <v>9.5848057223230718</v>
      </c>
      <c r="L197" s="464">
        <f t="shared" si="137"/>
        <v>7.3351942776769254</v>
      </c>
      <c r="M197" s="77">
        <f t="shared" si="122"/>
        <v>0</v>
      </c>
      <c r="N197" s="463">
        <f t="shared" si="138"/>
        <v>8.4848882906213667</v>
      </c>
      <c r="O197" s="463">
        <f t="shared" si="139"/>
        <v>0.92806162820971538</v>
      </c>
      <c r="P197">
        <f t="shared" si="123"/>
        <v>0.4</v>
      </c>
      <c r="Q197" s="463">
        <f t="shared" si="132"/>
        <v>1.3280616282097153</v>
      </c>
      <c r="R197" s="9">
        <f t="shared" si="140"/>
        <v>0.64940688656925805</v>
      </c>
      <c r="S197" s="9">
        <f t="shared" si="141"/>
        <v>4.2172930432357722E-4</v>
      </c>
      <c r="T197" s="9">
        <f t="shared" si="142"/>
        <v>4.2172930432357722E-4</v>
      </c>
      <c r="U197" s="463">
        <f t="shared" si="143"/>
        <v>6.0588990179186277</v>
      </c>
      <c r="V197" s="465">
        <f t="shared" si="144"/>
        <v>3.671025730933531E-2</v>
      </c>
      <c r="W197" s="463">
        <f t="shared" si="145"/>
        <v>3.671025730933531E-2</v>
      </c>
      <c r="X197" s="463">
        <f t="shared" si="146"/>
        <v>6.0588990179186277</v>
      </c>
      <c r="Y197" s="463">
        <f t="shared" si="147"/>
        <v>0.80762566080537679</v>
      </c>
      <c r="Z197" s="463">
        <f t="shared" si="124"/>
        <v>0.2391395143405631</v>
      </c>
      <c r="AA197" s="463">
        <f t="shared" si="125"/>
        <v>0.15997440000000002</v>
      </c>
      <c r="AB197" s="463">
        <f t="shared" si="126"/>
        <v>0</v>
      </c>
      <c r="AC197" s="463">
        <f t="shared" si="148"/>
        <v>1.3961740169342824</v>
      </c>
      <c r="AD197" s="463">
        <f t="shared" si="149"/>
        <v>5.9399555549674163</v>
      </c>
      <c r="AE197" s="463">
        <f t="shared" si="150"/>
        <v>0.35283071994988269</v>
      </c>
      <c r="AF197" s="463">
        <f t="shared" si="127"/>
        <v>0.18273599999999995</v>
      </c>
      <c r="AG197" s="463">
        <f t="shared" si="151"/>
        <v>0.56760995669744774</v>
      </c>
      <c r="AH197" s="463">
        <f t="shared" si="152"/>
        <v>0</v>
      </c>
      <c r="AI197">
        <f t="shared" si="128"/>
        <v>0</v>
      </c>
      <c r="AJ197" s="464">
        <f t="shared" si="129"/>
        <v>0.47627760000000002</v>
      </c>
      <c r="AK197">
        <f t="shared" si="133"/>
        <v>7.2000000000000008E-2</v>
      </c>
      <c r="AL197" s="464">
        <f t="shared" si="134"/>
        <v>0.22559999999999999</v>
      </c>
      <c r="AM197" s="464">
        <f t="shared" si="135"/>
        <v>0.18424406779661015</v>
      </c>
      <c r="AN197" s="464">
        <f t="shared" si="153"/>
        <v>0.29759999999999998</v>
      </c>
      <c r="AO197" s="464">
        <f t="shared" si="154"/>
        <v>4.1028551884551048</v>
      </c>
      <c r="AP197" s="100">
        <f t="shared" si="130"/>
        <v>101.51999999999998</v>
      </c>
      <c r="AQ197" s="10">
        <f t="shared" si="155"/>
        <v>0.96115561181209608</v>
      </c>
      <c r="AR197" s="77">
        <f t="shared" si="156"/>
        <v>58.639308711239863</v>
      </c>
      <c r="AS197" s="77">
        <f t="shared" si="157"/>
        <v>22.704398267897908</v>
      </c>
      <c r="AT197" s="10"/>
      <c r="AU197">
        <f t="shared" si="158"/>
        <v>96.115561181209614</v>
      </c>
    </row>
    <row r="198" spans="7:47" x14ac:dyDescent="0.25">
      <c r="G198">
        <v>189</v>
      </c>
      <c r="H198">
        <f t="shared" si="120"/>
        <v>8.504999999999999</v>
      </c>
      <c r="I198" s="463">
        <f t="shared" si="136"/>
        <v>0.50996487563363213</v>
      </c>
      <c r="J198" s="464">
        <f t="shared" si="121"/>
        <v>2.2498450395601415</v>
      </c>
      <c r="K198" s="464">
        <f t="shared" si="131"/>
        <v>9.6299225197800702</v>
      </c>
      <c r="L198" s="464">
        <f t="shared" si="137"/>
        <v>7.3800774802199278</v>
      </c>
      <c r="M198" s="77">
        <f t="shared" si="122"/>
        <v>0</v>
      </c>
      <c r="N198" s="463">
        <f t="shared" si="138"/>
        <v>8.5297621239889274</v>
      </c>
      <c r="O198" s="463">
        <f t="shared" si="139"/>
        <v>0.93864310216825908</v>
      </c>
      <c r="P198">
        <f t="shared" si="123"/>
        <v>0.4</v>
      </c>
      <c r="Q198" s="463">
        <f t="shared" si="132"/>
        <v>1.338643102168259</v>
      </c>
      <c r="R198" s="9">
        <f t="shared" si="140"/>
        <v>0.64947431961249602</v>
      </c>
      <c r="S198" s="9">
        <f t="shared" si="141"/>
        <v>4.2181689183611466E-4</v>
      </c>
      <c r="T198" s="9">
        <f t="shared" si="142"/>
        <v>4.2181689183611466E-4</v>
      </c>
      <c r="U198" s="463">
        <f t="shared" si="143"/>
        <v>6.0912588047846103</v>
      </c>
      <c r="V198" s="465">
        <f t="shared" si="144"/>
        <v>3.7103433826866039E-2</v>
      </c>
      <c r="W198" s="463">
        <f t="shared" si="145"/>
        <v>3.7103433826866039E-2</v>
      </c>
      <c r="X198" s="463">
        <f t="shared" si="146"/>
        <v>6.0912588047846103</v>
      </c>
      <c r="Y198" s="463">
        <f t="shared" si="147"/>
        <v>0.81627554419105275</v>
      </c>
      <c r="Z198" s="463">
        <f t="shared" si="124"/>
        <v>0.24045028696977677</v>
      </c>
      <c r="AA198" s="463">
        <f t="shared" si="125"/>
        <v>0.15997440000000002</v>
      </c>
      <c r="AB198" s="463">
        <f t="shared" si="126"/>
        <v>0</v>
      </c>
      <c r="AC198" s="463">
        <f t="shared" si="148"/>
        <v>1.410069051381013</v>
      </c>
      <c r="AD198" s="463">
        <f t="shared" si="149"/>
        <v>5.9710474847358288</v>
      </c>
      <c r="AE198" s="463">
        <f t="shared" si="150"/>
        <v>0.35653408064970066</v>
      </c>
      <c r="AF198" s="463">
        <f t="shared" si="127"/>
        <v>0.18370799999999995</v>
      </c>
      <c r="AG198" s="463">
        <f t="shared" si="151"/>
        <v>0.57292483748389245</v>
      </c>
      <c r="AH198" s="463">
        <f t="shared" si="152"/>
        <v>0</v>
      </c>
      <c r="AI198">
        <f t="shared" si="128"/>
        <v>0</v>
      </c>
      <c r="AJ198" s="464">
        <f t="shared" si="129"/>
        <v>0.47625780000000001</v>
      </c>
      <c r="AK198">
        <f t="shared" si="133"/>
        <v>7.2000000000000008E-2</v>
      </c>
      <c r="AL198" s="464">
        <f t="shared" si="134"/>
        <v>0.22559999999999999</v>
      </c>
      <c r="AM198" s="464">
        <f t="shared" si="135"/>
        <v>0.18424406779661015</v>
      </c>
      <c r="AN198" s="464">
        <f t="shared" si="153"/>
        <v>0.29759999999999998</v>
      </c>
      <c r="AO198" s="464">
        <f t="shared" si="154"/>
        <v>4.133020041751867</v>
      </c>
      <c r="AP198" s="100">
        <f t="shared" si="130"/>
        <v>102.05999999999999</v>
      </c>
      <c r="AQ198" s="10">
        <f t="shared" si="155"/>
        <v>0.96108011581055997</v>
      </c>
      <c r="AR198" s="77">
        <f t="shared" si="156"/>
        <v>59.222900158002545</v>
      </c>
      <c r="AS198" s="77">
        <f t="shared" si="157"/>
        <v>22.916993499355698</v>
      </c>
      <c r="AT198" s="10"/>
      <c r="AU198">
        <f t="shared" si="158"/>
        <v>96.10801158105599</v>
      </c>
    </row>
    <row r="199" spans="7:47" x14ac:dyDescent="0.25">
      <c r="G199">
        <v>190</v>
      </c>
      <c r="H199">
        <f t="shared" si="120"/>
        <v>8.5499999999999989</v>
      </c>
      <c r="I199" s="463">
        <f t="shared" si="136"/>
        <v>0.51001782620703506</v>
      </c>
      <c r="J199" s="464">
        <f t="shared" si="121"/>
        <v>2.2500786450310368</v>
      </c>
      <c r="K199" s="464">
        <f t="shared" si="131"/>
        <v>9.6750393225155165</v>
      </c>
      <c r="L199" s="464">
        <f t="shared" si="137"/>
        <v>7.4249606774844805</v>
      </c>
      <c r="M199" s="77">
        <f t="shared" si="122"/>
        <v>0</v>
      </c>
      <c r="N199" s="463">
        <f t="shared" si="138"/>
        <v>8.5746372805152546</v>
      </c>
      <c r="O199" s="463">
        <f t="shared" si="139"/>
        <v>0.94929752791805766</v>
      </c>
      <c r="P199">
        <f t="shared" si="123"/>
        <v>0.4</v>
      </c>
      <c r="Q199" s="463">
        <f t="shared" si="132"/>
        <v>1.3492975279180577</v>
      </c>
      <c r="R199" s="9">
        <f t="shared" si="140"/>
        <v>0.64954175570324879</v>
      </c>
      <c r="S199" s="9">
        <f t="shared" si="141"/>
        <v>4.2190449240205892E-4</v>
      </c>
      <c r="T199" s="9">
        <f t="shared" si="142"/>
        <v>4.2190449240205892E-4</v>
      </c>
      <c r="U199" s="463">
        <f t="shared" si="143"/>
        <v>6.1236228617038178</v>
      </c>
      <c r="V199" s="465">
        <f t="shared" si="144"/>
        <v>3.7498756952381654E-2</v>
      </c>
      <c r="W199" s="463">
        <f t="shared" si="145"/>
        <v>3.7498756952381654E-2</v>
      </c>
      <c r="X199" s="463">
        <f t="shared" si="146"/>
        <v>6.1236228617038178</v>
      </c>
      <c r="Y199" s="463">
        <f t="shared" si="147"/>
        <v>0.8249726529523963</v>
      </c>
      <c r="Z199" s="463">
        <f t="shared" si="124"/>
        <v>0.24176105956411936</v>
      </c>
      <c r="AA199" s="463">
        <f t="shared" si="125"/>
        <v>0.15997440000000002</v>
      </c>
      <c r="AB199" s="463">
        <f t="shared" si="126"/>
        <v>0</v>
      </c>
      <c r="AC199" s="463">
        <f t="shared" si="148"/>
        <v>1.4240789062747896</v>
      </c>
      <c r="AD199" s="463">
        <f t="shared" si="149"/>
        <v>6.0021369144680792</v>
      </c>
      <c r="AE199" s="463">
        <f t="shared" si="150"/>
        <v>0.36025647540020395</v>
      </c>
      <c r="AF199" s="463">
        <f t="shared" si="127"/>
        <v>0.18467999999999996</v>
      </c>
      <c r="AG199" s="463">
        <f t="shared" si="151"/>
        <v>0.57826846908120666</v>
      </c>
      <c r="AH199" s="463">
        <f t="shared" si="152"/>
        <v>0</v>
      </c>
      <c r="AI199">
        <f t="shared" si="128"/>
        <v>0</v>
      </c>
      <c r="AJ199" s="464">
        <f t="shared" si="129"/>
        <v>0.47623800000000005</v>
      </c>
      <c r="AK199">
        <f t="shared" si="133"/>
        <v>7.2000000000000008E-2</v>
      </c>
      <c r="AL199" s="464">
        <f t="shared" si="134"/>
        <v>0.22559999999999999</v>
      </c>
      <c r="AM199" s="464">
        <f t="shared" si="135"/>
        <v>0.18424406779661015</v>
      </c>
      <c r="AN199" s="464">
        <f t="shared" si="153"/>
        <v>0.29759999999999998</v>
      </c>
      <c r="AO199" s="464">
        <f t="shared" si="154"/>
        <v>4.1634035647188377</v>
      </c>
      <c r="AP199" s="100">
        <f t="shared" si="130"/>
        <v>102.6</v>
      </c>
      <c r="AQ199" s="10">
        <f t="shared" si="155"/>
        <v>0.96100345787313701</v>
      </c>
      <c r="AR199" s="77">
        <f t="shared" si="156"/>
        <v>59.811314063541161</v>
      </c>
      <c r="AS199" s="77">
        <f t="shared" si="157"/>
        <v>23.130738763248267</v>
      </c>
      <c r="AT199" s="10"/>
      <c r="AU199">
        <f t="shared" si="158"/>
        <v>96.100345787313699</v>
      </c>
    </row>
    <row r="200" spans="7:47" x14ac:dyDescent="0.25">
      <c r="G200">
        <v>191</v>
      </c>
      <c r="H200">
        <f t="shared" si="120"/>
        <v>8.5949999999999989</v>
      </c>
      <c r="I200" s="463">
        <f t="shared" si="136"/>
        <v>0.51007077917349808</v>
      </c>
      <c r="J200" s="464">
        <f t="shared" si="121"/>
        <v>2.2503122610595505</v>
      </c>
      <c r="K200" s="464">
        <f t="shared" si="131"/>
        <v>9.7201561305297748</v>
      </c>
      <c r="L200" s="464">
        <f t="shared" si="137"/>
        <v>7.4698438694702238</v>
      </c>
      <c r="M200" s="77">
        <f t="shared" si="122"/>
        <v>0</v>
      </c>
      <c r="N200" s="463">
        <f t="shared" si="138"/>
        <v>8.619513739534435</v>
      </c>
      <c r="O200" s="463">
        <f t="shared" si="139"/>
        <v>0.96002521292854959</v>
      </c>
      <c r="P200">
        <f t="shared" si="123"/>
        <v>0.4</v>
      </c>
      <c r="Q200" s="463">
        <f t="shared" si="132"/>
        <v>1.3600252129285497</v>
      </c>
      <c r="R200" s="9">
        <f t="shared" si="140"/>
        <v>0.64960919484172353</v>
      </c>
      <c r="S200" s="9">
        <f t="shared" si="141"/>
        <v>4.2199210602291234E-4</v>
      </c>
      <c r="T200" s="9">
        <f t="shared" si="142"/>
        <v>4.2199210602291234E-4</v>
      </c>
      <c r="U200" s="463">
        <f t="shared" si="143"/>
        <v>6.1559911740317368</v>
      </c>
      <c r="V200" s="465">
        <f t="shared" si="144"/>
        <v>3.7896227334756637E-2</v>
      </c>
      <c r="W200" s="463">
        <f t="shared" si="145"/>
        <v>3.7896227334756637E-2</v>
      </c>
      <c r="X200" s="463">
        <f t="shared" si="146"/>
        <v>6.1559911740317368</v>
      </c>
      <c r="Y200" s="463">
        <f t="shared" si="147"/>
        <v>0.83371700136464599</v>
      </c>
      <c r="Z200" s="463">
        <f t="shared" si="124"/>
        <v>0.2430718321235886</v>
      </c>
      <c r="AA200" s="463">
        <f t="shared" si="125"/>
        <v>0.15997440000000002</v>
      </c>
      <c r="AB200" s="463">
        <f t="shared" si="126"/>
        <v>0</v>
      </c>
      <c r="AC200" s="463">
        <f t="shared" si="148"/>
        <v>1.4382045752698394</v>
      </c>
      <c r="AD200" s="463">
        <f t="shared" si="149"/>
        <v>6.0332238290375289</v>
      </c>
      <c r="AE200" s="463">
        <f t="shared" si="150"/>
        <v>0.36399789771266267</v>
      </c>
      <c r="AF200" s="463">
        <f t="shared" si="127"/>
        <v>0.18565199999999996</v>
      </c>
      <c r="AG200" s="463">
        <f t="shared" si="151"/>
        <v>0.58364095034372432</v>
      </c>
      <c r="AH200" s="463">
        <f t="shared" si="152"/>
        <v>0</v>
      </c>
      <c r="AI200">
        <f t="shared" si="128"/>
        <v>0</v>
      </c>
      <c r="AJ200" s="464">
        <f t="shared" si="129"/>
        <v>0.47621819999999998</v>
      </c>
      <c r="AK200">
        <f t="shared" si="133"/>
        <v>7.2000000000000008E-2</v>
      </c>
      <c r="AL200" s="464">
        <f t="shared" si="134"/>
        <v>0.22559999999999999</v>
      </c>
      <c r="AM200" s="464">
        <f t="shared" si="135"/>
        <v>0.18424406779661015</v>
      </c>
      <c r="AN200" s="464">
        <f t="shared" si="153"/>
        <v>0.29759999999999998</v>
      </c>
      <c r="AO200" s="464">
        <f t="shared" si="154"/>
        <v>4.1940071579828935</v>
      </c>
      <c r="AP200" s="100">
        <f t="shared" si="130"/>
        <v>103.13999999999999</v>
      </c>
      <c r="AQ200" s="10">
        <f t="shared" si="155"/>
        <v>0.96092564445292894</v>
      </c>
      <c r="AR200" s="77">
        <f t="shared" si="156"/>
        <v>60.404592161333255</v>
      </c>
      <c r="AS200" s="77">
        <f t="shared" si="157"/>
        <v>23.345638013748975</v>
      </c>
      <c r="AT200" s="10"/>
      <c r="AU200">
        <f t="shared" si="158"/>
        <v>96.092564445292894</v>
      </c>
    </row>
    <row r="201" spans="7:47" x14ac:dyDescent="0.25">
      <c r="G201">
        <v>192</v>
      </c>
      <c r="H201">
        <f t="shared" ref="H201:H209" si="159">Iout*(G201/200)</f>
        <v>8.64</v>
      </c>
      <c r="I201" s="463">
        <f t="shared" si="136"/>
        <v>0.51012373453318327</v>
      </c>
      <c r="J201" s="464">
        <f t="shared" ref="J201:J209" si="160">(Vin-Vout)*I201/(Fsw*Lout2)</f>
        <v>2.2505458876463966</v>
      </c>
      <c r="K201" s="464">
        <f t="shared" si="131"/>
        <v>9.7652729438231987</v>
      </c>
      <c r="L201" s="464">
        <f t="shared" si="137"/>
        <v>7.5147270561768025</v>
      </c>
      <c r="M201" s="77">
        <f t="shared" ref="M201:M209" si="161">IF(MIN(Vin, -L201/(CossTop+CossBot)*0.00000002)&lt;0, 0, MIN(Vin, -L201/(CossTop+CossBot)*0.00000002))</f>
        <v>0</v>
      </c>
      <c r="N201" s="463">
        <f t="shared" si="138"/>
        <v>8.6643914808081117</v>
      </c>
      <c r="O201" s="463">
        <f t="shared" si="139"/>
        <v>0.9708264674901107</v>
      </c>
      <c r="P201">
        <f t="shared" ref="P201:P209" si="162">Core_Loss</f>
        <v>0.4</v>
      </c>
      <c r="Q201" s="463">
        <f t="shared" si="132"/>
        <v>1.3708264674901107</v>
      </c>
      <c r="R201" s="9">
        <f t="shared" si="140"/>
        <v>0.64967663702812617</v>
      </c>
      <c r="S201" s="9">
        <f t="shared" si="141"/>
        <v>4.2207973270017566E-4</v>
      </c>
      <c r="T201" s="9">
        <f t="shared" si="142"/>
        <v>4.2207973270017566E-4</v>
      </c>
      <c r="U201" s="463">
        <f t="shared" si="143"/>
        <v>6.188363727426184</v>
      </c>
      <c r="V201" s="465">
        <f t="shared" si="144"/>
        <v>3.8295845622924089E-2</v>
      </c>
      <c r="W201" s="463">
        <f t="shared" si="145"/>
        <v>3.8295845622924089E-2</v>
      </c>
      <c r="X201" s="463">
        <f t="shared" si="146"/>
        <v>6.188363727426184</v>
      </c>
      <c r="Y201" s="463">
        <f t="shared" si="147"/>
        <v>0.84250860370433001</v>
      </c>
      <c r="Z201" s="463">
        <f t="shared" ref="Z201:Z209" si="163">IF(L201&lt;0, (Vin*K201*Tf/2)*Fsw, (Vin*L201*Tr/2+Vin*K201*Tf/2)*Fsw)</f>
        <v>0.24438260464818215</v>
      </c>
      <c r="AA201" s="463">
        <f t="shared" ref="AA201:AA209" si="164">(0.5*CossTop*(Vin-M201)^2-0.5*CossBot*(Vin-M201)^2+(QossBot*(Vin-M201)/Vin)*Vin)*Fsw</f>
        <v>0.15997440000000002</v>
      </c>
      <c r="AB201" s="463">
        <f t="shared" ref="AB201:AB209" si="165">IF(L201&gt;0,0,-L201*VsdTop*Deadtime*Fsw)</f>
        <v>0</v>
      </c>
      <c r="AC201" s="463">
        <f t="shared" si="148"/>
        <v>1.4524470653867736</v>
      </c>
      <c r="AD201" s="463">
        <f t="shared" si="149"/>
        <v>6.0643082136197597</v>
      </c>
      <c r="AE201" s="463">
        <f t="shared" si="150"/>
        <v>0.36775834109776079</v>
      </c>
      <c r="AF201" s="463">
        <f t="shared" ref="AF201:AF209" si="166">IF(L201&lt;0, Deadtime*Fsw*IF(VfdSky&gt;0,0,VsdBot)*K201, Deadtime*Fsw*IF(VfdSky&gt;0,0,VsdBot)*(K201+L201))</f>
        <v>0.18662399999999998</v>
      </c>
      <c r="AG201" s="463">
        <f t="shared" si="151"/>
        <v>0.58904238091225114</v>
      </c>
      <c r="AH201" s="463">
        <f t="shared" si="152"/>
        <v>0</v>
      </c>
      <c r="AI201">
        <f t="shared" ref="AI201:AI209" si="167">2*Deadtime*Fsw*IF(VfdSky&gt;0,VfdSky,0)*H201</f>
        <v>0</v>
      </c>
      <c r="AJ201" s="464">
        <f t="shared" ref="AJ201:AJ209" si="168">IF(QrrSky&gt;0,QrrSky,QrrBot)*Fsw*(Vin-H201*RdsonTop)</f>
        <v>0.47619840000000002</v>
      </c>
      <c r="AK201">
        <f t="shared" si="133"/>
        <v>7.2000000000000008E-2</v>
      </c>
      <c r="AL201" s="464">
        <f t="shared" si="134"/>
        <v>0.22559999999999999</v>
      </c>
      <c r="AM201" s="464">
        <f t="shared" si="135"/>
        <v>0.18424406779661015</v>
      </c>
      <c r="AN201" s="464">
        <f t="shared" si="153"/>
        <v>0.29759999999999998</v>
      </c>
      <c r="AO201" s="464">
        <f t="shared" si="154"/>
        <v>4.2248322391447592</v>
      </c>
      <c r="AP201" s="100">
        <f t="shared" ref="AP201:AP209" si="169">Vout*H201</f>
        <v>103.68</v>
      </c>
      <c r="AQ201" s="10">
        <f t="shared" si="155"/>
        <v>0.96084668173357191</v>
      </c>
      <c r="AR201" s="77">
        <f t="shared" si="156"/>
        <v>61.002776746244493</v>
      </c>
      <c r="AS201" s="77">
        <f t="shared" si="157"/>
        <v>23.561695236490046</v>
      </c>
      <c r="AT201" s="10"/>
      <c r="AU201">
        <f t="shared" si="158"/>
        <v>96.084668173357187</v>
      </c>
    </row>
    <row r="202" spans="7:47" x14ac:dyDescent="0.25">
      <c r="G202">
        <v>193</v>
      </c>
      <c r="H202">
        <f t="shared" si="159"/>
        <v>8.6850000000000005</v>
      </c>
      <c r="I202" s="463">
        <f t="shared" si="136"/>
        <v>0.51017669228625306</v>
      </c>
      <c r="J202" s="464">
        <f t="shared" si="160"/>
        <v>2.2507795247922928</v>
      </c>
      <c r="K202" s="464">
        <f t="shared" ref="K202:K209" si="170">H202+J202/2</f>
        <v>9.8103897623961469</v>
      </c>
      <c r="L202" s="464">
        <f t="shared" si="137"/>
        <v>7.5596102376038541</v>
      </c>
      <c r="M202" s="77">
        <f t="shared" si="161"/>
        <v>0</v>
      </c>
      <c r="N202" s="463">
        <f t="shared" si="138"/>
        <v>8.7092704845144961</v>
      </c>
      <c r="O202" s="463">
        <f t="shared" si="139"/>
        <v>0.98170160473833512</v>
      </c>
      <c r="P202">
        <f t="shared" si="162"/>
        <v>0.4</v>
      </c>
      <c r="Q202" s="463">
        <f t="shared" ref="Q202:Q209" si="171">O202+P202</f>
        <v>1.381701604738335</v>
      </c>
      <c r="R202" s="9">
        <f t="shared" si="140"/>
        <v>0.64974408226266411</v>
      </c>
      <c r="S202" s="9">
        <f t="shared" si="141"/>
        <v>4.2216737243535164E-4</v>
      </c>
      <c r="T202" s="9">
        <f t="shared" si="142"/>
        <v>4.2216737243535164E-4</v>
      </c>
      <c r="U202" s="463">
        <f t="shared" si="143"/>
        <v>6.2207405078395457</v>
      </c>
      <c r="V202" s="465">
        <f t="shared" si="144"/>
        <v>3.8697612465875809E-2</v>
      </c>
      <c r="W202" s="463">
        <f t="shared" si="145"/>
        <v>3.8697612465875809E-2</v>
      </c>
      <c r="X202" s="463">
        <f t="shared" si="146"/>
        <v>6.2207405078395457</v>
      </c>
      <c r="Y202" s="463">
        <f t="shared" si="147"/>
        <v>0.85134747424926771</v>
      </c>
      <c r="Z202" s="463">
        <f t="shared" si="163"/>
        <v>0.24569337713789752</v>
      </c>
      <c r="AA202" s="463">
        <f t="shared" si="164"/>
        <v>0.15997440000000002</v>
      </c>
      <c r="AB202" s="463">
        <f t="shared" si="165"/>
        <v>0</v>
      </c>
      <c r="AC202" s="463">
        <f t="shared" si="148"/>
        <v>1.4668073972237046</v>
      </c>
      <c r="AD202" s="463">
        <f t="shared" si="149"/>
        <v>6.095390053684798</v>
      </c>
      <c r="AE202" s="463">
        <f t="shared" si="150"/>
        <v>0.37153779906559564</v>
      </c>
      <c r="AF202" s="463">
        <f t="shared" si="166"/>
        <v>0.18759599999999998</v>
      </c>
      <c r="AG202" s="463">
        <f t="shared" si="151"/>
        <v>0.59447286121946896</v>
      </c>
      <c r="AH202" s="463">
        <f t="shared" si="152"/>
        <v>0</v>
      </c>
      <c r="AI202">
        <f t="shared" si="167"/>
        <v>0</v>
      </c>
      <c r="AJ202" s="464">
        <f t="shared" si="168"/>
        <v>0.47617860000000001</v>
      </c>
      <c r="AK202">
        <f t="shared" ref="AK202:AK209" si="172">Iq*Vin</f>
        <v>7.2000000000000008E-2</v>
      </c>
      <c r="AL202" s="464">
        <f t="shared" ref="AL202:AL209" si="173">Vin*(QgTop+QgBot)*Fsw</f>
        <v>0.22559999999999999</v>
      </c>
      <c r="AM202" s="464">
        <f t="shared" ref="AM202:AM209" si="174">(Vin-Vdd)*Fsw*(QgTop+QgBot)+(RdsonDRT+RdsonDRT2)*Fsw*QgTop*Vdd/(RdsonDRT+2*RGateTop+RdsonDRT2)+(RdsonDRB+RdsonDRB2)*Fsw*QgBot*Vdd/(RdsonDRB+2*RGateBot+RdsonDRB2)</f>
        <v>0.18424406779661015</v>
      </c>
      <c r="AN202" s="464">
        <f t="shared" si="153"/>
        <v>0.29759999999999998</v>
      </c>
      <c r="AO202" s="464">
        <f t="shared" si="154"/>
        <v>4.2558802430198197</v>
      </c>
      <c r="AP202" s="100">
        <f t="shared" si="169"/>
        <v>104.22</v>
      </c>
      <c r="AQ202" s="10">
        <f t="shared" si="155"/>
        <v>0.96076657563427637</v>
      </c>
      <c r="AR202" s="77">
        <f t="shared" si="156"/>
        <v>61.605910683395592</v>
      </c>
      <c r="AS202" s="77">
        <f t="shared" si="157"/>
        <v>23.778914448778757</v>
      </c>
      <c r="AT202" s="10"/>
      <c r="AU202">
        <f t="shared" si="158"/>
        <v>96.076657563427631</v>
      </c>
    </row>
    <row r="203" spans="7:47" x14ac:dyDescent="0.25">
      <c r="G203">
        <v>194</v>
      </c>
      <c r="H203">
        <f t="shared" si="159"/>
        <v>8.73</v>
      </c>
      <c r="I203" s="463">
        <f t="shared" si="136"/>
        <v>0.51022965243286955</v>
      </c>
      <c r="J203" s="464">
        <f t="shared" si="160"/>
        <v>2.2510131724979536</v>
      </c>
      <c r="K203" s="464">
        <f t="shared" si="170"/>
        <v>9.8555065862489766</v>
      </c>
      <c r="L203" s="464">
        <f t="shared" si="137"/>
        <v>7.6044934137510234</v>
      </c>
      <c r="M203" s="77">
        <f t="shared" si="161"/>
        <v>0</v>
      </c>
      <c r="N203" s="463">
        <f t="shared" si="138"/>
        <v>8.754150731237722</v>
      </c>
      <c r="O203" s="463">
        <f t="shared" si="139"/>
        <v>0.99265094067861126</v>
      </c>
      <c r="P203">
        <f t="shared" si="162"/>
        <v>0.4</v>
      </c>
      <c r="Q203" s="463">
        <f t="shared" si="171"/>
        <v>1.3926509406786112</v>
      </c>
      <c r="R203" s="9">
        <f t="shared" si="140"/>
        <v>0.64981153054554353</v>
      </c>
      <c r="S203" s="9">
        <f t="shared" si="141"/>
        <v>4.2225502522994185E-4</v>
      </c>
      <c r="T203" s="9">
        <f t="shared" si="142"/>
        <v>4.2225502522994185E-4</v>
      </c>
      <c r="U203" s="463">
        <f t="shared" si="143"/>
        <v>6.2531215015112371</v>
      </c>
      <c r="V203" s="465">
        <f t="shared" si="144"/>
        <v>3.9101528512662152E-2</v>
      </c>
      <c r="W203" s="463">
        <f t="shared" si="145"/>
        <v>3.9101528512662152E-2</v>
      </c>
      <c r="X203" s="463">
        <f t="shared" si="146"/>
        <v>6.2531215015112371</v>
      </c>
      <c r="Y203" s="463">
        <f t="shared" si="147"/>
        <v>0.86023362727856723</v>
      </c>
      <c r="Z203" s="463">
        <f t="shared" si="163"/>
        <v>0.24700414959273245</v>
      </c>
      <c r="AA203" s="463">
        <f t="shared" si="164"/>
        <v>0.15997440000000002</v>
      </c>
      <c r="AB203" s="463">
        <f t="shared" si="165"/>
        <v>0</v>
      </c>
      <c r="AC203" s="463">
        <f t="shared" si="148"/>
        <v>1.4812866051714766</v>
      </c>
      <c r="AD203" s="463">
        <f t="shared" si="149"/>
        <v>6.1264693349895909</v>
      </c>
      <c r="AE203" s="463">
        <f t="shared" si="150"/>
        <v>0.37533626512567803</v>
      </c>
      <c r="AF203" s="463">
        <f t="shared" si="166"/>
        <v>0.18856799999999999</v>
      </c>
      <c r="AG203" s="463">
        <f t="shared" si="151"/>
        <v>0.59993249249540004</v>
      </c>
      <c r="AH203" s="463">
        <f t="shared" si="152"/>
        <v>0</v>
      </c>
      <c r="AI203">
        <f t="shared" si="167"/>
        <v>0</v>
      </c>
      <c r="AJ203" s="464">
        <f t="shared" si="168"/>
        <v>0.47615879999999999</v>
      </c>
      <c r="AK203">
        <f t="shared" si="172"/>
        <v>7.2000000000000008E-2</v>
      </c>
      <c r="AL203" s="464">
        <f t="shared" si="173"/>
        <v>0.22559999999999999</v>
      </c>
      <c r="AM203" s="464">
        <f t="shared" si="174"/>
        <v>0.18424406779661015</v>
      </c>
      <c r="AN203" s="464">
        <f t="shared" si="153"/>
        <v>0.29759999999999998</v>
      </c>
      <c r="AO203" s="464">
        <f t="shared" si="154"/>
        <v>4.2871526218833793</v>
      </c>
      <c r="AP203" s="100">
        <f t="shared" si="169"/>
        <v>104.76</v>
      </c>
      <c r="AQ203" s="10">
        <f t="shared" si="155"/>
        <v>0.96068533181467919</v>
      </c>
      <c r="AR203" s="77">
        <f t="shared" si="156"/>
        <v>62.214037417202015</v>
      </c>
      <c r="AS203" s="77">
        <f t="shared" si="157"/>
        <v>23.997299699816001</v>
      </c>
      <c r="AT203" s="10"/>
      <c r="AU203">
        <f t="shared" si="158"/>
        <v>96.068533181467913</v>
      </c>
    </row>
    <row r="204" spans="7:47" x14ac:dyDescent="0.25">
      <c r="G204">
        <v>195</v>
      </c>
      <c r="H204">
        <f t="shared" si="159"/>
        <v>8.7750000000000004</v>
      </c>
      <c r="I204" s="463">
        <f t="shared" si="136"/>
        <v>0.51028261497319483</v>
      </c>
      <c r="J204" s="464">
        <f t="shared" si="160"/>
        <v>2.2512468307640949</v>
      </c>
      <c r="K204" s="464">
        <f t="shared" si="170"/>
        <v>9.9006234153820483</v>
      </c>
      <c r="L204" s="464">
        <f t="shared" si="137"/>
        <v>7.6493765846179524</v>
      </c>
      <c r="M204" s="77">
        <f t="shared" si="161"/>
        <v>0</v>
      </c>
      <c r="N204" s="463">
        <f t="shared" si="138"/>
        <v>8.7990322019575231</v>
      </c>
      <c r="O204" s="463">
        <f t="shared" si="139"/>
        <v>1.0036747942109985</v>
      </c>
      <c r="P204">
        <f t="shared" si="162"/>
        <v>0.4</v>
      </c>
      <c r="Q204" s="463">
        <f t="shared" si="171"/>
        <v>1.4036747942109984</v>
      </c>
      <c r="R204" s="9">
        <f t="shared" si="140"/>
        <v>0.64987898187697113</v>
      </c>
      <c r="S204" s="9">
        <f t="shared" si="141"/>
        <v>4.2234269108544861E-4</v>
      </c>
      <c r="T204" s="9">
        <f t="shared" si="142"/>
        <v>4.2234269108544861E-4</v>
      </c>
      <c r="U204" s="463">
        <f t="shared" si="143"/>
        <v>6.2855066949604206</v>
      </c>
      <c r="V204" s="465">
        <f t="shared" si="144"/>
        <v>3.9507594412392273E-2</v>
      </c>
      <c r="W204" s="463">
        <f t="shared" si="145"/>
        <v>3.9507594412392273E-2</v>
      </c>
      <c r="X204" s="463">
        <f t="shared" si="146"/>
        <v>6.2855066949604206</v>
      </c>
      <c r="Y204" s="463">
        <f t="shared" si="147"/>
        <v>0.86916707707262997</v>
      </c>
      <c r="Z204" s="463">
        <f t="shared" si="163"/>
        <v>0.24831492201268451</v>
      </c>
      <c r="AA204" s="463">
        <f t="shared" si="164"/>
        <v>0.15997440000000002</v>
      </c>
      <c r="AB204" s="463">
        <f t="shared" si="165"/>
        <v>0</v>
      </c>
      <c r="AC204" s="463">
        <f t="shared" si="148"/>
        <v>1.4958857376331369</v>
      </c>
      <c r="AD204" s="463">
        <f t="shared" si="149"/>
        <v>6.1575460435707008</v>
      </c>
      <c r="AE204" s="463">
        <f t="shared" si="150"/>
        <v>0.37915373278693187</v>
      </c>
      <c r="AF204" s="463">
        <f t="shared" si="166"/>
        <v>0.18953999999999999</v>
      </c>
      <c r="AG204" s="463">
        <f t="shared" si="151"/>
        <v>0.60542137677292518</v>
      </c>
      <c r="AH204" s="463">
        <f t="shared" si="152"/>
        <v>0</v>
      </c>
      <c r="AI204">
        <f t="shared" si="167"/>
        <v>0</v>
      </c>
      <c r="AJ204" s="464">
        <f t="shared" si="168"/>
        <v>0.47613900000000003</v>
      </c>
      <c r="AK204">
        <f t="shared" si="172"/>
        <v>7.2000000000000008E-2</v>
      </c>
      <c r="AL204" s="464">
        <f t="shared" si="173"/>
        <v>0.22559999999999999</v>
      </c>
      <c r="AM204" s="464">
        <f t="shared" si="174"/>
        <v>0.18424406779661015</v>
      </c>
      <c r="AN204" s="464">
        <f t="shared" si="153"/>
        <v>0.29759999999999998</v>
      </c>
      <c r="AO204" s="464">
        <f t="shared" si="154"/>
        <v>4.3186508457205388</v>
      </c>
      <c r="AP204" s="100">
        <f t="shared" si="169"/>
        <v>105.30000000000001</v>
      </c>
      <c r="AQ204" s="10">
        <f t="shared" si="155"/>
        <v>0.9606029556795157</v>
      </c>
      <c r="AR204" s="77">
        <f t="shared" si="156"/>
        <v>62.827200980591748</v>
      </c>
      <c r="AS204" s="77">
        <f t="shared" si="157"/>
        <v>24.216855070917006</v>
      </c>
      <c r="AT204" s="10"/>
      <c r="AU204">
        <f t="shared" si="158"/>
        <v>96.06029556795157</v>
      </c>
    </row>
    <row r="205" spans="7:47" x14ac:dyDescent="0.25">
      <c r="G205">
        <v>196</v>
      </c>
      <c r="H205">
        <f t="shared" si="159"/>
        <v>8.82</v>
      </c>
      <c r="I205" s="463">
        <f t="shared" si="136"/>
        <v>0.51033557990739165</v>
      </c>
      <c r="J205" s="464">
        <f t="shared" si="160"/>
        <v>2.2514804995914335</v>
      </c>
      <c r="K205" s="464">
        <f t="shared" si="170"/>
        <v>9.9457402497957172</v>
      </c>
      <c r="L205" s="464">
        <f t="shared" si="137"/>
        <v>7.6942597502042833</v>
      </c>
      <c r="M205" s="77">
        <f t="shared" si="161"/>
        <v>0</v>
      </c>
      <c r="N205" s="463">
        <f t="shared" si="138"/>
        <v>8.8439148780392145</v>
      </c>
      <c r="O205" s="463">
        <f t="shared" si="139"/>
        <v>1.0147734871554037</v>
      </c>
      <c r="P205">
        <f t="shared" si="162"/>
        <v>0.4</v>
      </c>
      <c r="Q205" s="463">
        <f t="shared" si="171"/>
        <v>1.4147734871554039</v>
      </c>
      <c r="R205" s="9">
        <f t="shared" si="140"/>
        <v>0.64994643625715365</v>
      </c>
      <c r="S205" s="9">
        <f t="shared" si="141"/>
        <v>4.224303700033743E-4</v>
      </c>
      <c r="T205" s="9">
        <f t="shared" si="142"/>
        <v>4.224303700033743E-4</v>
      </c>
      <c r="U205" s="463">
        <f t="shared" si="143"/>
        <v>6.3178960749789113</v>
      </c>
      <c r="V205" s="465">
        <f t="shared" si="144"/>
        <v>3.9915810814233933E-2</v>
      </c>
      <c r="W205" s="463">
        <f t="shared" si="145"/>
        <v>3.9915810814233933E-2</v>
      </c>
      <c r="X205" s="463">
        <f t="shared" si="146"/>
        <v>6.3178960749789113</v>
      </c>
      <c r="Y205" s="463">
        <f t="shared" si="147"/>
        <v>0.87814783791314655</v>
      </c>
      <c r="Z205" s="463">
        <f t="shared" si="163"/>
        <v>0.24962569439775137</v>
      </c>
      <c r="AA205" s="463">
        <f t="shared" si="164"/>
        <v>0.15997440000000002</v>
      </c>
      <c r="AB205" s="463">
        <f t="shared" si="165"/>
        <v>0</v>
      </c>
      <c r="AC205" s="463">
        <f t="shared" si="148"/>
        <v>1.5106058572477075</v>
      </c>
      <c r="AD205" s="463">
        <f t="shared" si="149"/>
        <v>6.1886201657372242</v>
      </c>
      <c r="AE205" s="463">
        <f t="shared" si="150"/>
        <v>0.38299019555769426</v>
      </c>
      <c r="AF205" s="463">
        <f t="shared" si="166"/>
        <v>0.19051199999999999</v>
      </c>
      <c r="AG205" s="463">
        <f t="shared" si="151"/>
        <v>0.61093961689336329</v>
      </c>
      <c r="AH205" s="463">
        <f t="shared" si="152"/>
        <v>0</v>
      </c>
      <c r="AI205">
        <f t="shared" si="167"/>
        <v>0</v>
      </c>
      <c r="AJ205" s="464">
        <f t="shared" si="168"/>
        <v>0.47611919999999996</v>
      </c>
      <c r="AK205">
        <f t="shared" si="172"/>
        <v>7.2000000000000008E-2</v>
      </c>
      <c r="AL205" s="464">
        <f t="shared" si="173"/>
        <v>0.22559999999999999</v>
      </c>
      <c r="AM205" s="464">
        <f t="shared" si="174"/>
        <v>0.18424406779661015</v>
      </c>
      <c r="AN205" s="464">
        <f t="shared" si="153"/>
        <v>0.29759999999999998</v>
      </c>
      <c r="AO205" s="464">
        <f t="shared" si="154"/>
        <v>4.3503764024807117</v>
      </c>
      <c r="AP205" s="100">
        <f t="shared" si="169"/>
        <v>105.84</v>
      </c>
      <c r="AQ205" s="10">
        <f t="shared" si="155"/>
        <v>0.9605194523831142</v>
      </c>
      <c r="AR205" s="77">
        <f t="shared" si="156"/>
        <v>63.445446004403713</v>
      </c>
      <c r="AS205" s="77">
        <f t="shared" si="157"/>
        <v>24.437584675734531</v>
      </c>
      <c r="AT205" s="10"/>
      <c r="AU205">
        <f t="shared" si="158"/>
        <v>96.051945238311419</v>
      </c>
    </row>
    <row r="206" spans="7:47" x14ac:dyDescent="0.25">
      <c r="G206">
        <v>197</v>
      </c>
      <c r="H206">
        <f t="shared" si="159"/>
        <v>8.8650000000000002</v>
      </c>
      <c r="I206" s="463">
        <f t="shared" si="136"/>
        <v>0.51038854723562177</v>
      </c>
      <c r="J206" s="464">
        <f t="shared" si="160"/>
        <v>2.2517141789806843</v>
      </c>
      <c r="K206" s="464">
        <f t="shared" si="170"/>
        <v>9.9908570894903423</v>
      </c>
      <c r="L206" s="464">
        <f t="shared" si="137"/>
        <v>7.7391429105096581</v>
      </c>
      <c r="M206" s="77">
        <f t="shared" si="161"/>
        <v>0</v>
      </c>
      <c r="N206" s="463">
        <f t="shared" si="138"/>
        <v>8.8887987412239919</v>
      </c>
      <c r="O206" s="463">
        <f t="shared" si="139"/>
        <v>1.0259473442770726</v>
      </c>
      <c r="P206">
        <f t="shared" si="162"/>
        <v>0.4</v>
      </c>
      <c r="Q206" s="463">
        <f t="shared" si="171"/>
        <v>1.4259473442770725</v>
      </c>
      <c r="R206" s="9">
        <f t="shared" si="140"/>
        <v>0.65001389368629769</v>
      </c>
      <c r="S206" s="9">
        <f t="shared" si="141"/>
        <v>4.2251806198522152E-4</v>
      </c>
      <c r="T206" s="9">
        <f t="shared" si="142"/>
        <v>4.2251806198522152E-4</v>
      </c>
      <c r="U206" s="463">
        <f t="shared" si="143"/>
        <v>6.3502896286243207</v>
      </c>
      <c r="V206" s="465">
        <f t="shared" si="144"/>
        <v>4.0326178367413611E-2</v>
      </c>
      <c r="W206" s="463">
        <f t="shared" si="145"/>
        <v>4.0326178367413611E-2</v>
      </c>
      <c r="X206" s="463">
        <f t="shared" si="146"/>
        <v>6.3502896286243207</v>
      </c>
      <c r="Y206" s="463">
        <f t="shared" si="147"/>
        <v>0.88717592408309942</v>
      </c>
      <c r="Z206" s="463">
        <f t="shared" si="163"/>
        <v>0.25093646674793069</v>
      </c>
      <c r="AA206" s="463">
        <f t="shared" si="164"/>
        <v>0.15997440000000002</v>
      </c>
      <c r="AB206" s="463">
        <f t="shared" si="165"/>
        <v>0</v>
      </c>
      <c r="AC206" s="463">
        <f t="shared" si="148"/>
        <v>1.5254480411183826</v>
      </c>
      <c r="AD206" s="463">
        <f t="shared" si="149"/>
        <v>6.2196916880639348</v>
      </c>
      <c r="AE206" s="463">
        <f t="shared" si="150"/>
        <v>0.38684564694571599</v>
      </c>
      <c r="AF206" s="463">
        <f t="shared" si="166"/>
        <v>0.19148399999999999</v>
      </c>
      <c r="AG206" s="463">
        <f t="shared" si="151"/>
        <v>0.61648731651210875</v>
      </c>
      <c r="AH206" s="463">
        <f t="shared" si="152"/>
        <v>0</v>
      </c>
      <c r="AI206">
        <f t="shared" si="167"/>
        <v>0</v>
      </c>
      <c r="AJ206" s="464">
        <f t="shared" si="168"/>
        <v>0.47609940000000001</v>
      </c>
      <c r="AK206">
        <f t="shared" si="172"/>
        <v>7.2000000000000008E-2</v>
      </c>
      <c r="AL206" s="464">
        <f t="shared" si="173"/>
        <v>0.22559999999999999</v>
      </c>
      <c r="AM206" s="464">
        <f t="shared" si="174"/>
        <v>0.18424406779661015</v>
      </c>
      <c r="AN206" s="464">
        <f t="shared" si="153"/>
        <v>0.29759999999999998</v>
      </c>
      <c r="AO206" s="464">
        <f t="shared" si="154"/>
        <v>4.3823307983369633</v>
      </c>
      <c r="AP206" s="100">
        <f t="shared" si="169"/>
        <v>106.38</v>
      </c>
      <c r="AQ206" s="10">
        <f t="shared" si="155"/>
        <v>0.96043482683372017</v>
      </c>
      <c r="AR206" s="77">
        <f t="shared" si="156"/>
        <v>64.068817726972071</v>
      </c>
      <c r="AS206" s="77">
        <f t="shared" si="157"/>
        <v>24.65949266048435</v>
      </c>
      <c r="AT206" s="10"/>
      <c r="AU206">
        <f t="shared" si="158"/>
        <v>96.043482683372019</v>
      </c>
    </row>
    <row r="207" spans="7:47" x14ac:dyDescent="0.25">
      <c r="G207">
        <v>198</v>
      </c>
      <c r="H207">
        <f t="shared" si="159"/>
        <v>8.91</v>
      </c>
      <c r="I207" s="463">
        <f t="shared" si="136"/>
        <v>0.51044151695804818</v>
      </c>
      <c r="J207" s="464">
        <f t="shared" si="160"/>
        <v>2.2519478689325654</v>
      </c>
      <c r="K207" s="464">
        <f t="shared" si="170"/>
        <v>10.035973934466282</v>
      </c>
      <c r="L207" s="464">
        <f t="shared" si="137"/>
        <v>7.7840260655337179</v>
      </c>
      <c r="M207" s="77">
        <f t="shared" si="161"/>
        <v>0</v>
      </c>
      <c r="N207" s="463">
        <f t="shared" si="138"/>
        <v>8.9336837736195083</v>
      </c>
      <c r="O207" s="463">
        <f t="shared" si="139"/>
        <v>1.037196693312384</v>
      </c>
      <c r="P207">
        <f t="shared" si="162"/>
        <v>0.4</v>
      </c>
      <c r="Q207" s="463">
        <f t="shared" si="171"/>
        <v>1.4371966933123841</v>
      </c>
      <c r="R207" s="9">
        <f t="shared" si="140"/>
        <v>0.65008135416461044</v>
      </c>
      <c r="S207" s="9">
        <f t="shared" si="141"/>
        <v>4.2260576703249367E-4</v>
      </c>
      <c r="T207" s="9">
        <f t="shared" si="142"/>
        <v>4.2260576703249367E-4</v>
      </c>
      <c r="U207" s="463">
        <f t="shared" si="143"/>
        <v>6.3826873432133988</v>
      </c>
      <c r="V207" s="465">
        <f t="shared" si="144"/>
        <v>4.0738697721216521E-2</v>
      </c>
      <c r="W207" s="463">
        <f t="shared" si="145"/>
        <v>4.0738697721216521E-2</v>
      </c>
      <c r="X207" s="463">
        <f t="shared" si="146"/>
        <v>6.3826873432133988</v>
      </c>
      <c r="Y207" s="463">
        <f t="shared" si="147"/>
        <v>0.89625134986676336</v>
      </c>
      <c r="Z207" s="463">
        <f t="shared" si="163"/>
        <v>0.25224723906322011</v>
      </c>
      <c r="AA207" s="463">
        <f t="shared" si="164"/>
        <v>0.15997440000000002</v>
      </c>
      <c r="AB207" s="463">
        <f t="shared" si="165"/>
        <v>0</v>
      </c>
      <c r="AC207" s="463">
        <f t="shared" si="148"/>
        <v>1.5404133810452398</v>
      </c>
      <c r="AD207" s="463">
        <f t="shared" si="149"/>
        <v>6.2507605973846081</v>
      </c>
      <c r="AE207" s="463">
        <f t="shared" si="150"/>
        <v>0.39072008045815987</v>
      </c>
      <c r="AF207" s="463">
        <f t="shared" si="166"/>
        <v>0.19245599999999999</v>
      </c>
      <c r="AG207" s="463">
        <f t="shared" si="151"/>
        <v>0.62206458010432508</v>
      </c>
      <c r="AH207" s="463">
        <f t="shared" si="152"/>
        <v>0</v>
      </c>
      <c r="AI207">
        <f t="shared" si="167"/>
        <v>0</v>
      </c>
      <c r="AJ207" s="464">
        <f t="shared" si="168"/>
        <v>0.47607959999999999</v>
      </c>
      <c r="AK207">
        <f t="shared" si="172"/>
        <v>7.2000000000000008E-2</v>
      </c>
      <c r="AL207" s="464">
        <f t="shared" si="173"/>
        <v>0.22559999999999999</v>
      </c>
      <c r="AM207" s="464">
        <f t="shared" si="174"/>
        <v>0.18424406779661015</v>
      </c>
      <c r="AN207" s="464">
        <f t="shared" si="153"/>
        <v>0.29759999999999998</v>
      </c>
      <c r="AO207" s="464">
        <f t="shared" si="154"/>
        <v>4.4145155579501978</v>
      </c>
      <c r="AP207" s="100">
        <f t="shared" si="169"/>
        <v>106.92</v>
      </c>
      <c r="AQ207" s="10">
        <f t="shared" si="155"/>
        <v>0.96034908369765692</v>
      </c>
      <c r="AR207" s="77">
        <f t="shared" si="156"/>
        <v>64.697362003900068</v>
      </c>
      <c r="AS207" s="77">
        <f t="shared" si="157"/>
        <v>24.882583204173002</v>
      </c>
      <c r="AT207" s="10"/>
      <c r="AU207">
        <f t="shared" si="158"/>
        <v>96.034908369765688</v>
      </c>
    </row>
    <row r="208" spans="7:47" x14ac:dyDescent="0.25">
      <c r="G208">
        <v>199</v>
      </c>
      <c r="H208">
        <f t="shared" si="159"/>
        <v>8.9550000000000001</v>
      </c>
      <c r="I208" s="463">
        <f t="shared" si="136"/>
        <v>0.51049448907483252</v>
      </c>
      <c r="J208" s="464">
        <f t="shared" si="160"/>
        <v>2.25218156944779</v>
      </c>
      <c r="K208" s="464">
        <f t="shared" si="170"/>
        <v>10.081090784723894</v>
      </c>
      <c r="L208" s="464">
        <f t="shared" si="137"/>
        <v>7.8289092152761048</v>
      </c>
      <c r="M208" s="77">
        <f t="shared" si="161"/>
        <v>0</v>
      </c>
      <c r="N208" s="463">
        <f t="shared" si="138"/>
        <v>8.9785699576907394</v>
      </c>
      <c r="O208" s="463">
        <f t="shared" si="139"/>
        <v>1.0485218649949668</v>
      </c>
      <c r="P208">
        <f t="shared" si="162"/>
        <v>0.4</v>
      </c>
      <c r="Q208" s="463">
        <f t="shared" si="171"/>
        <v>1.4485218649949667</v>
      </c>
      <c r="R208" s="9">
        <f t="shared" si="140"/>
        <v>0.65014881769229771</v>
      </c>
      <c r="S208" s="9">
        <f t="shared" si="141"/>
        <v>4.2269348514669259E-4</v>
      </c>
      <c r="T208" s="9">
        <f t="shared" si="142"/>
        <v>4.2269348514669259E-4</v>
      </c>
      <c r="U208" s="463">
        <f t="shared" si="143"/>
        <v>6.4150892063155611</v>
      </c>
      <c r="V208" s="465">
        <f t="shared" si="144"/>
        <v>4.1153369524986418E-2</v>
      </c>
      <c r="W208" s="463">
        <f t="shared" si="145"/>
        <v>4.1153369524986418E-2</v>
      </c>
      <c r="X208" s="463">
        <f t="shared" si="146"/>
        <v>6.4150892063155611</v>
      </c>
      <c r="Y208" s="463">
        <f t="shared" si="147"/>
        <v>0.90537412954970109</v>
      </c>
      <c r="Z208" s="463">
        <f t="shared" si="163"/>
        <v>0.25355801134361711</v>
      </c>
      <c r="AA208" s="463">
        <f t="shared" si="164"/>
        <v>0.15997440000000002</v>
      </c>
      <c r="AB208" s="463">
        <f t="shared" si="165"/>
        <v>0</v>
      </c>
      <c r="AC208" s="463">
        <f t="shared" si="148"/>
        <v>1.5555029837625656</v>
      </c>
      <c r="AD208" s="463">
        <f t="shared" si="149"/>
        <v>6.2818268807855784</v>
      </c>
      <c r="AE208" s="463">
        <f t="shared" si="150"/>
        <v>0.39461348960160275</v>
      </c>
      <c r="AF208" s="463">
        <f t="shared" si="166"/>
        <v>0.19342799999999999</v>
      </c>
      <c r="AG208" s="463">
        <f t="shared" si="151"/>
        <v>0.62767151297070478</v>
      </c>
      <c r="AH208" s="463">
        <f t="shared" si="152"/>
        <v>0</v>
      </c>
      <c r="AI208">
        <f t="shared" si="167"/>
        <v>0</v>
      </c>
      <c r="AJ208" s="464">
        <f t="shared" si="168"/>
        <v>0.47605980000000003</v>
      </c>
      <c r="AK208">
        <f t="shared" si="172"/>
        <v>7.2000000000000008E-2</v>
      </c>
      <c r="AL208" s="464">
        <f t="shared" si="173"/>
        <v>0.22559999999999999</v>
      </c>
      <c r="AM208" s="464">
        <f t="shared" si="174"/>
        <v>0.18424406779661015</v>
      </c>
      <c r="AN208" s="464">
        <f t="shared" si="153"/>
        <v>0.29759999999999998</v>
      </c>
      <c r="AO208" s="464">
        <f t="shared" si="154"/>
        <v>4.4469322247383696</v>
      </c>
      <c r="AP208" s="100">
        <f t="shared" si="169"/>
        <v>107.46000000000001</v>
      </c>
      <c r="AQ208" s="10">
        <f t="shared" si="155"/>
        <v>0.96026222740332323</v>
      </c>
      <c r="AR208" s="77">
        <f t="shared" si="156"/>
        <v>65.331125318027759</v>
      </c>
      <c r="AS208" s="77">
        <f t="shared" si="157"/>
        <v>25.106860518828192</v>
      </c>
      <c r="AT208" s="10"/>
      <c r="AU208">
        <f t="shared" si="158"/>
        <v>96.026222740332329</v>
      </c>
    </row>
    <row r="209" spans="7:47" x14ac:dyDescent="0.25">
      <c r="G209">
        <v>200</v>
      </c>
      <c r="H209">
        <f t="shared" si="159"/>
        <v>9</v>
      </c>
      <c r="I209" s="463">
        <f t="shared" si="136"/>
        <v>0.51054746358613767</v>
      </c>
      <c r="J209" s="464">
        <f t="shared" si="160"/>
        <v>2.2524152805270776</v>
      </c>
      <c r="K209" s="464">
        <f t="shared" si="170"/>
        <v>10.126207640263539</v>
      </c>
      <c r="L209" s="464">
        <f t="shared" si="137"/>
        <v>7.873792359736461</v>
      </c>
      <c r="M209" s="77">
        <f t="shared" si="161"/>
        <v>0</v>
      </c>
      <c r="N209" s="463">
        <f t="shared" si="138"/>
        <v>9.023457276251122</v>
      </c>
      <c r="O209" s="463">
        <f t="shared" si="139"/>
        <v>1.059923193082134</v>
      </c>
      <c r="P209">
        <f t="shared" si="162"/>
        <v>0.4</v>
      </c>
      <c r="Q209" s="463">
        <f t="shared" si="171"/>
        <v>1.4599231930821341</v>
      </c>
      <c r="R209" s="9">
        <f t="shared" si="140"/>
        <v>0.65021628426956735</v>
      </c>
      <c r="S209" s="9">
        <f t="shared" si="141"/>
        <v>4.2278121632932284E-4</v>
      </c>
      <c r="T209" s="9">
        <f t="shared" si="142"/>
        <v>4.2278121632932284E-4</v>
      </c>
      <c r="U209" s="463">
        <f t="shared" si="143"/>
        <v>6.4474952057466437</v>
      </c>
      <c r="V209" s="465">
        <f t="shared" si="144"/>
        <v>4.1570194428125956E-2</v>
      </c>
      <c r="W209" s="463">
        <f t="shared" si="145"/>
        <v>4.1570194428125956E-2</v>
      </c>
      <c r="X209" s="463">
        <f t="shared" si="146"/>
        <v>6.4474952057466437</v>
      </c>
      <c r="Y209" s="463">
        <f t="shared" si="147"/>
        <v>0.91454427741877109</v>
      </c>
      <c r="Z209" s="463">
        <f t="shared" si="163"/>
        <v>0.25486878358911957</v>
      </c>
      <c r="AA209" s="463">
        <f t="shared" si="164"/>
        <v>0.15997440000000002</v>
      </c>
      <c r="AB209" s="463">
        <f t="shared" si="165"/>
        <v>0</v>
      </c>
      <c r="AC209" s="463">
        <f t="shared" si="148"/>
        <v>1.5707179711809229</v>
      </c>
      <c r="AD209" s="463">
        <f t="shared" si="149"/>
        <v>6.3128905255994558</v>
      </c>
      <c r="AE209" s="463">
        <f t="shared" si="150"/>
        <v>0.39852586788203376</v>
      </c>
      <c r="AF209" s="463">
        <f t="shared" si="166"/>
        <v>0.19439999999999999</v>
      </c>
      <c r="AG209" s="463">
        <f t="shared" si="151"/>
        <v>0.63330822124328279</v>
      </c>
      <c r="AH209" s="463">
        <f t="shared" si="152"/>
        <v>0</v>
      </c>
      <c r="AI209">
        <f t="shared" si="167"/>
        <v>0</v>
      </c>
      <c r="AJ209" s="464">
        <f t="shared" si="168"/>
        <v>0.47604000000000002</v>
      </c>
      <c r="AK209">
        <f t="shared" si="172"/>
        <v>7.2000000000000008E-2</v>
      </c>
      <c r="AL209" s="464">
        <f t="shared" si="173"/>
        <v>0.22559999999999999</v>
      </c>
      <c r="AM209" s="464">
        <f t="shared" si="174"/>
        <v>0.18424406779661015</v>
      </c>
      <c r="AN209" s="464">
        <f t="shared" si="153"/>
        <v>0.29759999999999998</v>
      </c>
      <c r="AO209" s="464">
        <f t="shared" si="154"/>
        <v>4.4795823611507952</v>
      </c>
      <c r="AP209" s="100">
        <f t="shared" si="169"/>
        <v>108</v>
      </c>
      <c r="AQ209" s="10">
        <f t="shared" si="155"/>
        <v>0.96017426214503809</v>
      </c>
      <c r="AR209" s="77">
        <f t="shared" si="156"/>
        <v>65.970154789598766</v>
      </c>
      <c r="AS209" s="77">
        <f t="shared" si="157"/>
        <v>25.332328849731311</v>
      </c>
      <c r="AT209" s="10"/>
      <c r="AU209">
        <f t="shared" si="158"/>
        <v>96.017426214503814</v>
      </c>
    </row>
  </sheetData>
  <sheetProtection selectLockedCells="1"/>
  <mergeCells count="2">
    <mergeCell ref="A1:D4"/>
    <mergeCell ref="A6:D7"/>
  </mergeCells>
  <phoneticPr fontId="5" type="noConversion"/>
  <pageMargins left="0.75" right="0.75" top="1" bottom="1" header="0.5" footer="0.5"/>
  <pageSetup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E7"/>
  <sheetViews>
    <sheetView workbookViewId="0">
      <selection activeCell="M42" sqref="M42"/>
    </sheetView>
  </sheetViews>
  <sheetFormatPr defaultRowHeight="12.5" x14ac:dyDescent="0.25"/>
  <cols>
    <col min="1" max="1" width="18.54296875" customWidth="1"/>
    <col min="2" max="2" width="9.26953125" customWidth="1"/>
    <col min="4" max="4" width="11.1796875" customWidth="1"/>
  </cols>
  <sheetData>
    <row r="1" spans="1:5" x14ac:dyDescent="0.25">
      <c r="C1" t="s">
        <v>350</v>
      </c>
      <c r="D1" t="s">
        <v>349</v>
      </c>
    </row>
    <row r="2" spans="1:5" x14ac:dyDescent="0.25">
      <c r="A2" t="s">
        <v>347</v>
      </c>
      <c r="B2" s="76">
        <v>85</v>
      </c>
      <c r="C2" t="s">
        <v>348</v>
      </c>
      <c r="D2">
        <f>B2*1000000</f>
        <v>85000000</v>
      </c>
      <c r="E2" t="s">
        <v>10</v>
      </c>
    </row>
    <row r="3" spans="1:5" x14ac:dyDescent="0.25">
      <c r="A3" t="s">
        <v>351</v>
      </c>
      <c r="B3" s="76">
        <v>3000</v>
      </c>
      <c r="C3" t="s">
        <v>53</v>
      </c>
      <c r="D3">
        <f>B3*0.000000000001</f>
        <v>3E-9</v>
      </c>
      <c r="E3" t="s">
        <v>34</v>
      </c>
    </row>
    <row r="4" spans="1:5" x14ac:dyDescent="0.25">
      <c r="A4" t="s">
        <v>353</v>
      </c>
      <c r="B4" s="77">
        <f>1000000000*1/((D2*2*3.14159)^2*D3)</f>
        <v>1.1686430773614742</v>
      </c>
      <c r="C4" t="s">
        <v>354</v>
      </c>
      <c r="D4">
        <f>B4/1000000000</f>
        <v>1.1686430773614743E-9</v>
      </c>
      <c r="E4" t="s">
        <v>24</v>
      </c>
    </row>
    <row r="5" spans="1:5" x14ac:dyDescent="0.25">
      <c r="A5" t="s">
        <v>352</v>
      </c>
      <c r="B5">
        <f>4*B3</f>
        <v>12000</v>
      </c>
      <c r="C5" t="s">
        <v>53</v>
      </c>
      <c r="D5">
        <f>B5*0.000000000001</f>
        <v>1.2E-8</v>
      </c>
      <c r="E5" t="s">
        <v>34</v>
      </c>
    </row>
    <row r="6" spans="1:5" x14ac:dyDescent="0.25">
      <c r="A6" t="s">
        <v>355</v>
      </c>
      <c r="B6" s="4">
        <f>SQRT(D4/D3)</f>
        <v>0.62413755891936573</v>
      </c>
      <c r="C6" s="4" t="s">
        <v>274</v>
      </c>
      <c r="D6" s="4">
        <f>B6</f>
        <v>0.62413755891936573</v>
      </c>
      <c r="E6" t="s">
        <v>274</v>
      </c>
    </row>
    <row r="7" spans="1:5" x14ac:dyDescent="0.25">
      <c r="B7" s="4"/>
      <c r="C7" s="4"/>
      <c r="D7" s="4"/>
    </row>
  </sheetData>
  <phoneticPr fontId="5" type="noConversion"/>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3:E16"/>
  <sheetViews>
    <sheetView workbookViewId="0">
      <selection activeCell="E30" sqref="E30"/>
    </sheetView>
  </sheetViews>
  <sheetFormatPr defaultRowHeight="12.5" x14ac:dyDescent="0.25"/>
  <sheetData>
    <row r="3" spans="1:5" x14ac:dyDescent="0.25">
      <c r="A3" t="s">
        <v>299</v>
      </c>
      <c r="B3">
        <f>Iripple1</f>
        <v>2.2524152805270776</v>
      </c>
    </row>
    <row r="4" spans="1:5" x14ac:dyDescent="0.25">
      <c r="A4" t="s">
        <v>7</v>
      </c>
      <c r="B4">
        <f>Fsw</f>
        <v>400000</v>
      </c>
    </row>
    <row r="6" spans="1:5" x14ac:dyDescent="0.25">
      <c r="A6" t="s">
        <v>279</v>
      </c>
      <c r="B6" s="61">
        <v>0.5</v>
      </c>
      <c r="C6" t="s">
        <v>134</v>
      </c>
      <c r="D6">
        <f>B6/1000</f>
        <v>5.0000000000000001E-4</v>
      </c>
      <c r="E6" t="s">
        <v>25</v>
      </c>
    </row>
    <row r="7" spans="1:5" x14ac:dyDescent="0.25">
      <c r="A7" t="s">
        <v>297</v>
      </c>
      <c r="B7" s="61">
        <v>20</v>
      </c>
      <c r="C7" t="s">
        <v>30</v>
      </c>
      <c r="D7">
        <f>B7/1000000</f>
        <v>2.0000000000000002E-5</v>
      </c>
      <c r="E7" t="s">
        <v>34</v>
      </c>
    </row>
    <row r="9" spans="1:5" x14ac:dyDescent="0.25">
      <c r="A9" t="s">
        <v>280</v>
      </c>
      <c r="B9" s="61">
        <v>20</v>
      </c>
      <c r="C9" t="s">
        <v>134</v>
      </c>
      <c r="D9">
        <f>B9/1000</f>
        <v>0.02</v>
      </c>
      <c r="E9" t="s">
        <v>25</v>
      </c>
    </row>
    <row r="10" spans="1:5" x14ac:dyDescent="0.25">
      <c r="A10" t="s">
        <v>298</v>
      </c>
      <c r="B10" s="61">
        <v>68</v>
      </c>
      <c r="C10" t="s">
        <v>30</v>
      </c>
      <c r="D10">
        <f>B10/1000000</f>
        <v>6.7999999999999999E-5</v>
      </c>
      <c r="E10" t="s">
        <v>34</v>
      </c>
    </row>
    <row r="12" spans="1:5" x14ac:dyDescent="0.25">
      <c r="A12" t="s">
        <v>301</v>
      </c>
      <c r="B12">
        <f>(D7/(D7+D10))*SQRT((D9*D10*B4)^2+1)/SQRT((((D6+D9)*D7*D10/(D10+D7))*B4)^2+1)</f>
        <v>0.25667257397349275</v>
      </c>
      <c r="C12" t="s">
        <v>300</v>
      </c>
    </row>
    <row r="13" spans="1:5" x14ac:dyDescent="0.25">
      <c r="A13" t="s">
        <v>302</v>
      </c>
      <c r="B13">
        <f>1-B12</f>
        <v>0.74332742602650725</v>
      </c>
      <c r="C13" t="s">
        <v>300</v>
      </c>
    </row>
    <row r="15" spans="1:5" x14ac:dyDescent="0.25">
      <c r="A15" t="s">
        <v>301</v>
      </c>
      <c r="B15">
        <f>B12*(Iripple1/(2*SQRT(3)))</f>
        <v>0.16689268732295012</v>
      </c>
      <c r="C15" t="s">
        <v>2</v>
      </c>
    </row>
    <row r="16" spans="1:5" x14ac:dyDescent="0.25">
      <c r="A16" t="s">
        <v>302</v>
      </c>
      <c r="B16">
        <f>B13*(Iripple1/(2*SQRT(3)))</f>
        <v>0.48332359694661725</v>
      </c>
      <c r="C16" t="s">
        <v>2</v>
      </c>
    </row>
  </sheetData>
  <phoneticPr fontId="5"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145</vt:i4>
      </vt:variant>
    </vt:vector>
  </HeadingPairs>
  <TitlesOfParts>
    <vt:vector size="155" baseType="lpstr">
      <vt:lpstr>Design Regulator</vt:lpstr>
      <vt:lpstr>Schematic &amp; BOM</vt:lpstr>
      <vt:lpstr>EVM</vt:lpstr>
      <vt:lpstr>Variable Management</vt:lpstr>
      <vt:lpstr>Standard Value Calculator</vt:lpstr>
      <vt:lpstr>Bode Plots Calculations</vt:lpstr>
      <vt:lpstr>Schematic Management</vt:lpstr>
      <vt:lpstr>Power Calculations</vt:lpstr>
      <vt:lpstr>Snubber</vt:lpstr>
      <vt:lpstr>Parallel Output Caps</vt:lpstr>
      <vt:lpstr>_Don1</vt:lpstr>
      <vt:lpstr>_Don2</vt:lpstr>
      <vt:lpstr>_Ren1</vt:lpstr>
      <vt:lpstr>_Rfb1</vt:lpstr>
      <vt:lpstr>_Rfb2</vt:lpstr>
      <vt:lpstr>_Rs1</vt:lpstr>
      <vt:lpstr>_Rs2</vt:lpstr>
      <vt:lpstr>_Rs3</vt:lpstr>
      <vt:lpstr>Cb</vt:lpstr>
      <vt:lpstr>Cby</vt:lpstr>
      <vt:lpstr>Cc1ea</vt:lpstr>
      <vt:lpstr>Cc1ea_u</vt:lpstr>
      <vt:lpstr>Cc2ea</vt:lpstr>
      <vt:lpstr>Cc2ea_u</vt:lpstr>
      <vt:lpstr>Cc3ea</vt:lpstr>
      <vt:lpstr>Cc3ea_u</vt:lpstr>
      <vt:lpstr>Cdd</vt:lpstr>
      <vt:lpstr>Cilim</vt:lpstr>
      <vt:lpstr>Cilim_ideal</vt:lpstr>
      <vt:lpstr>Cin</vt:lpstr>
      <vt:lpstr>Cin_Voltage_Rating</vt:lpstr>
      <vt:lpstr>CinEsrMax</vt:lpstr>
      <vt:lpstr>Core_Loss</vt:lpstr>
      <vt:lpstr>CossBot</vt:lpstr>
      <vt:lpstr>CossTop</vt:lpstr>
      <vt:lpstr>Cout</vt:lpstr>
      <vt:lpstr>Cout_Voltage_Rating</vt:lpstr>
      <vt:lpstr>CoutEsr</vt:lpstr>
      <vt:lpstr>Coutmin</vt:lpstr>
      <vt:lpstr>Csb</vt:lpstr>
      <vt:lpstr>Csby</vt:lpstr>
      <vt:lpstr>Css</vt:lpstr>
      <vt:lpstr>Css_u</vt:lpstr>
      <vt:lpstr>DC_Current_Limit_Setpoint</vt:lpstr>
      <vt:lpstr>Deadtime</vt:lpstr>
      <vt:lpstr>Doff1</vt:lpstr>
      <vt:lpstr>Doff2</vt:lpstr>
      <vt:lpstr>Don_Vinmax</vt:lpstr>
      <vt:lpstr>Eadcg</vt:lpstr>
      <vt:lpstr>Fcross</vt:lpstr>
      <vt:lpstr>Fesr</vt:lpstr>
      <vt:lpstr>Fo</vt:lpstr>
      <vt:lpstr>Fp1_u</vt:lpstr>
      <vt:lpstr>Fp2_u</vt:lpstr>
      <vt:lpstr>Fsw</vt:lpstr>
      <vt:lpstr>Fz1_u</vt:lpstr>
      <vt:lpstr>Fz2_u</vt:lpstr>
      <vt:lpstr>GBP</vt:lpstr>
      <vt:lpstr>GmTop</vt:lpstr>
      <vt:lpstr>Icinrms</vt:lpstr>
      <vt:lpstr>Icoutrms</vt:lpstr>
      <vt:lpstr>Ilim1</vt:lpstr>
      <vt:lpstr>Ilim2</vt:lpstr>
      <vt:lpstr>ILimit</vt:lpstr>
      <vt:lpstr>Ilsat</vt:lpstr>
      <vt:lpstr>Iout</vt:lpstr>
      <vt:lpstr>Ipp</vt:lpstr>
      <vt:lpstr>Iq</vt:lpstr>
      <vt:lpstr>Ireverse</vt:lpstr>
      <vt:lpstr>Iripple1</vt:lpstr>
      <vt:lpstr>Iss</vt:lpstr>
      <vt:lpstr>Iuvlo_hys</vt:lpstr>
      <vt:lpstr>Iuvlo1</vt:lpstr>
      <vt:lpstr>Iuvlo2</vt:lpstr>
      <vt:lpstr>Kmidband</vt:lpstr>
      <vt:lpstr>Lout1</vt:lpstr>
      <vt:lpstr>Lout2</vt:lpstr>
      <vt:lpstr>Ltc</vt:lpstr>
      <vt:lpstr>Pi</vt:lpstr>
      <vt:lpstr>'Design Regulator'!Print_Area</vt:lpstr>
      <vt:lpstr>'Schematic &amp; BOM'!Print_Area</vt:lpstr>
      <vt:lpstr>Q</vt:lpstr>
      <vt:lpstr>QgBot</vt:lpstr>
      <vt:lpstr>QgdTop</vt:lpstr>
      <vt:lpstr>QgsTop</vt:lpstr>
      <vt:lpstr>QgTop</vt:lpstr>
      <vt:lpstr>QossBot</vt:lpstr>
      <vt:lpstr>QrrBot</vt:lpstr>
      <vt:lpstr>QrrSky</vt:lpstr>
      <vt:lpstr>Rcea1</vt:lpstr>
      <vt:lpstr>Rcea1_u</vt:lpstr>
      <vt:lpstr>Rcea2</vt:lpstr>
      <vt:lpstr>Rcea2_u</vt:lpstr>
      <vt:lpstr>RCinEsr</vt:lpstr>
      <vt:lpstr>RCoutEsr</vt:lpstr>
      <vt:lpstr>Rdcr</vt:lpstr>
      <vt:lpstr>RDSON_sense</vt:lpstr>
      <vt:lpstr>RdsonBot</vt:lpstr>
      <vt:lpstr>RdsonBotTc</vt:lpstr>
      <vt:lpstr>RdsonDRB</vt:lpstr>
      <vt:lpstr>RdsonDRB2</vt:lpstr>
      <vt:lpstr>RdsonDRT</vt:lpstr>
      <vt:lpstr>RdsonDRT2</vt:lpstr>
      <vt:lpstr>RdsonTop</vt:lpstr>
      <vt:lpstr>RdsonTopTc</vt:lpstr>
      <vt:lpstr>Resrmax</vt:lpstr>
      <vt:lpstr>Rfadj</vt:lpstr>
      <vt:lpstr>Rfb2_u</vt:lpstr>
      <vt:lpstr>Rfets</vt:lpstr>
      <vt:lpstr>RGateBot</vt:lpstr>
      <vt:lpstr>RGateTop</vt:lpstr>
      <vt:lpstr>Rh</vt:lpstr>
      <vt:lpstr>Rilim_Rdson</vt:lpstr>
      <vt:lpstr>Rilim_Rdson_ideal</vt:lpstr>
      <vt:lpstr>Rilim_shunt</vt:lpstr>
      <vt:lpstr>Rilim_shunt_ideal</vt:lpstr>
      <vt:lpstr>Ro</vt:lpstr>
      <vt:lpstr>Rpg</vt:lpstr>
      <vt:lpstr>Rsb</vt:lpstr>
      <vt:lpstr>Rshunt</vt:lpstr>
      <vt:lpstr>Ruvlo1</vt:lpstr>
      <vt:lpstr>Ruvlo2</vt:lpstr>
      <vt:lpstr>SCH_RDSON</vt:lpstr>
      <vt:lpstr>SCH_SHUNT</vt:lpstr>
      <vt:lpstr>Ta</vt:lpstr>
      <vt:lpstr>Tf</vt:lpstr>
      <vt:lpstr>ThetaCa</vt:lpstr>
      <vt:lpstr>ThetaJaBot</vt:lpstr>
      <vt:lpstr>ThetaJaCtrl</vt:lpstr>
      <vt:lpstr>ThetaJaTop</vt:lpstr>
      <vt:lpstr>TL</vt:lpstr>
      <vt:lpstr>Tr</vt:lpstr>
      <vt:lpstr>TrrBot</vt:lpstr>
      <vt:lpstr>Tss</vt:lpstr>
      <vt:lpstr>Vdd</vt:lpstr>
      <vt:lpstr>VfdSky</vt:lpstr>
      <vt:lpstr>Vin</vt:lpstr>
      <vt:lpstr>Vinmax</vt:lpstr>
      <vt:lpstr>Vinmin</vt:lpstr>
      <vt:lpstr>Vinripple1</vt:lpstr>
      <vt:lpstr>Vinripple2</vt:lpstr>
      <vt:lpstr>VINuvlo_off</vt:lpstr>
      <vt:lpstr>VINuvlo_on</vt:lpstr>
      <vt:lpstr>Vout</vt:lpstr>
      <vt:lpstr>Vramp</vt:lpstr>
      <vt:lpstr>Vref</vt:lpstr>
      <vt:lpstr>Vripple1</vt:lpstr>
      <vt:lpstr>Vripple2</vt:lpstr>
      <vt:lpstr>VsdBot</vt:lpstr>
      <vt:lpstr>VsdTop</vt:lpstr>
      <vt:lpstr>VspTop</vt:lpstr>
      <vt:lpstr>VthTop</vt:lpstr>
      <vt:lpstr>Vuvlo_hys</vt:lpstr>
      <vt:lpstr>Vuvlo_off</vt:lpstr>
      <vt:lpstr>Vuvlo_on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LM5146-Q1 Design Tool</dc:title>
  <dc:creator>Timothy Hegarty</dc:creator>
  <cp:keywords>LM5146-Q1, PWM controller, synchronous buck, wide Vin</cp:keywords>
  <cp:lastModifiedBy>Angadi Shetty Anupriya (MS/EEX33-XC-CV)</cp:lastModifiedBy>
  <cp:lastPrinted>2024-05-18T14:32:40Z</cp:lastPrinted>
  <dcterms:created xsi:type="dcterms:W3CDTF">1996-10-14T23:33:28Z</dcterms:created>
  <dcterms:modified xsi:type="dcterms:W3CDTF">2024-05-18T15:13:16Z</dcterms:modified>
</cp:coreProperties>
</file>