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wmt\车载产品\M820\DC2DC\"/>
    </mc:Choice>
  </mc:AlternateContent>
  <xr:revisionPtr revIDLastSave="0" documentId="13_ncr:1_{3E223D53-14AC-43E7-8A93-C105AF00BD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7" r:id="rId1"/>
    <sheet name="LM5148RGYR 9.6Vout 150KHz" sheetId="6" r:id="rId2"/>
    <sheet name="LM5148RGYR 9.6Vout 500KHz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6" i="6" l="1"/>
  <c r="B83" i="1"/>
  <c r="B83" i="6"/>
  <c r="B226" i="1"/>
  <c r="B229" i="6"/>
  <c r="B234" i="6" s="1"/>
  <c r="B135" i="6"/>
  <c r="B152" i="6"/>
  <c r="B66" i="6"/>
  <c r="B196" i="6"/>
  <c r="B195" i="6"/>
  <c r="B192" i="6"/>
  <c r="B193" i="6" s="1"/>
  <c r="B173" i="6"/>
  <c r="B174" i="6" s="1"/>
  <c r="B153" i="6"/>
  <c r="B159" i="6" s="1"/>
  <c r="B154" i="6"/>
  <c r="B150" i="6"/>
  <c r="B147" i="6"/>
  <c r="B146" i="6"/>
  <c r="B136" i="6"/>
  <c r="B112" i="6"/>
  <c r="B111" i="6"/>
  <c r="B110" i="6"/>
  <c r="B92" i="6"/>
  <c r="B89" i="6"/>
  <c r="B88" i="6"/>
  <c r="B84" i="6"/>
  <c r="B82" i="6"/>
  <c r="B171" i="6" s="1"/>
  <c r="B81" i="6"/>
  <c r="B72" i="6"/>
  <c r="B70" i="6"/>
  <c r="B65" i="6"/>
  <c r="B60" i="6"/>
  <c r="B59" i="6"/>
  <c r="B58" i="6"/>
  <c r="B38" i="6"/>
  <c r="B18" i="6"/>
  <c r="B20" i="6" s="1"/>
  <c r="B10" i="6"/>
  <c r="B11" i="6" s="1"/>
  <c r="B135" i="1"/>
  <c r="B194" i="1"/>
  <c r="B191" i="1"/>
  <c r="B190" i="1"/>
  <c r="B170" i="1"/>
  <c r="B169" i="1"/>
  <c r="B172" i="1"/>
  <c r="B171" i="1"/>
  <c r="B136" i="1"/>
  <c r="B82" i="1"/>
  <c r="B85" i="1" s="1"/>
  <c r="B196" i="1"/>
  <c r="B195" i="1"/>
  <c r="B192" i="1"/>
  <c r="B193" i="1" s="1"/>
  <c r="B173" i="1"/>
  <c r="B174" i="1" s="1"/>
  <c r="B152" i="1"/>
  <c r="B153" i="1" s="1"/>
  <c r="L152" i="1"/>
  <c r="L153" i="1" s="1"/>
  <c r="B147" i="1"/>
  <c r="B146" i="1"/>
  <c r="B149" i="1" s="1"/>
  <c r="B111" i="1"/>
  <c r="B112" i="1"/>
  <c r="B110" i="1"/>
  <c r="B89" i="1"/>
  <c r="B88" i="1"/>
  <c r="B81" i="1"/>
  <c r="B70" i="1"/>
  <c r="B66" i="1"/>
  <c r="B65" i="1"/>
  <c r="B60" i="1"/>
  <c r="B59" i="1"/>
  <c r="B58" i="1"/>
  <c r="B38" i="1"/>
  <c r="B18" i="1"/>
  <c r="B20" i="1" s="1"/>
  <c r="B10" i="1"/>
  <c r="B11" i="1" s="1"/>
  <c r="B229" i="1" l="1"/>
  <c r="B234" i="1" s="1"/>
  <c r="B191" i="6"/>
  <c r="B169" i="6"/>
  <c r="B231" i="6"/>
  <c r="B149" i="6"/>
  <c r="B190" i="6"/>
  <c r="B175" i="6"/>
  <c r="B180" i="6" s="1"/>
  <c r="B170" i="6"/>
  <c r="B172" i="6"/>
  <c r="B194" i="6"/>
  <c r="B85" i="6"/>
  <c r="B158" i="6"/>
  <c r="B71" i="6"/>
  <c r="B197" i="1"/>
  <c r="B92" i="1"/>
  <c r="L154" i="1"/>
  <c r="B150" i="1"/>
  <c r="B72" i="1"/>
  <c r="B159" i="1"/>
  <c r="B158" i="1"/>
  <c r="B154" i="1"/>
  <c r="B71" i="1"/>
  <c r="B84" i="1"/>
  <c r="B231" i="1" l="1"/>
  <c r="B198" i="6"/>
  <c r="B203" i="6" s="1"/>
  <c r="B176" i="6"/>
  <c r="B181" i="6" s="1"/>
  <c r="B197" i="6"/>
  <c r="B202" i="6" s="1"/>
  <c r="B198" i="1"/>
  <c r="B203" i="1" s="1"/>
  <c r="B202" i="1"/>
  <c r="B175" i="1"/>
  <c r="B180" i="1" s="1"/>
  <c r="B176" i="1"/>
  <c r="B181" i="1" s="1"/>
</calcChain>
</file>

<file path=xl/sharedStrings.xml><?xml version="1.0" encoding="utf-8"?>
<sst xmlns="http://schemas.openxmlformats.org/spreadsheetml/2006/main" count="566" uniqueCount="153">
  <si>
    <t>V</t>
    <phoneticPr fontId="1" type="noConversion"/>
  </si>
  <si>
    <t>Vout</t>
    <phoneticPr fontId="1" type="noConversion"/>
  </si>
  <si>
    <t>t_off_min</t>
    <phoneticPr fontId="1" type="noConversion"/>
  </si>
  <si>
    <t>ns</t>
    <phoneticPr fontId="1" type="noConversion"/>
  </si>
  <si>
    <t>Frequency</t>
    <phoneticPr fontId="1" type="noConversion"/>
  </si>
  <si>
    <t>KHz</t>
    <phoneticPr fontId="1" type="noConversion"/>
  </si>
  <si>
    <t>t_p</t>
    <phoneticPr fontId="1" type="noConversion"/>
  </si>
  <si>
    <t>Vin_min_cal</t>
    <phoneticPr fontId="1" type="noConversion"/>
  </si>
  <si>
    <t>Vin_min_actually</t>
    <phoneticPr fontId="1" type="noConversion"/>
  </si>
  <si>
    <t>Vin_type_actually</t>
    <phoneticPr fontId="1" type="noConversion"/>
  </si>
  <si>
    <t>Vin_max_actually</t>
    <phoneticPr fontId="1" type="noConversion"/>
  </si>
  <si>
    <t>Pass</t>
    <phoneticPr fontId="1" type="noConversion"/>
  </si>
  <si>
    <t>Fail</t>
    <phoneticPr fontId="1" type="noConversion"/>
  </si>
  <si>
    <t>t_on_min</t>
    <phoneticPr fontId="1" type="noConversion"/>
  </si>
  <si>
    <t>Vin(on)</t>
    <phoneticPr fontId="1" type="noConversion"/>
  </si>
  <si>
    <t>Vin(off)</t>
    <phoneticPr fontId="1" type="noConversion"/>
  </si>
  <si>
    <t>I_hys</t>
    <phoneticPr fontId="1" type="noConversion"/>
  </si>
  <si>
    <t>uA</t>
    <phoneticPr fontId="1" type="noConversion"/>
  </si>
  <si>
    <t>Kohm</t>
    <phoneticPr fontId="1" type="noConversion"/>
  </si>
  <si>
    <t>Ven</t>
    <phoneticPr fontId="1" type="noConversion"/>
  </si>
  <si>
    <t>Ruv1_cal</t>
    <phoneticPr fontId="1" type="noConversion"/>
  </si>
  <si>
    <t>Ruv2_cal</t>
    <phoneticPr fontId="1" type="noConversion"/>
  </si>
  <si>
    <t>Ruv1_actually（R3612）</t>
    <phoneticPr fontId="1" type="noConversion"/>
  </si>
  <si>
    <t>Ruv2_actually（R3613）</t>
    <phoneticPr fontId="1" type="noConversion"/>
  </si>
  <si>
    <t>Rt_cal</t>
    <phoneticPr fontId="1" type="noConversion"/>
  </si>
  <si>
    <t>Rt__actually（R3572）</t>
    <phoneticPr fontId="1" type="noConversion"/>
  </si>
  <si>
    <t>R_cnfg_actually（R3572）</t>
    <phoneticPr fontId="1" type="noConversion"/>
  </si>
  <si>
    <t>R_cnfg_cal1</t>
    <phoneticPr fontId="1" type="noConversion"/>
  </si>
  <si>
    <t>R_cnfg_cal2</t>
    <phoneticPr fontId="1" type="noConversion"/>
  </si>
  <si>
    <t>Vref</t>
    <phoneticPr fontId="1" type="noConversion"/>
  </si>
  <si>
    <t>Rfb2_actually（R3506）</t>
    <phoneticPr fontId="1" type="noConversion"/>
  </si>
  <si>
    <t>Rfb2_cal_min</t>
    <phoneticPr fontId="1" type="noConversion"/>
  </si>
  <si>
    <t>Rfb2_cal_max</t>
    <phoneticPr fontId="1" type="noConversion"/>
  </si>
  <si>
    <t>Rfb1_cal_min</t>
    <phoneticPr fontId="1" type="noConversion"/>
  </si>
  <si>
    <t>Rfb1_cal_max</t>
    <phoneticPr fontId="1" type="noConversion"/>
  </si>
  <si>
    <t>Rfb1_actually（R3498+R3501）</t>
    <phoneticPr fontId="1" type="noConversion"/>
  </si>
  <si>
    <t>Suggestion:R3506 /R3498 change from 9.09kOhm to 10k Ohm;
R3501 change from 90.9kOhm to 100k Ohm;</t>
    <phoneticPr fontId="1" type="noConversion"/>
  </si>
  <si>
    <t>Suggestion:Vin range change from 9-36V to 11-36V or change Vout from 9.6V to 8.5V</t>
    <phoneticPr fontId="1" type="noConversion"/>
  </si>
  <si>
    <t>(Vout/Vin)_min_cal</t>
    <phoneticPr fontId="1" type="noConversion"/>
  </si>
  <si>
    <t>(Vout/Vin)_min_actually</t>
    <phoneticPr fontId="1" type="noConversion"/>
  </si>
  <si>
    <t>mOhm</t>
    <phoneticPr fontId="1" type="noConversion"/>
  </si>
  <si>
    <t>Rs_actually (R3497)</t>
    <phoneticPr fontId="1" type="noConversion"/>
  </si>
  <si>
    <t>Lo_cal</t>
    <phoneticPr fontId="1" type="noConversion"/>
  </si>
  <si>
    <t>uH</t>
    <phoneticPr fontId="1" type="noConversion"/>
  </si>
  <si>
    <t>Lo_actually (L111)</t>
    <phoneticPr fontId="1" type="noConversion"/>
  </si>
  <si>
    <t>Vcs-th</t>
    <phoneticPr fontId="1" type="noConversion"/>
  </si>
  <si>
    <t>mV</t>
    <phoneticPr fontId="1" type="noConversion"/>
  </si>
  <si>
    <t>Iout(cl)</t>
    <phoneticPr fontId="1" type="noConversion"/>
  </si>
  <si>
    <t>A</t>
    <phoneticPr fontId="1" type="noConversion"/>
  </si>
  <si>
    <t>Rs_cal</t>
    <phoneticPr fontId="1" type="noConversion"/>
  </si>
  <si>
    <t>I_inductor_max_actually(L111)</t>
    <phoneticPr fontId="1" type="noConversion"/>
  </si>
  <si>
    <t>DCR_inductor</t>
    <phoneticPr fontId="1" type="noConversion"/>
  </si>
  <si>
    <t>Pd_inductor</t>
    <phoneticPr fontId="1" type="noConversion"/>
  </si>
  <si>
    <t>W</t>
    <phoneticPr fontId="1" type="noConversion"/>
  </si>
  <si>
    <t>Theta_ja</t>
    <phoneticPr fontId="1" type="noConversion"/>
  </si>
  <si>
    <t>DegC/W</t>
    <phoneticPr fontId="1" type="noConversion"/>
  </si>
  <si>
    <t>Ta</t>
    <phoneticPr fontId="1" type="noConversion"/>
  </si>
  <si>
    <t>DegC</t>
    <phoneticPr fontId="1" type="noConversion"/>
  </si>
  <si>
    <t>Tj_inductor_cal</t>
    <phoneticPr fontId="1" type="noConversion"/>
  </si>
  <si>
    <t>Tj_inductor_max</t>
    <phoneticPr fontId="1" type="noConversion"/>
  </si>
  <si>
    <t>nC</t>
    <phoneticPr fontId="1" type="noConversion"/>
  </si>
  <si>
    <t>uF</t>
    <phoneticPr fontId="1" type="noConversion"/>
  </si>
  <si>
    <t>Cboot_actually(C2973)</t>
    <phoneticPr fontId="1" type="noConversion"/>
  </si>
  <si>
    <t>Delta_Vcboot_min</t>
    <phoneticPr fontId="1" type="noConversion"/>
  </si>
  <si>
    <t>Delta_Vcboot_max</t>
    <phoneticPr fontId="1" type="noConversion"/>
  </si>
  <si>
    <t>Delta_Vcboot_cal</t>
    <phoneticPr fontId="1" type="noConversion"/>
  </si>
  <si>
    <t>Cboot_cal_max</t>
    <phoneticPr fontId="1" type="noConversion"/>
  </si>
  <si>
    <t>Cboot_cal_min</t>
    <phoneticPr fontId="1" type="noConversion"/>
  </si>
  <si>
    <t>Suggestion:C2973 change from 0.1uF to 0.22uF or Q49/Q50 change to Qg between 10nC to 30nC type;</t>
    <phoneticPr fontId="1" type="noConversion"/>
  </si>
  <si>
    <t>Qg_N-MOS（Q49/Q50）</t>
    <phoneticPr fontId="1" type="noConversion"/>
  </si>
  <si>
    <t>Lo_cal2_max</t>
    <phoneticPr fontId="1" type="noConversion"/>
  </si>
  <si>
    <t>Lo_cal2_min</t>
    <phoneticPr fontId="1" type="noConversion"/>
  </si>
  <si>
    <t>Delta_Il_cal</t>
    <phoneticPr fontId="1" type="noConversion"/>
  </si>
  <si>
    <t>Resr_Cout_actually</t>
    <phoneticPr fontId="1" type="noConversion"/>
  </si>
  <si>
    <t>Irms_Cout_actually</t>
    <phoneticPr fontId="1" type="noConversion"/>
  </si>
  <si>
    <t>Cout_actually(C2964)</t>
    <phoneticPr fontId="1" type="noConversion"/>
  </si>
  <si>
    <t>Rated voltage_Cout_actually</t>
    <phoneticPr fontId="1" type="noConversion"/>
  </si>
  <si>
    <t>Delta_Vout</t>
    <phoneticPr fontId="1" type="noConversion"/>
  </si>
  <si>
    <t>Cout_cal1_min</t>
    <phoneticPr fontId="1" type="noConversion"/>
  </si>
  <si>
    <t>Cout_cal2_min</t>
    <phoneticPr fontId="1" type="noConversion"/>
  </si>
  <si>
    <t>Duty_min</t>
    <phoneticPr fontId="1" type="noConversion"/>
  </si>
  <si>
    <t>Duty_max</t>
    <phoneticPr fontId="1" type="noConversion"/>
  </si>
  <si>
    <t>Resr_Cin_actually</t>
    <phoneticPr fontId="1" type="noConversion"/>
  </si>
  <si>
    <t>Ohm</t>
    <phoneticPr fontId="1" type="noConversion"/>
  </si>
  <si>
    <t>Cin_min_cal1</t>
    <phoneticPr fontId="1" type="noConversion"/>
  </si>
  <si>
    <t>Cin_min_cal2</t>
    <phoneticPr fontId="1" type="noConversion"/>
  </si>
  <si>
    <t>Cout_actually_0V</t>
    <phoneticPr fontId="1" type="noConversion"/>
  </si>
  <si>
    <t>Rated voltage_Cin_actually</t>
    <phoneticPr fontId="1" type="noConversion"/>
  </si>
  <si>
    <t>Cout_actually_11V</t>
    <phoneticPr fontId="1" type="noConversion"/>
  </si>
  <si>
    <t>Cout_actually_36V</t>
    <phoneticPr fontId="1" type="noConversion"/>
  </si>
  <si>
    <t>Suggestion: 1. Add 3pcs 10uF/50V/X7R cap close to Q49
                    2. C2969/C2978 change from  4.7uF/50V/X7R to  10uF/50V/X7R</t>
    <phoneticPr fontId="1" type="noConversion"/>
  </si>
  <si>
    <t>Delta_Vout_11V_cal</t>
    <phoneticPr fontId="1" type="noConversion"/>
  </si>
  <si>
    <t>Delta_Vout_36V_cal</t>
    <phoneticPr fontId="1" type="noConversion"/>
  </si>
  <si>
    <t>Rds(on)</t>
    <phoneticPr fontId="1" type="noConversion"/>
  </si>
  <si>
    <t>Tr</t>
    <phoneticPr fontId="1" type="noConversion"/>
  </si>
  <si>
    <t>nS</t>
    <phoneticPr fontId="1" type="noConversion"/>
  </si>
  <si>
    <t>Tf</t>
    <phoneticPr fontId="1" type="noConversion"/>
  </si>
  <si>
    <t>Qg</t>
    <phoneticPr fontId="1" type="noConversion"/>
  </si>
  <si>
    <t>P_cond1_11V</t>
    <phoneticPr fontId="1" type="noConversion"/>
  </si>
  <si>
    <t>P_cond1_36V</t>
    <phoneticPr fontId="1" type="noConversion"/>
  </si>
  <si>
    <t>P_sw1_11V</t>
    <phoneticPr fontId="1" type="noConversion"/>
  </si>
  <si>
    <t>P_sw1_36V</t>
    <phoneticPr fontId="1" type="noConversion"/>
  </si>
  <si>
    <t>P_gate1</t>
    <phoneticPr fontId="1" type="noConversion"/>
  </si>
  <si>
    <t>Vcc</t>
    <phoneticPr fontId="1" type="noConversion"/>
  </si>
  <si>
    <t>P_total_11V</t>
    <phoneticPr fontId="1" type="noConversion"/>
  </si>
  <si>
    <t>P_total_36V</t>
    <phoneticPr fontId="1" type="noConversion"/>
  </si>
  <si>
    <t>Tj_11V</t>
    <phoneticPr fontId="1" type="noConversion"/>
  </si>
  <si>
    <t>Tj_max</t>
    <phoneticPr fontId="1" type="noConversion"/>
  </si>
  <si>
    <t>Tj_36V</t>
    <phoneticPr fontId="1" type="noConversion"/>
  </si>
  <si>
    <t>Icc_gate</t>
    <phoneticPr fontId="1" type="noConversion"/>
  </si>
  <si>
    <t>High Side MOS Q49</t>
    <phoneticPr fontId="1" type="noConversion"/>
  </si>
  <si>
    <t>Low Side MOS Q50</t>
    <phoneticPr fontId="1" type="noConversion"/>
  </si>
  <si>
    <t>Td(on)</t>
    <phoneticPr fontId="1" type="noConversion"/>
  </si>
  <si>
    <t>Td(off)</t>
    <phoneticPr fontId="1" type="noConversion"/>
  </si>
  <si>
    <t>Vf</t>
    <phoneticPr fontId="1" type="noConversion"/>
  </si>
  <si>
    <t>Qrr</t>
    <phoneticPr fontId="1" type="noConversion"/>
  </si>
  <si>
    <t>P_gate2</t>
    <phoneticPr fontId="1" type="noConversion"/>
  </si>
  <si>
    <t>P_cond_BD</t>
    <phoneticPr fontId="1" type="noConversion"/>
  </si>
  <si>
    <t>Prr_11V</t>
    <phoneticPr fontId="1" type="noConversion"/>
  </si>
  <si>
    <t>Prr_36V</t>
    <phoneticPr fontId="1" type="noConversion"/>
  </si>
  <si>
    <t>Delta_Il_actually</t>
    <phoneticPr fontId="1" type="noConversion"/>
  </si>
  <si>
    <t>I_inductor_max_cal1</t>
    <phoneticPr fontId="1" type="noConversion"/>
  </si>
  <si>
    <t>I_inductor_max_cal2</t>
    <phoneticPr fontId="1" type="noConversion"/>
  </si>
  <si>
    <t xml:space="preserve">Suggestion: 1. Frequency change from 500KHz to 200KHz                </t>
    <phoneticPr fontId="1" type="noConversion"/>
  </si>
  <si>
    <t>Crossover frequency</t>
    <phoneticPr fontId="1" type="noConversion"/>
  </si>
  <si>
    <t>G_cs</t>
    <phoneticPr fontId="1" type="noConversion"/>
  </si>
  <si>
    <t>gm</t>
    <phoneticPr fontId="1" type="noConversion"/>
  </si>
  <si>
    <t>uS</t>
    <phoneticPr fontId="1" type="noConversion"/>
  </si>
  <si>
    <t>Rcomp_cal</t>
    <phoneticPr fontId="1" type="noConversion"/>
  </si>
  <si>
    <t>Rcomp_actually (R3611)</t>
    <phoneticPr fontId="1" type="noConversion"/>
  </si>
  <si>
    <t>Ccomp_cal</t>
    <phoneticPr fontId="1" type="noConversion"/>
  </si>
  <si>
    <t>pF</t>
    <phoneticPr fontId="1" type="noConversion"/>
  </si>
  <si>
    <t>Ccomp_actually (C3021)</t>
    <phoneticPr fontId="1" type="noConversion"/>
  </si>
  <si>
    <t>Cbw</t>
    <phoneticPr fontId="1" type="noConversion"/>
  </si>
  <si>
    <t>Chf_cal</t>
    <phoneticPr fontId="1" type="noConversion"/>
  </si>
  <si>
    <t>Chf_actually (C3022)</t>
    <phoneticPr fontId="1" type="noConversion"/>
  </si>
  <si>
    <t>Suggestion:Vin range change from 9-36V to 10-36V</t>
    <phoneticPr fontId="1" type="noConversion"/>
  </si>
  <si>
    <t xml:space="preserve">Suggestion:C2973 change from 0.1uF to 0.22uF </t>
    <phoneticPr fontId="1" type="noConversion"/>
  </si>
  <si>
    <t>Cin_actually_0V</t>
    <phoneticPr fontId="1" type="noConversion"/>
  </si>
  <si>
    <t>Cin_actually_11V</t>
    <phoneticPr fontId="1" type="noConversion"/>
  </si>
  <si>
    <t>Cin_actually_36V</t>
    <phoneticPr fontId="1" type="noConversion"/>
  </si>
  <si>
    <t>Suggestion:R3572 change from 43.2K to 147K Ohm</t>
    <phoneticPr fontId="1" type="noConversion"/>
  </si>
  <si>
    <t xml:space="preserve">Suggestion: 1. Frequency change from 500KHz to 150KHz                </t>
    <phoneticPr fontId="1" type="noConversion"/>
  </si>
  <si>
    <t>Suggestion:R3497 change from 10mOhm to 5mOhm;</t>
    <phoneticPr fontId="1" type="noConversion"/>
  </si>
  <si>
    <t>Suggestion:R3497 change from 10mOhm to 7mOhm;</t>
    <phoneticPr fontId="1" type="noConversion"/>
  </si>
  <si>
    <t>Suggestion: 1. R3611 change from 47.5K_1% Ohm to 22K Ohm
                    2. C3021 change from  0.01uF to  3300 pF
                    3. C3022 change from  220pF to  20 pF</t>
    <phoneticPr fontId="1" type="noConversion"/>
  </si>
  <si>
    <t>因为Toff_min=90nS,输入电压范围9～36V 需要调整为10～36V</t>
    <phoneticPr fontId="1" type="noConversion"/>
  </si>
  <si>
    <t>按照规格要求Rfb2取值10~20K Ohm,R3506 /R3498建议从 9.09kOhm 调整为10k Ohm;
R3501 从 90.9kOhm调整为100k Ohm;</t>
    <phoneticPr fontId="1" type="noConversion"/>
  </si>
  <si>
    <t>按照规格书公式 检流电阻R3497从 10mOhm调整为 5mOhm</t>
    <phoneticPr fontId="1" type="noConversion"/>
  </si>
  <si>
    <t xml:space="preserve">按照规格书公式和MOS管参数，C2973 从 0.1uF 调整为 0.22uF </t>
    <phoneticPr fontId="1" type="noConversion"/>
  </si>
  <si>
    <t>按照规格书公式，输入电容C2969/C2978 从  4.7uF/50V/X7R调整为  10uF/50V/X7R，并增加3颗10uF/50V/X7R电容</t>
    <phoneticPr fontId="1" type="noConversion"/>
  </si>
  <si>
    <t>按照规格书公式，补偿电阻 R3611 从 47.5K_1% 调整为22K Ohm
             补偿电容 C3021 从  0.01uF调整为 3300 pF
              补偿电容   C3022 从  220pF 调整为  20 pF</t>
    <phoneticPr fontId="1" type="noConversion"/>
  </si>
  <si>
    <t>按照规格书公式和MOS管参数，36V供电时，Q49 会过温，建议开关频率从500KHz 降频至150KHz(R3572 从 43.2K调整为 147K Ohm)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</si>
</sst>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70C0"/>
      <name val="等线"/>
      <family val="2"/>
      <scheme val="minor"/>
    </font>
    <font>
      <sz val="1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  <xf numFmtId="0" fontId="2" fillId="3" borderId="0" xfId="0" applyFont="1" applyFill="1"/>
    <xf numFmtId="0" fontId="0" fillId="0" borderId="0" xfId="0" applyAlignment="1">
      <alignment wrapText="1"/>
    </xf>
    <xf numFmtId="0" fontId="3" fillId="2" borderId="0" xfId="0" applyFont="1" applyFill="1"/>
    <xf numFmtId="176" fontId="0" fillId="0" borderId="0" xfId="0" applyNumberFormat="1"/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Fill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2</xdr:row>
      <xdr:rowOff>9525</xdr:rowOff>
    </xdr:from>
    <xdr:to>
      <xdr:col>10</xdr:col>
      <xdr:colOff>533400</xdr:colOff>
      <xdr:row>10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93562EE-5EBF-4268-8CB8-736D79743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71475"/>
          <a:ext cx="46005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241335</xdr:colOff>
      <xdr:row>14</xdr:row>
      <xdr:rowOff>85725</xdr:rowOff>
    </xdr:from>
    <xdr:to>
      <xdr:col>7</xdr:col>
      <xdr:colOff>209550</xdr:colOff>
      <xdr:row>20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02E2387-678E-46D8-984C-5A2C8A33E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1310" y="2619375"/>
          <a:ext cx="202561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85725</xdr:colOff>
      <xdr:row>5</xdr:row>
      <xdr:rowOff>85725</xdr:rowOff>
    </xdr:from>
    <xdr:to>
      <xdr:col>27</xdr:col>
      <xdr:colOff>142875</xdr:colOff>
      <xdr:row>9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668FE4B-B201-4608-8753-5691FC8D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90600"/>
          <a:ext cx="110299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57149</xdr:colOff>
      <xdr:row>15</xdr:row>
      <xdr:rowOff>36104</xdr:rowOff>
    </xdr:from>
    <xdr:to>
      <xdr:col>24</xdr:col>
      <xdr:colOff>257174</xdr:colOff>
      <xdr:row>19</xdr:row>
      <xdr:rowOff>85724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A3BB692-F1DE-4647-9348-77EEFC36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4" y="2750729"/>
          <a:ext cx="9115425" cy="95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266699</xdr:colOff>
      <xdr:row>21</xdr:row>
      <xdr:rowOff>61430</xdr:rowOff>
    </xdr:from>
    <xdr:to>
      <xdr:col>10</xdr:col>
      <xdr:colOff>28574</xdr:colOff>
      <xdr:row>33</xdr:row>
      <xdr:rowOff>114299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36847A-A02A-4F8F-B261-C86868D9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4223855"/>
          <a:ext cx="3876675" cy="222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152399</xdr:colOff>
      <xdr:row>37</xdr:row>
      <xdr:rowOff>23695</xdr:rowOff>
    </xdr:from>
    <xdr:to>
      <xdr:col>12</xdr:col>
      <xdr:colOff>28574</xdr:colOff>
      <xdr:row>46</xdr:row>
      <xdr:rowOff>38100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4CC0A62-A1F8-43EA-907B-508CD8166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4" y="7081720"/>
          <a:ext cx="5362575" cy="18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16</xdr:col>
      <xdr:colOff>152400</xdr:colOff>
      <xdr:row>50</xdr:row>
      <xdr:rowOff>57150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4C9D8B9-466E-417B-8902-52A21732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9229725"/>
          <a:ext cx="83820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133349</xdr:colOff>
      <xdr:row>53</xdr:row>
      <xdr:rowOff>49409</xdr:rowOff>
    </xdr:from>
    <xdr:to>
      <xdr:col>15</xdr:col>
      <xdr:colOff>428624</xdr:colOff>
      <xdr:row>59</xdr:row>
      <xdr:rowOff>304800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0685378-779F-46B5-87AE-D4D7093FA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4" y="10364984"/>
          <a:ext cx="7839075" cy="152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63</xdr:row>
      <xdr:rowOff>171450</xdr:rowOff>
    </xdr:from>
    <xdr:to>
      <xdr:col>7</xdr:col>
      <xdr:colOff>371475</xdr:colOff>
      <xdr:row>67</xdr:row>
      <xdr:rowOff>76200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84D7CC55-095F-4E0B-AE45-AD96AB221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3077825"/>
          <a:ext cx="22955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67</xdr:row>
      <xdr:rowOff>142875</xdr:rowOff>
    </xdr:from>
    <xdr:to>
      <xdr:col>9</xdr:col>
      <xdr:colOff>314325</xdr:colOff>
      <xdr:row>72</xdr:row>
      <xdr:rowOff>123825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19DC228-F946-406F-957E-6CE476087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3954125"/>
          <a:ext cx="3552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78</xdr:row>
      <xdr:rowOff>53200</xdr:rowOff>
    </xdr:from>
    <xdr:to>
      <xdr:col>17</xdr:col>
      <xdr:colOff>561975</xdr:colOff>
      <xdr:row>91</xdr:row>
      <xdr:rowOff>57150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926365C-9929-4499-9759-240B1E07F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5855175"/>
          <a:ext cx="9391650" cy="25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95</xdr:row>
      <xdr:rowOff>1828</xdr:rowOff>
    </xdr:from>
    <xdr:to>
      <xdr:col>17</xdr:col>
      <xdr:colOff>104775</xdr:colOff>
      <xdr:row>102</xdr:row>
      <xdr:rowOff>76199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30E1CEA3-79E3-4E49-91DA-A1CE48B33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9061353"/>
          <a:ext cx="8991600" cy="134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105</xdr:row>
      <xdr:rowOff>30267</xdr:rowOff>
    </xdr:from>
    <xdr:to>
      <xdr:col>17</xdr:col>
      <xdr:colOff>523875</xdr:colOff>
      <xdr:row>115</xdr:row>
      <xdr:rowOff>161925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77078A7-4092-48E3-B78A-610D3FB44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0899542"/>
          <a:ext cx="9353550" cy="263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117</xdr:row>
      <xdr:rowOff>104775</xdr:rowOff>
    </xdr:from>
    <xdr:to>
      <xdr:col>16</xdr:col>
      <xdr:colOff>476250</xdr:colOff>
      <xdr:row>127</xdr:row>
      <xdr:rowOff>95250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77A3FD6-B2FF-4C3E-AC54-64AF2769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3841075"/>
          <a:ext cx="862965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14</xdr:col>
      <xdr:colOff>76200</xdr:colOff>
      <xdr:row>72</xdr:row>
      <xdr:rowOff>152400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98EBFA2-2A7F-4273-BD57-CF88A9C0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3992225"/>
          <a:ext cx="28194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129</xdr:row>
      <xdr:rowOff>0</xdr:rowOff>
    </xdr:from>
    <xdr:to>
      <xdr:col>9</xdr:col>
      <xdr:colOff>600075</xdr:colOff>
      <xdr:row>132</xdr:row>
      <xdr:rowOff>47625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8339178-3A4E-48B4-B320-348875A8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5908000"/>
          <a:ext cx="39719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132</xdr:row>
      <xdr:rowOff>219075</xdr:rowOff>
    </xdr:from>
    <xdr:to>
      <xdr:col>9</xdr:col>
      <xdr:colOff>657226</xdr:colOff>
      <xdr:row>138</xdr:row>
      <xdr:rowOff>3499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6550CBE2-B59B-448B-BD11-06928FB7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27031950"/>
          <a:ext cx="3962400" cy="105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38099</xdr:colOff>
      <xdr:row>130</xdr:row>
      <xdr:rowOff>13692</xdr:rowOff>
    </xdr:from>
    <xdr:to>
      <xdr:col>18</xdr:col>
      <xdr:colOff>523874</xdr:colOff>
      <xdr:row>147</xdr:row>
      <xdr:rowOff>28575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6E12CA86-787A-4566-A5C9-77F9ADE2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4" y="26102667"/>
          <a:ext cx="5286375" cy="363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145</xdr:row>
      <xdr:rowOff>28575</xdr:rowOff>
    </xdr:from>
    <xdr:to>
      <xdr:col>8</xdr:col>
      <xdr:colOff>514350</xdr:colOff>
      <xdr:row>150</xdr:row>
      <xdr:rowOff>85725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FE4CED9-75C0-440C-A8E8-DF311689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375100"/>
          <a:ext cx="32099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9</xdr:col>
      <xdr:colOff>190500</xdr:colOff>
      <xdr:row>160</xdr:row>
      <xdr:rowOff>19050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E5F78DFD-361C-4A8B-B9DE-4F13E191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1956375"/>
          <a:ext cx="36195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163</xdr:row>
      <xdr:rowOff>63206</xdr:rowOff>
    </xdr:from>
    <xdr:to>
      <xdr:col>19</xdr:col>
      <xdr:colOff>238124</xdr:colOff>
      <xdr:row>184</xdr:row>
      <xdr:rowOff>180974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8A2EC04-750F-48ED-BE10-E84A037C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3467381"/>
          <a:ext cx="10325099" cy="3918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186</xdr:row>
      <xdr:rowOff>85725</xdr:rowOff>
    </xdr:from>
    <xdr:to>
      <xdr:col>16</xdr:col>
      <xdr:colOff>561975</xdr:colOff>
      <xdr:row>221</xdr:row>
      <xdr:rowOff>171450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7B3420E5-0FA8-4ED8-BBC9-0E76ABAB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37652325"/>
          <a:ext cx="8715375" cy="641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185</xdr:row>
      <xdr:rowOff>85725</xdr:rowOff>
    </xdr:from>
    <xdr:to>
      <xdr:col>29</xdr:col>
      <xdr:colOff>476250</xdr:colOff>
      <xdr:row>219</xdr:row>
      <xdr:rowOff>85725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B7387E1-DA14-4E67-A326-5D0740F8A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37471350"/>
          <a:ext cx="8705850" cy="615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224</xdr:row>
      <xdr:rowOff>171450</xdr:rowOff>
    </xdr:from>
    <xdr:to>
      <xdr:col>15</xdr:col>
      <xdr:colOff>676275</xdr:colOff>
      <xdr:row>231</xdr:row>
      <xdr:rowOff>314325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CD3951DB-55E2-4AA6-A96F-F6A4EF6FC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4615100"/>
          <a:ext cx="8020050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234</xdr:row>
      <xdr:rowOff>28575</xdr:rowOff>
    </xdr:from>
    <xdr:to>
      <xdr:col>8</xdr:col>
      <xdr:colOff>19050</xdr:colOff>
      <xdr:row>235</xdr:row>
      <xdr:rowOff>809625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A65BE37-88E7-4370-BC1F-2741F793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6643925"/>
          <a:ext cx="25050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323850</xdr:colOff>
      <xdr:row>236</xdr:row>
      <xdr:rowOff>9525</xdr:rowOff>
    </xdr:from>
    <xdr:to>
      <xdr:col>8</xdr:col>
      <xdr:colOff>647700</xdr:colOff>
      <xdr:row>241</xdr:row>
      <xdr:rowOff>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48A89D55-6799-42E9-A56D-34114C87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7853600"/>
          <a:ext cx="30670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2</xdr:row>
      <xdr:rowOff>9525</xdr:rowOff>
    </xdr:from>
    <xdr:to>
      <xdr:col>10</xdr:col>
      <xdr:colOff>533400</xdr:colOff>
      <xdr:row>10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F552C10-1832-49B8-B79A-8293A29D4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371475"/>
          <a:ext cx="46005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241335</xdr:colOff>
      <xdr:row>14</xdr:row>
      <xdr:rowOff>85725</xdr:rowOff>
    </xdr:from>
    <xdr:to>
      <xdr:col>7</xdr:col>
      <xdr:colOff>209550</xdr:colOff>
      <xdr:row>20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3F9C2AC-9012-4E2F-8700-36AC0DBA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260" y="2619375"/>
          <a:ext cx="202561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85725</xdr:colOff>
      <xdr:row>5</xdr:row>
      <xdr:rowOff>85725</xdr:rowOff>
    </xdr:from>
    <xdr:to>
      <xdr:col>27</xdr:col>
      <xdr:colOff>142875</xdr:colOff>
      <xdr:row>9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5265273-51A8-4F31-9B80-D0ADA5C01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990600"/>
          <a:ext cx="110299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57149</xdr:colOff>
      <xdr:row>15</xdr:row>
      <xdr:rowOff>36104</xdr:rowOff>
    </xdr:from>
    <xdr:to>
      <xdr:col>24</xdr:col>
      <xdr:colOff>257174</xdr:colOff>
      <xdr:row>19</xdr:row>
      <xdr:rowOff>85724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1C36E73-593F-42F7-8128-6FE4B2052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4" y="2750729"/>
          <a:ext cx="9115425" cy="95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266699</xdr:colOff>
      <xdr:row>21</xdr:row>
      <xdr:rowOff>61430</xdr:rowOff>
    </xdr:from>
    <xdr:to>
      <xdr:col>10</xdr:col>
      <xdr:colOff>28574</xdr:colOff>
      <xdr:row>33</xdr:row>
      <xdr:rowOff>114299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535E9E7-336A-46B2-B19F-8480A2598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4" y="4223855"/>
          <a:ext cx="3876675" cy="222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152399</xdr:colOff>
      <xdr:row>37</xdr:row>
      <xdr:rowOff>23695</xdr:rowOff>
    </xdr:from>
    <xdr:to>
      <xdr:col>12</xdr:col>
      <xdr:colOff>28574</xdr:colOff>
      <xdr:row>46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99D4DA9-7C8A-450D-9B9E-ACBA66D8F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4" y="7081720"/>
          <a:ext cx="5362575" cy="18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16</xdr:col>
      <xdr:colOff>152400</xdr:colOff>
      <xdr:row>50</xdr:row>
      <xdr:rowOff>57150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CA21BDB8-B86A-4FD7-93D3-C5AC1840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9229725"/>
          <a:ext cx="83820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133349</xdr:colOff>
      <xdr:row>53</xdr:row>
      <xdr:rowOff>49409</xdr:rowOff>
    </xdr:from>
    <xdr:to>
      <xdr:col>15</xdr:col>
      <xdr:colOff>428624</xdr:colOff>
      <xdr:row>59</xdr:row>
      <xdr:rowOff>304800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E4D8177-498C-4BF2-9A1A-9B1853FB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4" y="10364984"/>
          <a:ext cx="7839075" cy="152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63</xdr:row>
      <xdr:rowOff>171450</xdr:rowOff>
    </xdr:from>
    <xdr:to>
      <xdr:col>7</xdr:col>
      <xdr:colOff>371475</xdr:colOff>
      <xdr:row>67</xdr:row>
      <xdr:rowOff>76200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82ED3B7B-E7CB-4B94-9911-1193C26B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3077825"/>
          <a:ext cx="22955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67</xdr:row>
      <xdr:rowOff>142875</xdr:rowOff>
    </xdr:from>
    <xdr:to>
      <xdr:col>9</xdr:col>
      <xdr:colOff>314325</xdr:colOff>
      <xdr:row>72</xdr:row>
      <xdr:rowOff>123825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5D30AE70-5254-4E07-98A9-AA8AA3682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13954125"/>
          <a:ext cx="3552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78</xdr:row>
      <xdr:rowOff>53200</xdr:rowOff>
    </xdr:from>
    <xdr:to>
      <xdr:col>17</xdr:col>
      <xdr:colOff>561975</xdr:colOff>
      <xdr:row>91</xdr:row>
      <xdr:rowOff>57150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273F208D-0540-4808-B43C-186CA4AF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5493225"/>
          <a:ext cx="9391650" cy="25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95</xdr:row>
      <xdr:rowOff>1828</xdr:rowOff>
    </xdr:from>
    <xdr:to>
      <xdr:col>17</xdr:col>
      <xdr:colOff>104775</xdr:colOff>
      <xdr:row>102</xdr:row>
      <xdr:rowOff>76199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AD77A972-E61A-4459-8E5F-2213CD2B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8337453"/>
          <a:ext cx="8991600" cy="134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105</xdr:row>
      <xdr:rowOff>30267</xdr:rowOff>
    </xdr:from>
    <xdr:to>
      <xdr:col>17</xdr:col>
      <xdr:colOff>523875</xdr:colOff>
      <xdr:row>115</xdr:row>
      <xdr:rowOff>161925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C3DFDD1-2426-419D-B574-5279AC26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0175642"/>
          <a:ext cx="9353550" cy="263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117</xdr:row>
      <xdr:rowOff>104775</xdr:rowOff>
    </xdr:from>
    <xdr:to>
      <xdr:col>16</xdr:col>
      <xdr:colOff>476250</xdr:colOff>
      <xdr:row>127</xdr:row>
      <xdr:rowOff>95250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50122E5C-1821-4213-955C-892A2D9A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23117175"/>
          <a:ext cx="862965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14</xdr:col>
      <xdr:colOff>76200</xdr:colOff>
      <xdr:row>72</xdr:row>
      <xdr:rowOff>152400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EB0CFFF0-E2CF-4CE7-8AA5-C9BD02646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992225"/>
          <a:ext cx="28194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129</xdr:row>
      <xdr:rowOff>0</xdr:rowOff>
    </xdr:from>
    <xdr:to>
      <xdr:col>9</xdr:col>
      <xdr:colOff>600075</xdr:colOff>
      <xdr:row>132</xdr:row>
      <xdr:rowOff>47625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E870BD9-094A-4CF0-B99A-DC83802E5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25546050"/>
          <a:ext cx="39719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132</xdr:row>
      <xdr:rowOff>219075</xdr:rowOff>
    </xdr:from>
    <xdr:to>
      <xdr:col>9</xdr:col>
      <xdr:colOff>657226</xdr:colOff>
      <xdr:row>138</xdr:row>
      <xdr:rowOff>3499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729D5A2D-75A4-4B6C-9EEB-E0CA64AD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27031950"/>
          <a:ext cx="3962400" cy="105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38099</xdr:colOff>
      <xdr:row>130</xdr:row>
      <xdr:rowOff>13692</xdr:rowOff>
    </xdr:from>
    <xdr:to>
      <xdr:col>18</xdr:col>
      <xdr:colOff>523874</xdr:colOff>
      <xdr:row>147</xdr:row>
      <xdr:rowOff>28575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36FCEDB1-5B93-474F-8EC8-EFEF23F4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899" y="25740717"/>
          <a:ext cx="5286375" cy="363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145</xdr:row>
      <xdr:rowOff>28575</xdr:rowOff>
    </xdr:from>
    <xdr:to>
      <xdr:col>8</xdr:col>
      <xdr:colOff>514350</xdr:colOff>
      <xdr:row>150</xdr:row>
      <xdr:rowOff>85725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14069C7E-7C54-411E-9108-6A6D0CA2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9013150"/>
          <a:ext cx="32099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9</xdr:col>
      <xdr:colOff>190500</xdr:colOff>
      <xdr:row>160</xdr:row>
      <xdr:rowOff>19050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5423DC3-4946-43E1-935B-193A07DC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1156275"/>
          <a:ext cx="36195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163</xdr:row>
      <xdr:rowOff>63206</xdr:rowOff>
    </xdr:from>
    <xdr:to>
      <xdr:col>19</xdr:col>
      <xdr:colOff>238124</xdr:colOff>
      <xdr:row>184</xdr:row>
      <xdr:rowOff>180974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D8C2876-6493-4E6D-AFA3-7E70C276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3105431"/>
          <a:ext cx="10325099" cy="3918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186</xdr:row>
      <xdr:rowOff>85725</xdr:rowOff>
    </xdr:from>
    <xdr:to>
      <xdr:col>16</xdr:col>
      <xdr:colOff>561975</xdr:colOff>
      <xdr:row>221</xdr:row>
      <xdr:rowOff>171450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4F9E930C-96A1-4DA4-8737-0B4D5483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37290375"/>
          <a:ext cx="8715375" cy="641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185</xdr:row>
      <xdr:rowOff>85725</xdr:rowOff>
    </xdr:from>
    <xdr:to>
      <xdr:col>29</xdr:col>
      <xdr:colOff>476250</xdr:colOff>
      <xdr:row>219</xdr:row>
      <xdr:rowOff>85725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FADCF559-96A6-4128-9E4F-B540B13F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37109400"/>
          <a:ext cx="8705850" cy="615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224</xdr:row>
      <xdr:rowOff>171450</xdr:rowOff>
    </xdr:from>
    <xdr:to>
      <xdr:col>15</xdr:col>
      <xdr:colOff>676275</xdr:colOff>
      <xdr:row>231</xdr:row>
      <xdr:rowOff>314325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538DC244-3D54-4EFB-B4DD-2B500809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4615100"/>
          <a:ext cx="8020050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234</xdr:row>
      <xdr:rowOff>28575</xdr:rowOff>
    </xdr:from>
    <xdr:to>
      <xdr:col>8</xdr:col>
      <xdr:colOff>19050</xdr:colOff>
      <xdr:row>239</xdr:row>
      <xdr:rowOff>85725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D51CC272-E9C5-406B-909F-3E768EB6D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6462950"/>
          <a:ext cx="25050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333375</xdr:colOff>
      <xdr:row>240</xdr:row>
      <xdr:rowOff>171450</xdr:rowOff>
    </xdr:from>
    <xdr:to>
      <xdr:col>8</xdr:col>
      <xdr:colOff>657225</xdr:colOff>
      <xdr:row>245</xdr:row>
      <xdr:rowOff>161925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E109258-26B3-4A7F-9E71-B4F85AFB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47872650"/>
          <a:ext cx="30670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997A-BA31-4ABB-AE40-B72814418F76}">
  <dimension ref="A2:B8"/>
  <sheetViews>
    <sheetView workbookViewId="0">
      <selection activeCell="B15" sqref="B15"/>
    </sheetView>
  </sheetViews>
  <sheetFormatPr defaultRowHeight="14.25" x14ac:dyDescent="0.2"/>
  <cols>
    <col min="2" max="2" width="56.875" customWidth="1"/>
  </cols>
  <sheetData>
    <row r="2" spans="1:2" ht="28.5" x14ac:dyDescent="0.2">
      <c r="A2">
        <v>1</v>
      </c>
      <c r="B2" s="5" t="s">
        <v>152</v>
      </c>
    </row>
    <row r="3" spans="1:2" x14ac:dyDescent="0.2">
      <c r="A3">
        <v>2</v>
      </c>
      <c r="B3" t="s">
        <v>146</v>
      </c>
    </row>
    <row r="4" spans="1:2" ht="42.75" x14ac:dyDescent="0.2">
      <c r="A4">
        <v>3</v>
      </c>
      <c r="B4" s="5" t="s">
        <v>147</v>
      </c>
    </row>
    <row r="5" spans="1:2" x14ac:dyDescent="0.2">
      <c r="A5">
        <v>4</v>
      </c>
      <c r="B5" t="s">
        <v>148</v>
      </c>
    </row>
    <row r="6" spans="1:2" x14ac:dyDescent="0.2">
      <c r="A6">
        <v>5</v>
      </c>
      <c r="B6" s="5" t="s">
        <v>149</v>
      </c>
    </row>
    <row r="7" spans="1:2" ht="28.5" x14ac:dyDescent="0.2">
      <c r="A7">
        <v>6</v>
      </c>
      <c r="B7" s="5" t="s">
        <v>150</v>
      </c>
    </row>
    <row r="8" spans="1:2" ht="42.75" x14ac:dyDescent="0.2">
      <c r="A8">
        <v>7</v>
      </c>
      <c r="B8" s="5" t="s">
        <v>151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C96B-A120-46E8-81E1-40414FB9F663}">
  <dimension ref="A3:N236"/>
  <sheetViews>
    <sheetView tabSelected="1" workbookViewId="0">
      <selection activeCell="D245" sqref="D245"/>
    </sheetView>
  </sheetViews>
  <sheetFormatPr defaultRowHeight="14.25" x14ac:dyDescent="0.2"/>
  <cols>
    <col min="1" max="1" width="16.375" customWidth="1"/>
    <col min="2" max="2" width="13" bestFit="1" customWidth="1"/>
  </cols>
  <sheetData>
    <row r="3" spans="1:4" x14ac:dyDescent="0.2">
      <c r="A3" t="s">
        <v>8</v>
      </c>
      <c r="B3">
        <v>10</v>
      </c>
      <c r="C3" t="s">
        <v>0</v>
      </c>
    </row>
    <row r="4" spans="1:4" x14ac:dyDescent="0.2">
      <c r="A4" t="s">
        <v>9</v>
      </c>
      <c r="B4">
        <v>12</v>
      </c>
      <c r="C4" t="s">
        <v>0</v>
      </c>
    </row>
    <row r="5" spans="1:4" x14ac:dyDescent="0.2">
      <c r="A5" t="s">
        <v>10</v>
      </c>
      <c r="B5">
        <v>36</v>
      </c>
      <c r="C5" t="s">
        <v>0</v>
      </c>
    </row>
    <row r="6" spans="1:4" x14ac:dyDescent="0.2">
      <c r="A6" t="s">
        <v>1</v>
      </c>
      <c r="B6">
        <v>9.6</v>
      </c>
      <c r="C6" t="s">
        <v>0</v>
      </c>
    </row>
    <row r="7" spans="1:4" x14ac:dyDescent="0.2">
      <c r="A7" t="s">
        <v>2</v>
      </c>
      <c r="B7">
        <v>90</v>
      </c>
      <c r="C7" t="s">
        <v>3</v>
      </c>
    </row>
    <row r="8" spans="1:4" x14ac:dyDescent="0.2">
      <c r="A8" t="s">
        <v>13</v>
      </c>
      <c r="B8">
        <v>50</v>
      </c>
      <c r="C8" t="s">
        <v>3</v>
      </c>
    </row>
    <row r="9" spans="1:4" x14ac:dyDescent="0.2">
      <c r="A9" t="s">
        <v>4</v>
      </c>
      <c r="B9" s="1">
        <v>150</v>
      </c>
      <c r="C9" t="s">
        <v>5</v>
      </c>
    </row>
    <row r="10" spans="1:4" x14ac:dyDescent="0.2">
      <c r="A10" t="s">
        <v>6</v>
      </c>
      <c r="B10">
        <f>10^9/(B9*10^3)</f>
        <v>6666.666666666667</v>
      </c>
      <c r="C10" t="s">
        <v>3</v>
      </c>
    </row>
    <row r="11" spans="1:4" x14ac:dyDescent="0.2">
      <c r="A11" t="s">
        <v>7</v>
      </c>
      <c r="B11" s="1">
        <f>B6*(B10/(B10-B7))</f>
        <v>9.7313735428281802</v>
      </c>
      <c r="C11" t="s">
        <v>0</v>
      </c>
      <c r="D11" s="1" t="s">
        <v>11</v>
      </c>
    </row>
    <row r="12" spans="1:4" x14ac:dyDescent="0.2">
      <c r="A12" s="4" t="s">
        <v>136</v>
      </c>
      <c r="B12" s="2"/>
      <c r="C12" s="2"/>
      <c r="D12" s="2"/>
    </row>
    <row r="14" spans="1:4" x14ac:dyDescent="0.2">
      <c r="A14" t="s">
        <v>19</v>
      </c>
      <c r="B14">
        <v>1</v>
      </c>
      <c r="C14" t="s">
        <v>0</v>
      </c>
    </row>
    <row r="15" spans="1:4" x14ac:dyDescent="0.2">
      <c r="A15" t="s">
        <v>14</v>
      </c>
      <c r="B15">
        <v>7</v>
      </c>
      <c r="C15" t="s">
        <v>0</v>
      </c>
    </row>
    <row r="16" spans="1:4" x14ac:dyDescent="0.2">
      <c r="A16" t="s">
        <v>15</v>
      </c>
      <c r="B16">
        <v>6.5</v>
      </c>
      <c r="C16" t="s">
        <v>0</v>
      </c>
    </row>
    <row r="17" spans="1:4" x14ac:dyDescent="0.2">
      <c r="A17" t="s">
        <v>16</v>
      </c>
      <c r="B17">
        <v>10</v>
      </c>
      <c r="C17" t="s">
        <v>17</v>
      </c>
    </row>
    <row r="18" spans="1:4" x14ac:dyDescent="0.2">
      <c r="A18" t="s">
        <v>20</v>
      </c>
      <c r="B18">
        <f>(B15-B16)/(B17*10^-6)/1000</f>
        <v>50.000000000000007</v>
      </c>
      <c r="C18" t="s">
        <v>18</v>
      </c>
    </row>
    <row r="19" spans="1:4" ht="28.5" x14ac:dyDescent="0.2">
      <c r="A19" s="3" t="s">
        <v>22</v>
      </c>
      <c r="B19" s="1">
        <v>49.9</v>
      </c>
      <c r="C19" t="s">
        <v>18</v>
      </c>
      <c r="D19" s="1" t="s">
        <v>11</v>
      </c>
    </row>
    <row r="20" spans="1:4" x14ac:dyDescent="0.2">
      <c r="A20" t="s">
        <v>21</v>
      </c>
      <c r="B20">
        <f>B18*B14/(B15-B14)</f>
        <v>8.3333333333333339</v>
      </c>
      <c r="C20" t="s">
        <v>18</v>
      </c>
    </row>
    <row r="21" spans="1:4" ht="28.5" x14ac:dyDescent="0.2">
      <c r="A21" s="3" t="s">
        <v>23</v>
      </c>
      <c r="B21" s="1">
        <v>8.1999999999999993</v>
      </c>
      <c r="C21" t="s">
        <v>18</v>
      </c>
      <c r="D21" s="1" t="s">
        <v>11</v>
      </c>
    </row>
    <row r="38" spans="1:4" x14ac:dyDescent="0.2">
      <c r="A38" t="s">
        <v>24</v>
      </c>
      <c r="B38">
        <f>(10^6/B9-53)/45</f>
        <v>146.97037037037038</v>
      </c>
      <c r="C38" t="s">
        <v>18</v>
      </c>
    </row>
    <row r="39" spans="1:4" ht="28.5" x14ac:dyDescent="0.2">
      <c r="A39" s="3" t="s">
        <v>25</v>
      </c>
      <c r="B39" s="1">
        <v>147</v>
      </c>
      <c r="C39" t="s">
        <v>18</v>
      </c>
      <c r="D39" s="1" t="s">
        <v>11</v>
      </c>
    </row>
    <row r="40" spans="1:4" x14ac:dyDescent="0.2">
      <c r="A40" s="4" t="s">
        <v>141</v>
      </c>
    </row>
    <row r="41" spans="1:4" x14ac:dyDescent="0.2">
      <c r="A41" s="8" t="s">
        <v>142</v>
      </c>
      <c r="B41" s="9"/>
      <c r="C41" s="9"/>
      <c r="D41" s="9"/>
    </row>
    <row r="49" spans="1:7" x14ac:dyDescent="0.2">
      <c r="A49" t="s">
        <v>27</v>
      </c>
      <c r="B49">
        <v>41.2</v>
      </c>
      <c r="C49" t="s">
        <v>18</v>
      </c>
    </row>
    <row r="50" spans="1:7" x14ac:dyDescent="0.2">
      <c r="A50" t="s">
        <v>28</v>
      </c>
      <c r="B50">
        <v>71.5</v>
      </c>
      <c r="C50" t="s">
        <v>18</v>
      </c>
    </row>
    <row r="51" spans="1:7" ht="28.5" x14ac:dyDescent="0.2">
      <c r="A51" s="3" t="s">
        <v>26</v>
      </c>
      <c r="B51" s="1">
        <v>41.2</v>
      </c>
      <c r="C51" t="s">
        <v>18</v>
      </c>
      <c r="D51" s="1" t="s">
        <v>11</v>
      </c>
    </row>
    <row r="54" spans="1:7" x14ac:dyDescent="0.2">
      <c r="A54" t="s">
        <v>29</v>
      </c>
      <c r="B54">
        <v>0.8</v>
      </c>
      <c r="C54" t="s">
        <v>0</v>
      </c>
    </row>
    <row r="55" spans="1:7" x14ac:dyDescent="0.2">
      <c r="A55" t="s">
        <v>31</v>
      </c>
      <c r="B55">
        <v>10</v>
      </c>
      <c r="C55" t="s">
        <v>18</v>
      </c>
    </row>
    <row r="56" spans="1:7" x14ac:dyDescent="0.2">
      <c r="A56" t="s">
        <v>32</v>
      </c>
      <c r="B56">
        <v>20</v>
      </c>
      <c r="C56" t="s">
        <v>18</v>
      </c>
    </row>
    <row r="57" spans="1:7" ht="28.5" x14ac:dyDescent="0.2">
      <c r="A57" s="3" t="s">
        <v>30</v>
      </c>
      <c r="B57" s="2">
        <v>9.09</v>
      </c>
      <c r="C57" t="s">
        <v>18</v>
      </c>
      <c r="D57" s="2" t="s">
        <v>12</v>
      </c>
    </row>
    <row r="58" spans="1:7" x14ac:dyDescent="0.2">
      <c r="A58" t="s">
        <v>33</v>
      </c>
      <c r="B58">
        <f>(B6/B54-1)*B55</f>
        <v>109.99999999999999</v>
      </c>
      <c r="C58" t="s">
        <v>18</v>
      </c>
    </row>
    <row r="59" spans="1:7" x14ac:dyDescent="0.2">
      <c r="A59" t="s">
        <v>34</v>
      </c>
      <c r="B59">
        <f>(B6/B54-1)*B56</f>
        <v>219.99999999999997</v>
      </c>
      <c r="C59" t="s">
        <v>18</v>
      </c>
    </row>
    <row r="60" spans="1:7" ht="28.5" x14ac:dyDescent="0.2">
      <c r="A60" s="3" t="s">
        <v>35</v>
      </c>
      <c r="B60" s="2">
        <f>9.09+90.9</f>
        <v>99.990000000000009</v>
      </c>
      <c r="C60" t="s">
        <v>18</v>
      </c>
      <c r="D60" s="2" t="s">
        <v>12</v>
      </c>
    </row>
    <row r="61" spans="1:7" ht="33" customHeight="1" x14ac:dyDescent="0.2">
      <c r="A61" s="8" t="s">
        <v>36</v>
      </c>
      <c r="B61" s="9"/>
      <c r="C61" s="9"/>
      <c r="D61" s="9"/>
      <c r="E61" s="10"/>
      <c r="F61" s="10"/>
      <c r="G61" s="10"/>
    </row>
    <row r="65" spans="1:4" x14ac:dyDescent="0.2">
      <c r="A65" t="s">
        <v>38</v>
      </c>
      <c r="B65">
        <f>B8*10^-9*B9*10^3</f>
        <v>7.5000000000000015E-3</v>
      </c>
    </row>
    <row r="66" spans="1:4" ht="28.5" x14ac:dyDescent="0.2">
      <c r="A66" s="3" t="s">
        <v>39</v>
      </c>
      <c r="B66" s="6">
        <f>B6/B5</f>
        <v>0.26666666666666666</v>
      </c>
      <c r="D66" s="1" t="s">
        <v>11</v>
      </c>
    </row>
    <row r="69" spans="1:4" x14ac:dyDescent="0.2">
      <c r="A69" t="s">
        <v>41</v>
      </c>
      <c r="B69" s="1">
        <v>5</v>
      </c>
      <c r="C69" t="s">
        <v>40</v>
      </c>
      <c r="D69" s="1" t="s">
        <v>11</v>
      </c>
    </row>
    <row r="70" spans="1:4" x14ac:dyDescent="0.2">
      <c r="A70" t="s">
        <v>42</v>
      </c>
      <c r="B70">
        <f>B6*B69/(24*B9/1000)</f>
        <v>13.333333333333332</v>
      </c>
      <c r="C70" t="s">
        <v>43</v>
      </c>
    </row>
    <row r="71" spans="1:4" x14ac:dyDescent="0.2">
      <c r="A71" t="s">
        <v>71</v>
      </c>
      <c r="B71">
        <f>B6*(1-B6/B3)/(B81*B9*10^3)*10^6</f>
        <v>1.2736318407960212</v>
      </c>
      <c r="C71" t="s">
        <v>43</v>
      </c>
    </row>
    <row r="72" spans="1:4" x14ac:dyDescent="0.2">
      <c r="A72" t="s">
        <v>70</v>
      </c>
      <c r="B72">
        <f>B6*(1-B6/B5)/(B81*B9*10^3)*10^6</f>
        <v>23.349917081260369</v>
      </c>
      <c r="C72" t="s">
        <v>43</v>
      </c>
    </row>
    <row r="73" spans="1:4" x14ac:dyDescent="0.2">
      <c r="A73" t="s">
        <v>44</v>
      </c>
      <c r="B73">
        <v>4.7</v>
      </c>
      <c r="C73" t="s">
        <v>43</v>
      </c>
      <c r="D73" s="1" t="s">
        <v>11</v>
      </c>
    </row>
    <row r="76" spans="1:4" x14ac:dyDescent="0.2">
      <c r="A76" s="4" t="s">
        <v>143</v>
      </c>
      <c r="B76" s="2"/>
      <c r="C76" s="2"/>
      <c r="D76" s="2"/>
    </row>
    <row r="79" spans="1:4" x14ac:dyDescent="0.2">
      <c r="A79" t="s">
        <v>45</v>
      </c>
      <c r="B79">
        <v>60</v>
      </c>
      <c r="C79" t="s">
        <v>46</v>
      </c>
    </row>
    <row r="80" spans="1:4" x14ac:dyDescent="0.2">
      <c r="A80" t="s">
        <v>47</v>
      </c>
      <c r="B80">
        <v>6.7</v>
      </c>
      <c r="C80" t="s">
        <v>48</v>
      </c>
    </row>
    <row r="81" spans="1:4" x14ac:dyDescent="0.2">
      <c r="A81" t="s">
        <v>72</v>
      </c>
      <c r="B81">
        <f>B80*0.3</f>
        <v>2.0099999999999998</v>
      </c>
      <c r="C81" t="s">
        <v>48</v>
      </c>
    </row>
    <row r="82" spans="1:4" x14ac:dyDescent="0.2">
      <c r="A82" t="s">
        <v>120</v>
      </c>
      <c r="B82">
        <f>B6*(1-B6/B5)/(B73*10^-6*B9*1000)</f>
        <v>9.9858156028368796</v>
      </c>
      <c r="C82" t="s">
        <v>48</v>
      </c>
    </row>
    <row r="83" spans="1:4" x14ac:dyDescent="0.2">
      <c r="A83" t="s">
        <v>49</v>
      </c>
      <c r="B83">
        <f>B79/(B80+B82/2)</f>
        <v>5.1313155819736762</v>
      </c>
      <c r="C83" t="s">
        <v>40</v>
      </c>
    </row>
    <row r="84" spans="1:4" x14ac:dyDescent="0.2">
      <c r="A84" t="s">
        <v>121</v>
      </c>
      <c r="B84">
        <f>B80+B81/2</f>
        <v>7.7050000000000001</v>
      </c>
      <c r="C84" t="s">
        <v>48</v>
      </c>
    </row>
    <row r="85" spans="1:4" x14ac:dyDescent="0.2">
      <c r="A85" t="s">
        <v>122</v>
      </c>
      <c r="B85">
        <f>B80+B82/2</f>
        <v>11.692907801418439</v>
      </c>
      <c r="C85" t="s">
        <v>48</v>
      </c>
    </row>
    <row r="86" spans="1:4" ht="28.5" x14ac:dyDescent="0.2">
      <c r="A86" s="3" t="s">
        <v>50</v>
      </c>
      <c r="B86" s="1">
        <v>14</v>
      </c>
      <c r="C86" t="s">
        <v>48</v>
      </c>
      <c r="D86" s="1" t="s">
        <v>11</v>
      </c>
    </row>
    <row r="87" spans="1:4" x14ac:dyDescent="0.2">
      <c r="A87" t="s">
        <v>51</v>
      </c>
      <c r="B87">
        <v>14.8</v>
      </c>
      <c r="C87" t="s">
        <v>40</v>
      </c>
    </row>
    <row r="88" spans="1:4" x14ac:dyDescent="0.2">
      <c r="A88" t="s">
        <v>52</v>
      </c>
      <c r="B88">
        <f>B80*B80*B87/1000</f>
        <v>0.66437200000000007</v>
      </c>
      <c r="C88" t="s">
        <v>53</v>
      </c>
    </row>
    <row r="89" spans="1:4" x14ac:dyDescent="0.2">
      <c r="A89" t="s">
        <v>54</v>
      </c>
      <c r="B89">
        <f>40/(8*8*B87/1000)</f>
        <v>42.229729729729726</v>
      </c>
      <c r="C89" t="s">
        <v>55</v>
      </c>
    </row>
    <row r="90" spans="1:4" x14ac:dyDescent="0.2">
      <c r="A90" t="s">
        <v>56</v>
      </c>
      <c r="B90">
        <v>60</v>
      </c>
      <c r="C90" t="s">
        <v>57</v>
      </c>
    </row>
    <row r="91" spans="1:4" x14ac:dyDescent="0.2">
      <c r="A91" t="s">
        <v>59</v>
      </c>
      <c r="B91">
        <v>125</v>
      </c>
      <c r="C91" t="s">
        <v>57</v>
      </c>
    </row>
    <row r="92" spans="1:4" x14ac:dyDescent="0.2">
      <c r="A92" t="s">
        <v>58</v>
      </c>
      <c r="B92" s="1">
        <f>B90+B89*B88</f>
        <v>88.056250000000006</v>
      </c>
      <c r="C92" t="s">
        <v>57</v>
      </c>
      <c r="D92" s="1" t="s">
        <v>11</v>
      </c>
    </row>
    <row r="106" spans="1:4" ht="28.5" x14ac:dyDescent="0.2">
      <c r="A106" s="3" t="s">
        <v>69</v>
      </c>
      <c r="B106">
        <v>39</v>
      </c>
      <c r="C106" t="s">
        <v>60</v>
      </c>
    </row>
    <row r="107" spans="1:4" ht="28.5" x14ac:dyDescent="0.2">
      <c r="A107" s="3" t="s">
        <v>62</v>
      </c>
      <c r="B107" s="1">
        <v>0.22</v>
      </c>
      <c r="C107" t="s">
        <v>61</v>
      </c>
      <c r="D107" s="1" t="s">
        <v>11</v>
      </c>
    </row>
    <row r="108" spans="1:4" x14ac:dyDescent="0.2">
      <c r="A108" t="s">
        <v>63</v>
      </c>
      <c r="B108">
        <v>100</v>
      </c>
      <c r="C108" t="s">
        <v>46</v>
      </c>
    </row>
    <row r="109" spans="1:4" x14ac:dyDescent="0.2">
      <c r="A109" t="s">
        <v>64</v>
      </c>
      <c r="B109">
        <v>300</v>
      </c>
      <c r="C109" t="s">
        <v>46</v>
      </c>
    </row>
    <row r="110" spans="1:4" x14ac:dyDescent="0.2">
      <c r="A110" t="s">
        <v>65</v>
      </c>
      <c r="B110" s="1">
        <f>B106*10^-9/(B107*10^-6)*1000</f>
        <v>177.27272727272731</v>
      </c>
      <c r="C110" t="s">
        <v>46</v>
      </c>
      <c r="D110" s="1" t="s">
        <v>11</v>
      </c>
    </row>
    <row r="111" spans="1:4" x14ac:dyDescent="0.2">
      <c r="A111" t="s">
        <v>67</v>
      </c>
      <c r="B111">
        <f>B106*10^-9/(B109*10^-3)*10^6</f>
        <v>0.13000000000000003</v>
      </c>
      <c r="C111" t="s">
        <v>61</v>
      </c>
    </row>
    <row r="112" spans="1:4" x14ac:dyDescent="0.2">
      <c r="A112" t="s">
        <v>66</v>
      </c>
      <c r="B112">
        <f>B106*10^-9/(B108*10^-3)*10^6</f>
        <v>0.39</v>
      </c>
      <c r="C112" t="s">
        <v>61</v>
      </c>
    </row>
    <row r="113" spans="1:4" ht="40.5" customHeight="1" x14ac:dyDescent="0.2">
      <c r="A113" s="8" t="s">
        <v>137</v>
      </c>
      <c r="B113" s="9"/>
      <c r="C113" s="9"/>
      <c r="D113" s="9"/>
    </row>
    <row r="130" spans="1:4" x14ac:dyDescent="0.2">
      <c r="A130" t="s">
        <v>73</v>
      </c>
      <c r="B130">
        <v>26</v>
      </c>
      <c r="C130" t="s">
        <v>40</v>
      </c>
    </row>
    <row r="131" spans="1:4" x14ac:dyDescent="0.2">
      <c r="A131" t="s">
        <v>74</v>
      </c>
      <c r="B131">
        <v>2</v>
      </c>
      <c r="C131" t="s">
        <v>48</v>
      </c>
    </row>
    <row r="132" spans="1:4" ht="42.75" x14ac:dyDescent="0.2">
      <c r="A132" s="3" t="s">
        <v>76</v>
      </c>
      <c r="B132">
        <v>16</v>
      </c>
      <c r="C132" t="s">
        <v>0</v>
      </c>
    </row>
    <row r="133" spans="1:4" ht="28.5" x14ac:dyDescent="0.2">
      <c r="A133" s="3" t="s">
        <v>75</v>
      </c>
      <c r="B133" s="1">
        <v>270</v>
      </c>
      <c r="C133" t="s">
        <v>61</v>
      </c>
      <c r="D133" s="1" t="s">
        <v>11</v>
      </c>
    </row>
    <row r="134" spans="1:4" x14ac:dyDescent="0.2">
      <c r="A134" t="s">
        <v>77</v>
      </c>
      <c r="B134">
        <v>0.27</v>
      </c>
      <c r="C134" t="s">
        <v>0</v>
      </c>
    </row>
    <row r="135" spans="1:4" x14ac:dyDescent="0.2">
      <c r="A135" t="s">
        <v>78</v>
      </c>
      <c r="B135">
        <f>B82/(8*B9*10^3*(B134^2-(B130/1000*B82)^2)^0.5)*10^6</f>
        <v>112.29266354862951</v>
      </c>
      <c r="C135" t="s">
        <v>61</v>
      </c>
    </row>
    <row r="136" spans="1:4" x14ac:dyDescent="0.2">
      <c r="A136" t="s">
        <v>79</v>
      </c>
      <c r="B136">
        <f>B73*10^-6*B80^2/((B6+B134)^2-B6^2)*10^6</f>
        <v>40.134489908501308</v>
      </c>
      <c r="C136" t="s">
        <v>61</v>
      </c>
    </row>
    <row r="145" spans="1:14" x14ac:dyDescent="0.2">
      <c r="A145" t="s">
        <v>77</v>
      </c>
      <c r="B145">
        <v>0.2</v>
      </c>
      <c r="C145" t="s">
        <v>0</v>
      </c>
    </row>
    <row r="146" spans="1:14" x14ac:dyDescent="0.2">
      <c r="A146" t="s">
        <v>81</v>
      </c>
      <c r="B146">
        <f>B6/B3</f>
        <v>0.96</v>
      </c>
    </row>
    <row r="147" spans="1:14" x14ac:dyDescent="0.2">
      <c r="A147" t="s">
        <v>80</v>
      </c>
      <c r="B147">
        <f>B6/B5</f>
        <v>0.26666666666666666</v>
      </c>
    </row>
    <row r="148" spans="1:14" x14ac:dyDescent="0.2">
      <c r="A148" t="s">
        <v>82</v>
      </c>
      <c r="B148">
        <v>2E-3</v>
      </c>
      <c r="C148" t="s">
        <v>83</v>
      </c>
    </row>
    <row r="149" spans="1:14" x14ac:dyDescent="0.2">
      <c r="A149" t="s">
        <v>84</v>
      </c>
      <c r="B149">
        <f>B146*(1-B146)*B80/(B9*10^3*(B145-B148*B80))*10^6</f>
        <v>9.1918542336548832</v>
      </c>
      <c r="C149" t="s">
        <v>61</v>
      </c>
    </row>
    <row r="150" spans="1:14" x14ac:dyDescent="0.2">
      <c r="A150" t="s">
        <v>85</v>
      </c>
      <c r="B150">
        <f>B147*(1-B147)*B80/(B9*10^3*(B145-B148*B80))*10^6</f>
        <v>46.810368782501691</v>
      </c>
      <c r="C150" t="s">
        <v>61</v>
      </c>
    </row>
    <row r="151" spans="1:14" ht="42.75" x14ac:dyDescent="0.2">
      <c r="A151" s="3" t="s">
        <v>87</v>
      </c>
      <c r="B151">
        <v>50</v>
      </c>
      <c r="C151" t="s">
        <v>0</v>
      </c>
      <c r="K151" s="3"/>
    </row>
    <row r="152" spans="1:14" x14ac:dyDescent="0.2">
      <c r="A152" t="s">
        <v>138</v>
      </c>
      <c r="B152" s="2">
        <f>10*5</f>
        <v>50</v>
      </c>
      <c r="C152" t="s">
        <v>61</v>
      </c>
      <c r="L152" s="2"/>
    </row>
    <row r="153" spans="1:14" x14ac:dyDescent="0.2">
      <c r="A153" t="s">
        <v>139</v>
      </c>
      <c r="B153">
        <f>B152*(1-B3/B151)</f>
        <v>40</v>
      </c>
      <c r="C153" t="s">
        <v>61</v>
      </c>
    </row>
    <row r="154" spans="1:14" x14ac:dyDescent="0.2">
      <c r="A154" t="s">
        <v>140</v>
      </c>
      <c r="B154" s="2">
        <f>B152*(1-B5/B151)</f>
        <v>14.000000000000002</v>
      </c>
      <c r="C154" t="s">
        <v>61</v>
      </c>
      <c r="D154" s="2" t="s">
        <v>12</v>
      </c>
      <c r="L154" s="2"/>
      <c r="N154" s="2"/>
    </row>
    <row r="155" spans="1:14" ht="48.75" customHeight="1" x14ac:dyDescent="0.2">
      <c r="A155" s="8" t="s">
        <v>90</v>
      </c>
      <c r="B155" s="9"/>
      <c r="C155" s="9"/>
      <c r="D155" s="9"/>
    </row>
    <row r="158" spans="1:14" x14ac:dyDescent="0.2">
      <c r="A158" t="s">
        <v>91</v>
      </c>
      <c r="B158" s="7">
        <f>B80*B146*(1-B146)/(B9*1000*B153*10^-6)+B80*B148</f>
        <v>5.6280000000000038E-2</v>
      </c>
      <c r="C158" t="s">
        <v>0</v>
      </c>
    </row>
    <row r="159" spans="1:14" x14ac:dyDescent="0.2">
      <c r="A159" t="s">
        <v>92</v>
      </c>
      <c r="B159" s="7">
        <f>B80*B147*(1-B147)/(B9*1000*B153*10^-6)+B80*B148</f>
        <v>0.2317703703703704</v>
      </c>
      <c r="C159" t="s">
        <v>0</v>
      </c>
    </row>
    <row r="163" spans="1:3" x14ac:dyDescent="0.2">
      <c r="A163" t="s">
        <v>103</v>
      </c>
      <c r="B163">
        <v>5</v>
      </c>
      <c r="C163" t="s">
        <v>0</v>
      </c>
    </row>
    <row r="164" spans="1:3" x14ac:dyDescent="0.2">
      <c r="A164" t="s">
        <v>110</v>
      </c>
    </row>
    <row r="165" spans="1:3" x14ac:dyDescent="0.2">
      <c r="A165" t="s">
        <v>93</v>
      </c>
      <c r="B165">
        <v>5.6</v>
      </c>
      <c r="C165" t="s">
        <v>40</v>
      </c>
    </row>
    <row r="166" spans="1:3" x14ac:dyDescent="0.2">
      <c r="A166" t="s">
        <v>94</v>
      </c>
      <c r="B166">
        <v>12</v>
      </c>
      <c r="C166" t="s">
        <v>95</v>
      </c>
    </row>
    <row r="167" spans="1:3" x14ac:dyDescent="0.2">
      <c r="A167" t="s">
        <v>96</v>
      </c>
      <c r="B167">
        <v>38</v>
      </c>
      <c r="C167" t="s">
        <v>95</v>
      </c>
    </row>
    <row r="168" spans="1:3" x14ac:dyDescent="0.2">
      <c r="A168" t="s">
        <v>97</v>
      </c>
      <c r="B168">
        <v>39</v>
      </c>
      <c r="C168" t="s">
        <v>60</v>
      </c>
    </row>
    <row r="169" spans="1:3" x14ac:dyDescent="0.2">
      <c r="A169" t="s">
        <v>98</v>
      </c>
      <c r="B169">
        <f>B146*(B80^2+B82^2/12)*B165/1000</f>
        <v>0.28600163793772948</v>
      </c>
      <c r="C169" t="s">
        <v>53</v>
      </c>
    </row>
    <row r="170" spans="1:3" x14ac:dyDescent="0.2">
      <c r="A170" t="s">
        <v>99</v>
      </c>
      <c r="B170">
        <f>B147*(B80^2+B82^2/12)*B165/1000</f>
        <v>7.9444899427147081E-2</v>
      </c>
      <c r="C170" t="s">
        <v>53</v>
      </c>
    </row>
    <row r="171" spans="1:3" x14ac:dyDescent="0.2">
      <c r="A171" t="s">
        <v>100</v>
      </c>
      <c r="B171">
        <f>0.5*B3*B9*1000*((B80-B82/2)*B166*10^-9+(B80+B82/2)*B167*10^-9)</f>
        <v>0.34861170212765957</v>
      </c>
      <c r="C171" t="s">
        <v>53</v>
      </c>
    </row>
    <row r="172" spans="1:3" x14ac:dyDescent="0.2">
      <c r="A172" t="s">
        <v>101</v>
      </c>
      <c r="B172">
        <f>0.5*B5*B9*1000*((B80-B82/2)*B166*10^-9+(B80+B82/2)*B167*10^-9)</f>
        <v>1.2550021276595744</v>
      </c>
      <c r="C172" t="s">
        <v>53</v>
      </c>
    </row>
    <row r="173" spans="1:3" x14ac:dyDescent="0.2">
      <c r="A173" t="s">
        <v>102</v>
      </c>
      <c r="B173">
        <f>B163*B9*1000*B168*10^-9</f>
        <v>2.9250000000000002E-2</v>
      </c>
      <c r="C173" t="s">
        <v>53</v>
      </c>
    </row>
    <row r="174" spans="1:3" x14ac:dyDescent="0.2">
      <c r="A174" t="s">
        <v>109</v>
      </c>
      <c r="B174">
        <f>B173/B163</f>
        <v>5.8500000000000002E-3</v>
      </c>
      <c r="C174" t="s">
        <v>48</v>
      </c>
    </row>
    <row r="175" spans="1:3" x14ac:dyDescent="0.2">
      <c r="A175" t="s">
        <v>104</v>
      </c>
      <c r="B175">
        <f>B169+B171+B173</f>
        <v>0.66386334006538905</v>
      </c>
      <c r="C175" t="s">
        <v>53</v>
      </c>
    </row>
    <row r="176" spans="1:3" x14ac:dyDescent="0.2">
      <c r="A176" t="s">
        <v>105</v>
      </c>
      <c r="B176">
        <f>B170+B172+B173</f>
        <v>1.3636970270867215</v>
      </c>
      <c r="C176" t="s">
        <v>53</v>
      </c>
    </row>
    <row r="177" spans="1:4" x14ac:dyDescent="0.2">
      <c r="A177" t="s">
        <v>56</v>
      </c>
      <c r="B177">
        <v>60</v>
      </c>
      <c r="C177" t="s">
        <v>57</v>
      </c>
    </row>
    <row r="178" spans="1:4" x14ac:dyDescent="0.2">
      <c r="A178" t="s">
        <v>54</v>
      </c>
      <c r="B178">
        <v>60</v>
      </c>
      <c r="C178" t="s">
        <v>55</v>
      </c>
    </row>
    <row r="179" spans="1:4" x14ac:dyDescent="0.2">
      <c r="A179" t="s">
        <v>107</v>
      </c>
      <c r="B179">
        <v>150</v>
      </c>
      <c r="C179" t="s">
        <v>57</v>
      </c>
    </row>
    <row r="180" spans="1:4" x14ac:dyDescent="0.2">
      <c r="A180" t="s">
        <v>106</v>
      </c>
      <c r="B180" s="1">
        <f>B177+B175*B178</f>
        <v>99.831800403923353</v>
      </c>
      <c r="C180" t="s">
        <v>57</v>
      </c>
      <c r="D180" s="1" t="s">
        <v>11</v>
      </c>
    </row>
    <row r="181" spans="1:4" x14ac:dyDescent="0.2">
      <c r="A181" t="s">
        <v>108</v>
      </c>
      <c r="B181" s="1">
        <f>B177+B176*B178</f>
        <v>141.82182162520328</v>
      </c>
      <c r="C181" t="s">
        <v>57</v>
      </c>
      <c r="D181" s="1" t="s">
        <v>11</v>
      </c>
    </row>
    <row r="183" spans="1:4" x14ac:dyDescent="0.2">
      <c r="A183" t="s">
        <v>111</v>
      </c>
    </row>
    <row r="184" spans="1:4" x14ac:dyDescent="0.2">
      <c r="A184" t="s">
        <v>93</v>
      </c>
      <c r="B184">
        <v>5.6</v>
      </c>
      <c r="C184" t="s">
        <v>40</v>
      </c>
    </row>
    <row r="185" spans="1:4" x14ac:dyDescent="0.2">
      <c r="A185" t="s">
        <v>112</v>
      </c>
      <c r="B185">
        <v>25</v>
      </c>
      <c r="C185" t="s">
        <v>95</v>
      </c>
    </row>
    <row r="186" spans="1:4" x14ac:dyDescent="0.2">
      <c r="A186" t="s">
        <v>113</v>
      </c>
      <c r="B186">
        <v>90</v>
      </c>
      <c r="C186" t="s">
        <v>95</v>
      </c>
    </row>
    <row r="187" spans="1:4" x14ac:dyDescent="0.2">
      <c r="A187" t="s">
        <v>97</v>
      </c>
      <c r="B187">
        <v>39</v>
      </c>
      <c r="C187" t="s">
        <v>60</v>
      </c>
    </row>
    <row r="188" spans="1:4" x14ac:dyDescent="0.2">
      <c r="A188" t="s">
        <v>114</v>
      </c>
      <c r="B188">
        <v>0.8</v>
      </c>
      <c r="C188" t="s">
        <v>0</v>
      </c>
    </row>
    <row r="189" spans="1:4" x14ac:dyDescent="0.2">
      <c r="A189" t="s">
        <v>115</v>
      </c>
      <c r="B189">
        <v>41</v>
      </c>
      <c r="C189" t="s">
        <v>60</v>
      </c>
    </row>
    <row r="190" spans="1:4" x14ac:dyDescent="0.2">
      <c r="A190" t="s">
        <v>98</v>
      </c>
      <c r="B190">
        <f>(1-B146)*(B80^2+B82^2/12)*B184/1000</f>
        <v>1.1916734914072072E-2</v>
      </c>
      <c r="C190" t="s">
        <v>53</v>
      </c>
    </row>
    <row r="191" spans="1:4" x14ac:dyDescent="0.2">
      <c r="A191" t="s">
        <v>99</v>
      </c>
      <c r="B191">
        <f>(1-B147)*(B80^2+B82^2/12)*B184/1000</f>
        <v>0.21847347342465451</v>
      </c>
      <c r="C191" t="s">
        <v>53</v>
      </c>
    </row>
    <row r="192" spans="1:4" x14ac:dyDescent="0.2">
      <c r="A192" t="s">
        <v>116</v>
      </c>
      <c r="B192">
        <f>B163*B9*1000*B187*10^-9</f>
        <v>2.9250000000000002E-2</v>
      </c>
      <c r="C192" t="s">
        <v>53</v>
      </c>
    </row>
    <row r="193" spans="1:4" x14ac:dyDescent="0.2">
      <c r="A193" t="s">
        <v>109</v>
      </c>
      <c r="B193">
        <f>B192/B163</f>
        <v>5.8500000000000002E-3</v>
      </c>
      <c r="C193" t="s">
        <v>48</v>
      </c>
    </row>
    <row r="194" spans="1:4" x14ac:dyDescent="0.2">
      <c r="A194" t="s">
        <v>117</v>
      </c>
      <c r="B194">
        <f>B188*B9*1000*((B80+B82/2)*B185*10^-9+(B80-B82/2)*B186*10^-9)</f>
        <v>5.3515319148936168E-2</v>
      </c>
      <c r="C194" t="s">
        <v>53</v>
      </c>
    </row>
    <row r="195" spans="1:4" x14ac:dyDescent="0.2">
      <c r="A195" t="s">
        <v>118</v>
      </c>
      <c r="B195">
        <f>B3*B9*1000*B189*10^-9</f>
        <v>6.1500000000000006E-2</v>
      </c>
      <c r="C195" t="s">
        <v>53</v>
      </c>
    </row>
    <row r="196" spans="1:4" x14ac:dyDescent="0.2">
      <c r="A196" t="s">
        <v>119</v>
      </c>
      <c r="B196">
        <f>B5*B9*1000*B189*10^-9</f>
        <v>0.22140000000000001</v>
      </c>
      <c r="C196" t="s">
        <v>53</v>
      </c>
    </row>
    <row r="197" spans="1:4" x14ac:dyDescent="0.2">
      <c r="A197" t="s">
        <v>104</v>
      </c>
      <c r="B197">
        <f>B190+B192+B194+B195</f>
        <v>0.15618205406300825</v>
      </c>
      <c r="C197" t="s">
        <v>53</v>
      </c>
    </row>
    <row r="198" spans="1:4" x14ac:dyDescent="0.2">
      <c r="A198" t="s">
        <v>105</v>
      </c>
      <c r="B198">
        <f>B191+B192+B194+B196</f>
        <v>0.52263879257359069</v>
      </c>
      <c r="C198" t="s">
        <v>53</v>
      </c>
    </row>
    <row r="199" spans="1:4" x14ac:dyDescent="0.2">
      <c r="A199" t="s">
        <v>56</v>
      </c>
      <c r="B199">
        <v>60</v>
      </c>
      <c r="C199" t="s">
        <v>57</v>
      </c>
    </row>
    <row r="200" spans="1:4" x14ac:dyDescent="0.2">
      <c r="A200" t="s">
        <v>54</v>
      </c>
      <c r="B200">
        <v>60</v>
      </c>
      <c r="C200" t="s">
        <v>55</v>
      </c>
    </row>
    <row r="201" spans="1:4" x14ac:dyDescent="0.2">
      <c r="A201" t="s">
        <v>107</v>
      </c>
      <c r="B201">
        <v>150</v>
      </c>
      <c r="C201" t="s">
        <v>57</v>
      </c>
    </row>
    <row r="202" spans="1:4" x14ac:dyDescent="0.2">
      <c r="A202" t="s">
        <v>106</v>
      </c>
      <c r="B202" s="1">
        <f>B199+B197*B200</f>
        <v>69.370923243780496</v>
      </c>
      <c r="C202" t="s">
        <v>57</v>
      </c>
      <c r="D202" s="1" t="s">
        <v>11</v>
      </c>
    </row>
    <row r="203" spans="1:4" x14ac:dyDescent="0.2">
      <c r="A203" t="s">
        <v>108</v>
      </c>
      <c r="B203" s="1">
        <f>B199+B198*B200</f>
        <v>91.358327554415439</v>
      </c>
      <c r="C203" t="s">
        <v>57</v>
      </c>
      <c r="D203" s="1" t="s">
        <v>11</v>
      </c>
    </row>
    <row r="226" spans="1:4" x14ac:dyDescent="0.2">
      <c r="A226" t="s">
        <v>124</v>
      </c>
      <c r="B226">
        <f>B9/6</f>
        <v>25</v>
      </c>
      <c r="C226" t="s">
        <v>5</v>
      </c>
    </row>
    <row r="227" spans="1:4" x14ac:dyDescent="0.2">
      <c r="A227" t="s">
        <v>125</v>
      </c>
      <c r="B227">
        <v>10</v>
      </c>
    </row>
    <row r="228" spans="1:4" x14ac:dyDescent="0.2">
      <c r="A228" t="s">
        <v>126</v>
      </c>
      <c r="B228">
        <v>1200</v>
      </c>
      <c r="C228" t="s">
        <v>127</v>
      </c>
    </row>
    <row r="229" spans="1:4" x14ac:dyDescent="0.2">
      <c r="A229" t="s">
        <v>128</v>
      </c>
      <c r="B229">
        <f>2*3.14*B226*1000*(B6/B54)*B69*10^-3*B227*B133*10^-6/(B228*10^-6)*10^-3</f>
        <v>21.194999999999997</v>
      </c>
      <c r="C229" t="s">
        <v>18</v>
      </c>
    </row>
    <row r="230" spans="1:4" ht="28.5" x14ac:dyDescent="0.2">
      <c r="A230" s="3" t="s">
        <v>129</v>
      </c>
      <c r="B230" s="1">
        <v>22</v>
      </c>
      <c r="C230" t="s">
        <v>18</v>
      </c>
      <c r="D230" s="1" t="s">
        <v>11</v>
      </c>
    </row>
    <row r="231" spans="1:4" x14ac:dyDescent="0.2">
      <c r="A231" t="s">
        <v>130</v>
      </c>
      <c r="B231">
        <f>10/(2*3.14*B226*1000*B229*1000)*10^12</f>
        <v>3005.1553439926197</v>
      </c>
      <c r="C231" t="s">
        <v>131</v>
      </c>
    </row>
    <row r="232" spans="1:4" ht="28.5" x14ac:dyDescent="0.2">
      <c r="A232" s="3" t="s">
        <v>132</v>
      </c>
      <c r="B232" s="1">
        <v>3300</v>
      </c>
      <c r="C232" t="s">
        <v>131</v>
      </c>
      <c r="D232" s="1" t="s">
        <v>11</v>
      </c>
    </row>
    <row r="233" spans="1:4" x14ac:dyDescent="0.2">
      <c r="A233" t="s">
        <v>133</v>
      </c>
      <c r="B233">
        <v>31</v>
      </c>
      <c r="C233" t="s">
        <v>131</v>
      </c>
    </row>
    <row r="234" spans="1:4" x14ac:dyDescent="0.2">
      <c r="A234" s="3" t="s">
        <v>134</v>
      </c>
      <c r="B234">
        <f>1/(2*3.14*B9*1000*B229*1000)*10^12-B233</f>
        <v>19.085922399876999</v>
      </c>
      <c r="C234" t="s">
        <v>131</v>
      </c>
    </row>
    <row r="235" spans="1:4" x14ac:dyDescent="0.2">
      <c r="A235" t="s">
        <v>135</v>
      </c>
      <c r="B235" s="1">
        <v>20</v>
      </c>
      <c r="C235" t="s">
        <v>131</v>
      </c>
      <c r="D235" s="1" t="s">
        <v>11</v>
      </c>
    </row>
    <row r="236" spans="1:4" ht="96.75" customHeight="1" x14ac:dyDescent="0.2">
      <c r="A236" s="11" t="s">
        <v>145</v>
      </c>
      <c r="B236" s="11"/>
      <c r="C236" s="11"/>
      <c r="D236" s="11"/>
    </row>
  </sheetData>
  <mergeCells count="5">
    <mergeCell ref="A61:G61"/>
    <mergeCell ref="A113:D113"/>
    <mergeCell ref="A155:D155"/>
    <mergeCell ref="A41:D41"/>
    <mergeCell ref="A236:D23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35"/>
  <sheetViews>
    <sheetView topLeftCell="A159" workbookViewId="0">
      <selection activeCell="D167" sqref="D167"/>
    </sheetView>
  </sheetViews>
  <sheetFormatPr defaultRowHeight="14.25" x14ac:dyDescent="0.2"/>
  <cols>
    <col min="1" max="1" width="16.375" customWidth="1"/>
    <col min="2" max="2" width="13" bestFit="1" customWidth="1"/>
  </cols>
  <sheetData>
    <row r="3" spans="1:4" x14ac:dyDescent="0.2">
      <c r="A3" t="s">
        <v>8</v>
      </c>
      <c r="B3">
        <v>11</v>
      </c>
      <c r="C3" t="s">
        <v>0</v>
      </c>
    </row>
    <row r="4" spans="1:4" x14ac:dyDescent="0.2">
      <c r="A4" t="s">
        <v>9</v>
      </c>
      <c r="B4">
        <v>12</v>
      </c>
      <c r="C4" t="s">
        <v>0</v>
      </c>
    </row>
    <row r="5" spans="1:4" x14ac:dyDescent="0.2">
      <c r="A5" t="s">
        <v>10</v>
      </c>
      <c r="B5">
        <v>36</v>
      </c>
      <c r="C5" t="s">
        <v>0</v>
      </c>
    </row>
    <row r="6" spans="1:4" x14ac:dyDescent="0.2">
      <c r="A6" t="s">
        <v>1</v>
      </c>
      <c r="B6">
        <v>9.6</v>
      </c>
      <c r="C6" t="s">
        <v>0</v>
      </c>
    </row>
    <row r="7" spans="1:4" x14ac:dyDescent="0.2">
      <c r="A7" t="s">
        <v>2</v>
      </c>
      <c r="B7">
        <v>90</v>
      </c>
      <c r="C7" t="s">
        <v>3</v>
      </c>
    </row>
    <row r="8" spans="1:4" x14ac:dyDescent="0.2">
      <c r="A8" t="s">
        <v>13</v>
      </c>
      <c r="B8">
        <v>50</v>
      </c>
      <c r="C8" t="s">
        <v>3</v>
      </c>
    </row>
    <row r="9" spans="1:4" x14ac:dyDescent="0.2">
      <c r="A9" t="s">
        <v>4</v>
      </c>
      <c r="B9">
        <v>500</v>
      </c>
      <c r="C9" t="s">
        <v>5</v>
      </c>
    </row>
    <row r="10" spans="1:4" x14ac:dyDescent="0.2">
      <c r="A10" t="s">
        <v>6</v>
      </c>
      <c r="B10">
        <f>10^9/(B9*10^3)</f>
        <v>2000</v>
      </c>
      <c r="C10" t="s">
        <v>3</v>
      </c>
    </row>
    <row r="11" spans="1:4" x14ac:dyDescent="0.2">
      <c r="A11" t="s">
        <v>7</v>
      </c>
      <c r="B11" s="2">
        <f>B6*(B10/(B10-B7))</f>
        <v>10.052356020942408</v>
      </c>
      <c r="C11" t="s">
        <v>0</v>
      </c>
      <c r="D11" s="2" t="s">
        <v>12</v>
      </c>
    </row>
    <row r="12" spans="1:4" x14ac:dyDescent="0.2">
      <c r="A12" s="4" t="s">
        <v>37</v>
      </c>
      <c r="B12" s="2"/>
      <c r="C12" s="2"/>
      <c r="D12" s="2"/>
    </row>
    <row r="14" spans="1:4" x14ac:dyDescent="0.2">
      <c r="A14" t="s">
        <v>19</v>
      </c>
      <c r="B14">
        <v>1</v>
      </c>
      <c r="C14" t="s">
        <v>0</v>
      </c>
    </row>
    <row r="15" spans="1:4" x14ac:dyDescent="0.2">
      <c r="A15" t="s">
        <v>14</v>
      </c>
      <c r="B15">
        <v>7</v>
      </c>
      <c r="C15" t="s">
        <v>0</v>
      </c>
    </row>
    <row r="16" spans="1:4" x14ac:dyDescent="0.2">
      <c r="A16" t="s">
        <v>15</v>
      </c>
      <c r="B16">
        <v>6.5</v>
      </c>
      <c r="C16" t="s">
        <v>0</v>
      </c>
    </row>
    <row r="17" spans="1:4" x14ac:dyDescent="0.2">
      <c r="A17" t="s">
        <v>16</v>
      </c>
      <c r="B17">
        <v>10</v>
      </c>
      <c r="C17" t="s">
        <v>17</v>
      </c>
    </row>
    <row r="18" spans="1:4" x14ac:dyDescent="0.2">
      <c r="A18" t="s">
        <v>20</v>
      </c>
      <c r="B18">
        <f>(B15-B16)/(B17*10^-6)/1000</f>
        <v>50.000000000000007</v>
      </c>
      <c r="C18" t="s">
        <v>18</v>
      </c>
    </row>
    <row r="19" spans="1:4" ht="28.5" x14ac:dyDescent="0.2">
      <c r="A19" s="3" t="s">
        <v>22</v>
      </c>
      <c r="B19" s="1">
        <v>49.9</v>
      </c>
      <c r="C19" t="s">
        <v>18</v>
      </c>
      <c r="D19" s="1" t="s">
        <v>11</v>
      </c>
    </row>
    <row r="20" spans="1:4" x14ac:dyDescent="0.2">
      <c r="A20" t="s">
        <v>21</v>
      </c>
      <c r="B20">
        <f>B18*B14/(B15-B14)</f>
        <v>8.3333333333333339</v>
      </c>
      <c r="C20" t="s">
        <v>18</v>
      </c>
    </row>
    <row r="21" spans="1:4" ht="28.5" x14ac:dyDescent="0.2">
      <c r="A21" s="3" t="s">
        <v>23</v>
      </c>
      <c r="B21" s="1">
        <v>8.1999999999999993</v>
      </c>
      <c r="C21" t="s">
        <v>18</v>
      </c>
      <c r="D21" s="1" t="s">
        <v>11</v>
      </c>
    </row>
    <row r="38" spans="1:4" x14ac:dyDescent="0.2">
      <c r="A38" t="s">
        <v>24</v>
      </c>
      <c r="B38">
        <f>(10^6/B9-53)/45</f>
        <v>43.266666666666666</v>
      </c>
      <c r="C38" t="s">
        <v>18</v>
      </c>
    </row>
    <row r="39" spans="1:4" ht="28.5" x14ac:dyDescent="0.2">
      <c r="A39" s="3" t="s">
        <v>25</v>
      </c>
      <c r="B39" s="1">
        <v>43.2</v>
      </c>
      <c r="C39" t="s">
        <v>18</v>
      </c>
      <c r="D39" s="1" t="s">
        <v>11</v>
      </c>
    </row>
    <row r="49" spans="1:7" x14ac:dyDescent="0.2">
      <c r="A49" t="s">
        <v>27</v>
      </c>
      <c r="B49">
        <v>41.2</v>
      </c>
      <c r="C49" t="s">
        <v>18</v>
      </c>
    </row>
    <row r="50" spans="1:7" x14ac:dyDescent="0.2">
      <c r="A50" t="s">
        <v>28</v>
      </c>
      <c r="B50">
        <v>71.5</v>
      </c>
      <c r="C50" t="s">
        <v>18</v>
      </c>
    </row>
    <row r="51" spans="1:7" ht="28.5" x14ac:dyDescent="0.2">
      <c r="A51" s="3" t="s">
        <v>26</v>
      </c>
      <c r="B51" s="1">
        <v>41.2</v>
      </c>
      <c r="C51" t="s">
        <v>18</v>
      </c>
      <c r="D51" s="1" t="s">
        <v>11</v>
      </c>
    </row>
    <row r="54" spans="1:7" x14ac:dyDescent="0.2">
      <c r="A54" t="s">
        <v>29</v>
      </c>
      <c r="B54">
        <v>0.8</v>
      </c>
      <c r="C54" t="s">
        <v>0</v>
      </c>
    </row>
    <row r="55" spans="1:7" x14ac:dyDescent="0.2">
      <c r="A55" t="s">
        <v>31</v>
      </c>
      <c r="B55">
        <v>10</v>
      </c>
      <c r="C55" t="s">
        <v>18</v>
      </c>
    </row>
    <row r="56" spans="1:7" x14ac:dyDescent="0.2">
      <c r="A56" t="s">
        <v>32</v>
      </c>
      <c r="B56">
        <v>20</v>
      </c>
      <c r="C56" t="s">
        <v>18</v>
      </c>
    </row>
    <row r="57" spans="1:7" ht="28.5" x14ac:dyDescent="0.2">
      <c r="A57" s="3" t="s">
        <v>30</v>
      </c>
      <c r="B57" s="2">
        <v>9.09</v>
      </c>
      <c r="C57" t="s">
        <v>18</v>
      </c>
      <c r="D57" s="2" t="s">
        <v>12</v>
      </c>
    </row>
    <row r="58" spans="1:7" x14ac:dyDescent="0.2">
      <c r="A58" t="s">
        <v>33</v>
      </c>
      <c r="B58">
        <f>(B6/B54-1)*B55</f>
        <v>109.99999999999999</v>
      </c>
      <c r="C58" t="s">
        <v>18</v>
      </c>
    </row>
    <row r="59" spans="1:7" x14ac:dyDescent="0.2">
      <c r="A59" t="s">
        <v>34</v>
      </c>
      <c r="B59">
        <f>(B6/B54-1)*B56</f>
        <v>219.99999999999997</v>
      </c>
      <c r="C59" t="s">
        <v>18</v>
      </c>
    </row>
    <row r="60" spans="1:7" ht="28.5" x14ac:dyDescent="0.2">
      <c r="A60" s="3" t="s">
        <v>35</v>
      </c>
      <c r="B60" s="2">
        <f>9.09+90.9</f>
        <v>99.990000000000009</v>
      </c>
      <c r="C60" t="s">
        <v>18</v>
      </c>
      <c r="D60" s="2" t="s">
        <v>12</v>
      </c>
    </row>
    <row r="61" spans="1:7" ht="33" customHeight="1" x14ac:dyDescent="0.2">
      <c r="A61" s="8" t="s">
        <v>36</v>
      </c>
      <c r="B61" s="9"/>
      <c r="C61" s="9"/>
      <c r="D61" s="9"/>
      <c r="E61" s="10"/>
      <c r="F61" s="10"/>
      <c r="G61" s="10"/>
    </row>
    <row r="65" spans="1:4" x14ac:dyDescent="0.2">
      <c r="A65" t="s">
        <v>38</v>
      </c>
      <c r="B65">
        <f>B8*10^-9*B9*10^3</f>
        <v>2.5000000000000001E-2</v>
      </c>
    </row>
    <row r="66" spans="1:4" ht="28.5" x14ac:dyDescent="0.2">
      <c r="A66" s="3" t="s">
        <v>39</v>
      </c>
      <c r="B66" s="6">
        <f>B6/B5</f>
        <v>0.26666666666666666</v>
      </c>
      <c r="D66" s="1" t="s">
        <v>11</v>
      </c>
    </row>
    <row r="69" spans="1:4" x14ac:dyDescent="0.2">
      <c r="A69" t="s">
        <v>41</v>
      </c>
      <c r="B69" s="2">
        <v>10</v>
      </c>
      <c r="C69" t="s">
        <v>40</v>
      </c>
      <c r="D69" s="2" t="s">
        <v>12</v>
      </c>
    </row>
    <row r="70" spans="1:4" x14ac:dyDescent="0.2">
      <c r="A70" t="s">
        <v>42</v>
      </c>
      <c r="B70">
        <f>B6*B69/(24*B9/1000)</f>
        <v>8</v>
      </c>
      <c r="C70" t="s">
        <v>43</v>
      </c>
    </row>
    <row r="71" spans="1:4" x14ac:dyDescent="0.2">
      <c r="A71" t="s">
        <v>71</v>
      </c>
      <c r="B71">
        <f>B6*(1-B6/B3)/(B81*B9*10^3)*10^6</f>
        <v>1.2157394843962013</v>
      </c>
      <c r="C71" t="s">
        <v>43</v>
      </c>
    </row>
    <row r="72" spans="1:4" x14ac:dyDescent="0.2">
      <c r="A72" t="s">
        <v>70</v>
      </c>
      <c r="B72">
        <f>B6*(1-B6/B5)/(B81*B9*10^3)*10^6</f>
        <v>7.0049751243781104</v>
      </c>
      <c r="C72" t="s">
        <v>43</v>
      </c>
    </row>
    <row r="73" spans="1:4" x14ac:dyDescent="0.2">
      <c r="A73" t="s">
        <v>44</v>
      </c>
      <c r="B73">
        <v>4.7</v>
      </c>
      <c r="C73" t="s">
        <v>43</v>
      </c>
      <c r="D73" s="1" t="s">
        <v>11</v>
      </c>
    </row>
    <row r="76" spans="1:4" x14ac:dyDescent="0.2">
      <c r="A76" s="4" t="s">
        <v>144</v>
      </c>
      <c r="B76" s="2"/>
      <c r="C76" s="2"/>
      <c r="D76" s="2"/>
    </row>
    <row r="79" spans="1:4" x14ac:dyDescent="0.2">
      <c r="A79" t="s">
        <v>45</v>
      </c>
      <c r="B79">
        <v>60</v>
      </c>
      <c r="C79" t="s">
        <v>46</v>
      </c>
    </row>
    <row r="80" spans="1:4" x14ac:dyDescent="0.2">
      <c r="A80" t="s">
        <v>47</v>
      </c>
      <c r="B80">
        <v>6.7</v>
      </c>
      <c r="C80" t="s">
        <v>48</v>
      </c>
    </row>
    <row r="81" spans="1:4" x14ac:dyDescent="0.2">
      <c r="A81" t="s">
        <v>72</v>
      </c>
      <c r="B81">
        <f>B80*0.3</f>
        <v>2.0099999999999998</v>
      </c>
      <c r="C81" t="s">
        <v>48</v>
      </c>
    </row>
    <row r="82" spans="1:4" x14ac:dyDescent="0.2">
      <c r="A82" t="s">
        <v>120</v>
      </c>
      <c r="B82">
        <f>B6*(1-B6/B5)/(B73*10^-6*B9*1000)</f>
        <v>2.9957446808510637</v>
      </c>
      <c r="C82" t="s">
        <v>48</v>
      </c>
    </row>
    <row r="83" spans="1:4" x14ac:dyDescent="0.2">
      <c r="A83" t="s">
        <v>49</v>
      </c>
      <c r="B83">
        <f>B79/(B80+B82/2)</f>
        <v>7.318972229431612</v>
      </c>
      <c r="C83" t="s">
        <v>40</v>
      </c>
    </row>
    <row r="84" spans="1:4" x14ac:dyDescent="0.2">
      <c r="A84" t="s">
        <v>121</v>
      </c>
      <c r="B84">
        <f>B80+B81/2</f>
        <v>7.7050000000000001</v>
      </c>
      <c r="C84" t="s">
        <v>48</v>
      </c>
    </row>
    <row r="85" spans="1:4" x14ac:dyDescent="0.2">
      <c r="A85" t="s">
        <v>122</v>
      </c>
      <c r="B85">
        <f>B80+B82/2</f>
        <v>8.1978723404255316</v>
      </c>
      <c r="C85" t="s">
        <v>48</v>
      </c>
    </row>
    <row r="86" spans="1:4" ht="28.5" x14ac:dyDescent="0.2">
      <c r="A86" s="3" t="s">
        <v>50</v>
      </c>
      <c r="B86" s="1">
        <v>14</v>
      </c>
      <c r="C86" t="s">
        <v>48</v>
      </c>
      <c r="D86" s="1" t="s">
        <v>11</v>
      </c>
    </row>
    <row r="87" spans="1:4" x14ac:dyDescent="0.2">
      <c r="A87" t="s">
        <v>51</v>
      </c>
      <c r="B87">
        <v>14.8</v>
      </c>
      <c r="C87" t="s">
        <v>40</v>
      </c>
    </row>
    <row r="88" spans="1:4" x14ac:dyDescent="0.2">
      <c r="A88" t="s">
        <v>52</v>
      </c>
      <c r="B88">
        <f>B80*B80*B87/1000</f>
        <v>0.66437200000000007</v>
      </c>
      <c r="C88" t="s">
        <v>53</v>
      </c>
    </row>
    <row r="89" spans="1:4" x14ac:dyDescent="0.2">
      <c r="A89" t="s">
        <v>54</v>
      </c>
      <c r="B89">
        <f>40/(8*8*B87/1000)</f>
        <v>42.229729729729726</v>
      </c>
      <c r="C89" t="s">
        <v>55</v>
      </c>
    </row>
    <row r="90" spans="1:4" x14ac:dyDescent="0.2">
      <c r="A90" t="s">
        <v>56</v>
      </c>
      <c r="B90">
        <v>60</v>
      </c>
      <c r="C90" t="s">
        <v>57</v>
      </c>
    </row>
    <row r="91" spans="1:4" x14ac:dyDescent="0.2">
      <c r="A91" t="s">
        <v>59</v>
      </c>
      <c r="B91">
        <v>125</v>
      </c>
      <c r="C91" t="s">
        <v>57</v>
      </c>
    </row>
    <row r="92" spans="1:4" x14ac:dyDescent="0.2">
      <c r="A92" t="s">
        <v>58</v>
      </c>
      <c r="B92" s="1">
        <f>B90+B89*B88</f>
        <v>88.056250000000006</v>
      </c>
      <c r="C92" t="s">
        <v>57</v>
      </c>
      <c r="D92" s="1" t="s">
        <v>11</v>
      </c>
    </row>
    <row r="106" spans="1:4" ht="28.5" x14ac:dyDescent="0.2">
      <c r="A106" s="3" t="s">
        <v>69</v>
      </c>
      <c r="B106">
        <v>39</v>
      </c>
      <c r="C106" t="s">
        <v>60</v>
      </c>
    </row>
    <row r="107" spans="1:4" ht="28.5" x14ac:dyDescent="0.2">
      <c r="A107" s="3" t="s">
        <v>62</v>
      </c>
      <c r="B107" s="2">
        <v>0.1</v>
      </c>
      <c r="C107" t="s">
        <v>61</v>
      </c>
      <c r="D107" s="2" t="s">
        <v>12</v>
      </c>
    </row>
    <row r="108" spans="1:4" x14ac:dyDescent="0.2">
      <c r="A108" t="s">
        <v>63</v>
      </c>
      <c r="B108">
        <v>100</v>
      </c>
      <c r="C108" t="s">
        <v>46</v>
      </c>
    </row>
    <row r="109" spans="1:4" x14ac:dyDescent="0.2">
      <c r="A109" t="s">
        <v>64</v>
      </c>
      <c r="B109">
        <v>300</v>
      </c>
      <c r="C109" t="s">
        <v>46</v>
      </c>
    </row>
    <row r="110" spans="1:4" x14ac:dyDescent="0.2">
      <c r="A110" t="s">
        <v>65</v>
      </c>
      <c r="B110" s="2">
        <f>B106*10^-9/(B107*10^-6)*1000</f>
        <v>390.00000000000006</v>
      </c>
      <c r="C110" t="s">
        <v>46</v>
      </c>
      <c r="D110" s="2" t="s">
        <v>12</v>
      </c>
    </row>
    <row r="111" spans="1:4" x14ac:dyDescent="0.2">
      <c r="A111" t="s">
        <v>67</v>
      </c>
      <c r="B111">
        <f>B106*10^-9/(B109*10^-3)*10^6</f>
        <v>0.13000000000000003</v>
      </c>
      <c r="C111" t="s">
        <v>61</v>
      </c>
    </row>
    <row r="112" spans="1:4" x14ac:dyDescent="0.2">
      <c r="A112" t="s">
        <v>66</v>
      </c>
      <c r="B112">
        <f>B106*10^-9/(B108*10^-3)*10^6</f>
        <v>0.39</v>
      </c>
      <c r="C112" t="s">
        <v>61</v>
      </c>
    </row>
    <row r="113" spans="1:4" ht="40.5" customHeight="1" x14ac:dyDescent="0.2">
      <c r="A113" s="8" t="s">
        <v>68</v>
      </c>
      <c r="B113" s="9"/>
      <c r="C113" s="9"/>
      <c r="D113" s="9"/>
    </row>
    <row r="130" spans="1:4" x14ac:dyDescent="0.2">
      <c r="A130" t="s">
        <v>73</v>
      </c>
      <c r="B130">
        <v>26</v>
      </c>
      <c r="C130" t="s">
        <v>40</v>
      </c>
    </row>
    <row r="131" spans="1:4" x14ac:dyDescent="0.2">
      <c r="A131" t="s">
        <v>74</v>
      </c>
      <c r="B131">
        <v>2</v>
      </c>
      <c r="C131" t="s">
        <v>48</v>
      </c>
    </row>
    <row r="132" spans="1:4" ht="42.75" x14ac:dyDescent="0.2">
      <c r="A132" s="3" t="s">
        <v>76</v>
      </c>
      <c r="B132">
        <v>16</v>
      </c>
      <c r="C132" t="s">
        <v>0</v>
      </c>
    </row>
    <row r="133" spans="1:4" ht="28.5" x14ac:dyDescent="0.2">
      <c r="A133" s="3" t="s">
        <v>75</v>
      </c>
      <c r="B133" s="1">
        <v>270</v>
      </c>
      <c r="C133" t="s">
        <v>61</v>
      </c>
      <c r="D133" s="1" t="s">
        <v>11</v>
      </c>
    </row>
    <row r="134" spans="1:4" x14ac:dyDescent="0.2">
      <c r="A134" t="s">
        <v>77</v>
      </c>
      <c r="B134">
        <v>0.08</v>
      </c>
      <c r="C134" t="s">
        <v>0</v>
      </c>
    </row>
    <row r="135" spans="1:4" x14ac:dyDescent="0.2">
      <c r="A135" t="s">
        <v>78</v>
      </c>
      <c r="B135">
        <f>B82/(8*B9*10^3*(B134^2-(B130/1000*B82)^2)^0.5)*10^6</f>
        <v>41.026216160418613</v>
      </c>
      <c r="C135" t="s">
        <v>61</v>
      </c>
    </row>
    <row r="136" spans="1:4" x14ac:dyDescent="0.2">
      <c r="A136" t="s">
        <v>79</v>
      </c>
      <c r="B136">
        <f>B73*10^-6*B80^2/((B6+B134)^2-B6^2)*10^6</f>
        <v>136.78877074688791</v>
      </c>
      <c r="C136" t="s">
        <v>61</v>
      </c>
    </row>
    <row r="145" spans="1:14" x14ac:dyDescent="0.2">
      <c r="A145" t="s">
        <v>77</v>
      </c>
      <c r="B145">
        <v>0.2</v>
      </c>
      <c r="C145" t="s">
        <v>0</v>
      </c>
    </row>
    <row r="146" spans="1:14" x14ac:dyDescent="0.2">
      <c r="A146" t="s">
        <v>81</v>
      </c>
      <c r="B146">
        <f>B6/B3</f>
        <v>0.87272727272727268</v>
      </c>
    </row>
    <row r="147" spans="1:14" x14ac:dyDescent="0.2">
      <c r="A147" t="s">
        <v>80</v>
      </c>
      <c r="B147">
        <f>B6/B5</f>
        <v>0.26666666666666666</v>
      </c>
    </row>
    <row r="148" spans="1:14" x14ac:dyDescent="0.2">
      <c r="A148" t="s">
        <v>82</v>
      </c>
      <c r="B148">
        <v>5.0000000000000001E-3</v>
      </c>
      <c r="C148" t="s">
        <v>83</v>
      </c>
    </row>
    <row r="149" spans="1:14" x14ac:dyDescent="0.2">
      <c r="A149" t="s">
        <v>84</v>
      </c>
      <c r="B149">
        <f>B146*(1-B146)*B80/(B9*10^3*(B145-B148*B80))*10^6</f>
        <v>8.9393194847740336</v>
      </c>
      <c r="C149" t="s">
        <v>61</v>
      </c>
    </row>
    <row r="150" spans="1:14" x14ac:dyDescent="0.2">
      <c r="A150" t="s">
        <v>85</v>
      </c>
      <c r="B150">
        <f>B147*(1-B147)*B80/(B9*10^3*(B145-B148*B80))*10^6</f>
        <v>15.738405071738407</v>
      </c>
      <c r="C150" t="s">
        <v>61</v>
      </c>
    </row>
    <row r="151" spans="1:14" ht="42.75" x14ac:dyDescent="0.2">
      <c r="A151" s="3" t="s">
        <v>87</v>
      </c>
      <c r="B151">
        <v>50</v>
      </c>
      <c r="C151" t="s">
        <v>0</v>
      </c>
      <c r="K151" s="3" t="s">
        <v>87</v>
      </c>
      <c r="L151">
        <v>50</v>
      </c>
      <c r="M151" t="s">
        <v>0</v>
      </c>
    </row>
    <row r="152" spans="1:14" x14ac:dyDescent="0.2">
      <c r="A152" t="s">
        <v>138</v>
      </c>
      <c r="B152" s="2">
        <f>4.7*2</f>
        <v>9.4</v>
      </c>
      <c r="C152" t="s">
        <v>61</v>
      </c>
      <c r="K152" t="s">
        <v>86</v>
      </c>
      <c r="L152" s="2">
        <f>10*5</f>
        <v>50</v>
      </c>
      <c r="M152" t="s">
        <v>61</v>
      </c>
    </row>
    <row r="153" spans="1:14" x14ac:dyDescent="0.2">
      <c r="A153" t="s">
        <v>139</v>
      </c>
      <c r="B153">
        <f>B152*(1-B3/B151)</f>
        <v>7.3320000000000007</v>
      </c>
      <c r="C153" t="s">
        <v>61</v>
      </c>
      <c r="K153" t="s">
        <v>88</v>
      </c>
      <c r="L153">
        <f>L152*(1-11/L151)</f>
        <v>39</v>
      </c>
      <c r="M153" t="s">
        <v>61</v>
      </c>
    </row>
    <row r="154" spans="1:14" x14ac:dyDescent="0.2">
      <c r="A154" t="s">
        <v>140</v>
      </c>
      <c r="B154" s="2">
        <f>B152*(1-B5/B151)</f>
        <v>2.6320000000000006</v>
      </c>
      <c r="C154" t="s">
        <v>61</v>
      </c>
      <c r="D154" s="2" t="s">
        <v>12</v>
      </c>
      <c r="K154" t="s">
        <v>89</v>
      </c>
      <c r="L154" s="2">
        <f>L152*(1-36/L151)</f>
        <v>14.000000000000002</v>
      </c>
      <c r="M154" t="s">
        <v>61</v>
      </c>
      <c r="N154" s="2" t="s">
        <v>12</v>
      </c>
    </row>
    <row r="155" spans="1:14" ht="48.75" customHeight="1" x14ac:dyDescent="0.2">
      <c r="A155" s="8" t="s">
        <v>90</v>
      </c>
      <c r="B155" s="9"/>
      <c r="C155" s="9"/>
      <c r="D155" s="9"/>
    </row>
    <row r="158" spans="1:14" x14ac:dyDescent="0.2">
      <c r="A158" t="s">
        <v>91</v>
      </c>
      <c r="B158" s="7">
        <f>B80*B146*(1-B146)/(B9*1000*B153*10^-6)+B80*B148</f>
        <v>0.23650009468288</v>
      </c>
      <c r="C158" t="s">
        <v>0</v>
      </c>
    </row>
    <row r="159" spans="1:14" x14ac:dyDescent="0.2">
      <c r="A159" t="s">
        <v>92</v>
      </c>
      <c r="B159" s="7">
        <f>B80*B147*(1-B147)/(B9*1000*B153*10^-6)+B80*B148</f>
        <v>0.39089831484512338</v>
      </c>
      <c r="C159" t="s">
        <v>0</v>
      </c>
    </row>
    <row r="163" spans="1:3" x14ac:dyDescent="0.2">
      <c r="A163" t="s">
        <v>103</v>
      </c>
      <c r="B163">
        <v>5</v>
      </c>
      <c r="C163" t="s">
        <v>0</v>
      </c>
    </row>
    <row r="164" spans="1:3" x14ac:dyDescent="0.2">
      <c r="A164" t="s">
        <v>110</v>
      </c>
    </row>
    <row r="165" spans="1:3" x14ac:dyDescent="0.2">
      <c r="A165" t="s">
        <v>93</v>
      </c>
      <c r="B165">
        <v>5.6</v>
      </c>
      <c r="C165" t="s">
        <v>40</v>
      </c>
    </row>
    <row r="166" spans="1:3" x14ac:dyDescent="0.2">
      <c r="A166" t="s">
        <v>94</v>
      </c>
      <c r="B166">
        <v>12</v>
      </c>
      <c r="C166" t="s">
        <v>95</v>
      </c>
    </row>
    <row r="167" spans="1:3" x14ac:dyDescent="0.2">
      <c r="A167" t="s">
        <v>96</v>
      </c>
      <c r="B167">
        <v>38</v>
      </c>
      <c r="C167" t="s">
        <v>95</v>
      </c>
    </row>
    <row r="168" spans="1:3" x14ac:dyDescent="0.2">
      <c r="A168" t="s">
        <v>97</v>
      </c>
      <c r="B168">
        <v>39</v>
      </c>
      <c r="C168" t="s">
        <v>60</v>
      </c>
    </row>
    <row r="169" spans="1:3" x14ac:dyDescent="0.2">
      <c r="A169" t="s">
        <v>98</v>
      </c>
      <c r="B169">
        <f>B146*(B80^2+B82^2/12)*B165/1000</f>
        <v>0.22304473619490514</v>
      </c>
      <c r="C169" t="s">
        <v>53</v>
      </c>
    </row>
    <row r="170" spans="1:3" x14ac:dyDescent="0.2">
      <c r="A170" t="s">
        <v>99</v>
      </c>
      <c r="B170">
        <f>B147*(B80^2+B82^2/12)*B165/1000</f>
        <v>6.8152558281776562E-2</v>
      </c>
      <c r="C170" t="s">
        <v>53</v>
      </c>
    </row>
    <row r="171" spans="1:3" x14ac:dyDescent="0.2">
      <c r="A171" t="s">
        <v>100</v>
      </c>
      <c r="B171">
        <f>0.5*B3*B9*1000*((B80-B82/2)*B166*10^-9+(B80+B82/2)*B167*10^-9)</f>
        <v>1.0283478723404256</v>
      </c>
      <c r="C171" t="s">
        <v>53</v>
      </c>
    </row>
    <row r="172" spans="1:3" x14ac:dyDescent="0.2">
      <c r="A172" t="s">
        <v>101</v>
      </c>
      <c r="B172">
        <f>0.5*B5*B9*1000*((B80-B82/2)*B166*10^-9+(B80+B82/2)*B167*10^-9)</f>
        <v>3.3655021276595751</v>
      </c>
      <c r="C172" t="s">
        <v>53</v>
      </c>
    </row>
    <row r="173" spans="1:3" x14ac:dyDescent="0.2">
      <c r="A173" t="s">
        <v>102</v>
      </c>
      <c r="B173">
        <f>B163*B9*1000*B168*10^-9</f>
        <v>9.7500000000000003E-2</v>
      </c>
      <c r="C173" t="s">
        <v>53</v>
      </c>
    </row>
    <row r="174" spans="1:3" x14ac:dyDescent="0.2">
      <c r="A174" t="s">
        <v>109</v>
      </c>
      <c r="B174">
        <f>B173/B163</f>
        <v>1.95E-2</v>
      </c>
      <c r="C174" t="s">
        <v>48</v>
      </c>
    </row>
    <row r="175" spans="1:3" x14ac:dyDescent="0.2">
      <c r="A175" t="s">
        <v>104</v>
      </c>
      <c r="B175">
        <f>B169+B171+B173</f>
        <v>1.3488926085353306</v>
      </c>
      <c r="C175" t="s">
        <v>53</v>
      </c>
    </row>
    <row r="176" spans="1:3" x14ac:dyDescent="0.2">
      <c r="A176" t="s">
        <v>105</v>
      </c>
      <c r="B176">
        <f>B170+B172+B173</f>
        <v>3.5311546859413516</v>
      </c>
      <c r="C176" t="s">
        <v>53</v>
      </c>
    </row>
    <row r="177" spans="1:4" x14ac:dyDescent="0.2">
      <c r="A177" t="s">
        <v>56</v>
      </c>
      <c r="B177">
        <v>60</v>
      </c>
      <c r="C177" t="s">
        <v>57</v>
      </c>
    </row>
    <row r="178" spans="1:4" x14ac:dyDescent="0.2">
      <c r="A178" t="s">
        <v>54</v>
      </c>
      <c r="B178">
        <v>60</v>
      </c>
      <c r="C178" t="s">
        <v>55</v>
      </c>
    </row>
    <row r="179" spans="1:4" x14ac:dyDescent="0.2">
      <c r="A179" t="s">
        <v>107</v>
      </c>
      <c r="B179">
        <v>150</v>
      </c>
      <c r="C179" t="s">
        <v>57</v>
      </c>
    </row>
    <row r="180" spans="1:4" x14ac:dyDescent="0.2">
      <c r="A180" t="s">
        <v>106</v>
      </c>
      <c r="B180" s="1">
        <f>B177+B175*B178</f>
        <v>140.93355651211982</v>
      </c>
      <c r="C180" t="s">
        <v>57</v>
      </c>
      <c r="D180" s="1" t="s">
        <v>11</v>
      </c>
    </row>
    <row r="181" spans="1:4" x14ac:dyDescent="0.2">
      <c r="A181" t="s">
        <v>108</v>
      </c>
      <c r="B181" s="2">
        <f>B177+B176*B178</f>
        <v>271.86928115648107</v>
      </c>
      <c r="C181" t="s">
        <v>57</v>
      </c>
      <c r="D181" s="2" t="s">
        <v>12</v>
      </c>
    </row>
    <row r="183" spans="1:4" x14ac:dyDescent="0.2">
      <c r="A183" t="s">
        <v>111</v>
      </c>
    </row>
    <row r="184" spans="1:4" x14ac:dyDescent="0.2">
      <c r="A184" t="s">
        <v>93</v>
      </c>
      <c r="B184">
        <v>5.6</v>
      </c>
      <c r="C184" t="s">
        <v>40</v>
      </c>
    </row>
    <row r="185" spans="1:4" x14ac:dyDescent="0.2">
      <c r="A185" t="s">
        <v>112</v>
      </c>
      <c r="B185">
        <v>25</v>
      </c>
      <c r="C185" t="s">
        <v>95</v>
      </c>
    </row>
    <row r="186" spans="1:4" x14ac:dyDescent="0.2">
      <c r="A186" t="s">
        <v>113</v>
      </c>
      <c r="B186">
        <v>90</v>
      </c>
      <c r="C186" t="s">
        <v>95</v>
      </c>
    </row>
    <row r="187" spans="1:4" x14ac:dyDescent="0.2">
      <c r="A187" t="s">
        <v>97</v>
      </c>
      <c r="B187">
        <v>39</v>
      </c>
      <c r="C187" t="s">
        <v>60</v>
      </c>
    </row>
    <row r="188" spans="1:4" x14ac:dyDescent="0.2">
      <c r="A188" t="s">
        <v>114</v>
      </c>
      <c r="B188">
        <v>0.8</v>
      </c>
      <c r="C188" t="s">
        <v>0</v>
      </c>
    </row>
    <row r="189" spans="1:4" x14ac:dyDescent="0.2">
      <c r="A189" t="s">
        <v>115</v>
      </c>
      <c r="B189">
        <v>41</v>
      </c>
      <c r="C189" t="s">
        <v>60</v>
      </c>
    </row>
    <row r="190" spans="1:4" x14ac:dyDescent="0.2">
      <c r="A190" t="s">
        <v>98</v>
      </c>
      <c r="B190">
        <f>(1-B146)*(B80^2+B82^2/12)*B184/1000</f>
        <v>3.2527357361757006E-2</v>
      </c>
      <c r="C190" t="s">
        <v>53</v>
      </c>
    </row>
    <row r="191" spans="1:4" x14ac:dyDescent="0.2">
      <c r="A191" t="s">
        <v>99</v>
      </c>
      <c r="B191">
        <f>(1-B147)*(B80^2+B82^2/12)*B184/1000</f>
        <v>0.18741953527488556</v>
      </c>
      <c r="C191" t="s">
        <v>53</v>
      </c>
    </row>
    <row r="192" spans="1:4" x14ac:dyDescent="0.2">
      <c r="A192" t="s">
        <v>116</v>
      </c>
      <c r="B192">
        <f>B163*B9*1000*B187*10^-9</f>
        <v>9.7500000000000003E-2</v>
      </c>
      <c r="C192" t="s">
        <v>53</v>
      </c>
    </row>
    <row r="193" spans="1:4" x14ac:dyDescent="0.2">
      <c r="A193" t="s">
        <v>109</v>
      </c>
      <c r="B193">
        <f>B192/B163</f>
        <v>1.95E-2</v>
      </c>
      <c r="C193" t="s">
        <v>48</v>
      </c>
    </row>
    <row r="194" spans="1:4" x14ac:dyDescent="0.2">
      <c r="A194" t="s">
        <v>117</v>
      </c>
      <c r="B194">
        <f>B188*B9*1000*((B80+B82/2)*B185*10^-9+(B80-B82/2)*B186*10^-9)</f>
        <v>0.26925531914893619</v>
      </c>
      <c r="C194" t="s">
        <v>53</v>
      </c>
    </row>
    <row r="195" spans="1:4" x14ac:dyDescent="0.2">
      <c r="A195" t="s">
        <v>118</v>
      </c>
      <c r="B195">
        <f>B3*B9*1000*B189*10^-9</f>
        <v>0.22550000000000001</v>
      </c>
      <c r="C195" t="s">
        <v>53</v>
      </c>
    </row>
    <row r="196" spans="1:4" x14ac:dyDescent="0.2">
      <c r="A196" t="s">
        <v>119</v>
      </c>
      <c r="B196">
        <f>B5*B9*1000*B189*10^-9</f>
        <v>0.7380000000000001</v>
      </c>
      <c r="C196" t="s">
        <v>53</v>
      </c>
    </row>
    <row r="197" spans="1:4" x14ac:dyDescent="0.2">
      <c r="A197" t="s">
        <v>104</v>
      </c>
      <c r="B197">
        <f>B190+B192+B194+B195</f>
        <v>0.62478267651069319</v>
      </c>
      <c r="C197" t="s">
        <v>53</v>
      </c>
    </row>
    <row r="198" spans="1:4" x14ac:dyDescent="0.2">
      <c r="A198" t="s">
        <v>105</v>
      </c>
      <c r="B198">
        <f>B191+B192+B194+B196</f>
        <v>1.2921748544238219</v>
      </c>
      <c r="C198" t="s">
        <v>53</v>
      </c>
    </row>
    <row r="199" spans="1:4" x14ac:dyDescent="0.2">
      <c r="A199" t="s">
        <v>56</v>
      </c>
      <c r="B199">
        <v>60</v>
      </c>
      <c r="C199" t="s">
        <v>57</v>
      </c>
    </row>
    <row r="200" spans="1:4" x14ac:dyDescent="0.2">
      <c r="A200" t="s">
        <v>54</v>
      </c>
      <c r="B200">
        <v>60</v>
      </c>
      <c r="C200" t="s">
        <v>55</v>
      </c>
    </row>
    <row r="201" spans="1:4" x14ac:dyDescent="0.2">
      <c r="A201" t="s">
        <v>107</v>
      </c>
      <c r="B201">
        <v>150</v>
      </c>
      <c r="C201" t="s">
        <v>57</v>
      </c>
    </row>
    <row r="202" spans="1:4" x14ac:dyDescent="0.2">
      <c r="A202" t="s">
        <v>106</v>
      </c>
      <c r="B202" s="1">
        <f>B199+B197*B200</f>
        <v>97.486960590641587</v>
      </c>
      <c r="C202" t="s">
        <v>57</v>
      </c>
      <c r="D202" s="1" t="s">
        <v>11</v>
      </c>
    </row>
    <row r="203" spans="1:4" x14ac:dyDescent="0.2">
      <c r="A203" t="s">
        <v>108</v>
      </c>
      <c r="B203" s="1">
        <f>B199+B198*B200</f>
        <v>137.5304912654293</v>
      </c>
      <c r="C203" t="s">
        <v>57</v>
      </c>
      <c r="D203" s="1" t="s">
        <v>11</v>
      </c>
    </row>
    <row r="206" spans="1:4" x14ac:dyDescent="0.2">
      <c r="A206" s="8" t="s">
        <v>123</v>
      </c>
      <c r="B206" s="9"/>
      <c r="C206" s="9"/>
      <c r="D206" s="9"/>
    </row>
    <row r="226" spans="1:4" x14ac:dyDescent="0.2">
      <c r="A226" t="s">
        <v>124</v>
      </c>
      <c r="B226">
        <f>B9/10</f>
        <v>50</v>
      </c>
      <c r="C226" t="s">
        <v>5</v>
      </c>
    </row>
    <row r="227" spans="1:4" x14ac:dyDescent="0.2">
      <c r="A227" t="s">
        <v>125</v>
      </c>
      <c r="B227">
        <v>10</v>
      </c>
    </row>
    <row r="228" spans="1:4" x14ac:dyDescent="0.2">
      <c r="A228" t="s">
        <v>126</v>
      </c>
      <c r="B228">
        <v>1200</v>
      </c>
      <c r="C228" t="s">
        <v>127</v>
      </c>
    </row>
    <row r="229" spans="1:4" x14ac:dyDescent="0.2">
      <c r="A229" t="s">
        <v>128</v>
      </c>
      <c r="B229">
        <f>2*3.14*B226*1000*(B6/B54)*B69*10^-3*B227*B133*10^-6/(B228*10^-6)*10^-3</f>
        <v>84.779999999999987</v>
      </c>
      <c r="C229" t="s">
        <v>18</v>
      </c>
    </row>
    <row r="230" spans="1:4" ht="28.5" x14ac:dyDescent="0.2">
      <c r="A230" s="3" t="s">
        <v>129</v>
      </c>
      <c r="B230" s="2">
        <v>47.5</v>
      </c>
      <c r="C230" t="s">
        <v>18</v>
      </c>
      <c r="D230" s="2" t="s">
        <v>12</v>
      </c>
    </row>
    <row r="231" spans="1:4" x14ac:dyDescent="0.2">
      <c r="A231" t="s">
        <v>130</v>
      </c>
      <c r="B231">
        <f>10/(2*3.14*B226*1000*B229*1000)*10^12</f>
        <v>375.64441799907746</v>
      </c>
      <c r="C231" t="s">
        <v>131</v>
      </c>
    </row>
    <row r="232" spans="1:4" ht="28.5" x14ac:dyDescent="0.2">
      <c r="A232" s="3" t="s">
        <v>132</v>
      </c>
      <c r="B232" s="2">
        <v>10000</v>
      </c>
      <c r="C232" t="s">
        <v>131</v>
      </c>
      <c r="D232" s="2" t="s">
        <v>12</v>
      </c>
    </row>
    <row r="233" spans="1:4" x14ac:dyDescent="0.2">
      <c r="A233" t="s">
        <v>133</v>
      </c>
      <c r="B233">
        <v>31</v>
      </c>
      <c r="C233" t="s">
        <v>131</v>
      </c>
    </row>
    <row r="234" spans="1:4" x14ac:dyDescent="0.2">
      <c r="A234" s="3" t="s">
        <v>134</v>
      </c>
      <c r="B234">
        <f>1/(2*3.14*B9*1000*B229*1000)*10^12-B233</f>
        <v>-27.243555820009224</v>
      </c>
      <c r="C234" t="s">
        <v>131</v>
      </c>
    </row>
    <row r="235" spans="1:4" x14ac:dyDescent="0.2">
      <c r="A235" t="s">
        <v>135</v>
      </c>
      <c r="B235" s="2">
        <v>220</v>
      </c>
      <c r="C235" t="s">
        <v>131</v>
      </c>
      <c r="D235" s="2" t="s">
        <v>12</v>
      </c>
    </row>
  </sheetData>
  <mergeCells count="4">
    <mergeCell ref="A61:G61"/>
    <mergeCell ref="A113:D113"/>
    <mergeCell ref="A155:D155"/>
    <mergeCell ref="A206:D20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LM5148RGYR 9.6Vout 150KHz</vt:lpstr>
      <vt:lpstr>LM5148RGYR 9.6Vout 500KHz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Randson Huang</dc:creator>
  <cp:lastModifiedBy>Randson Huang</cp:lastModifiedBy>
  <dcterms:created xsi:type="dcterms:W3CDTF">2015-06-05T18:19:34Z</dcterms:created>
  <dcterms:modified xsi:type="dcterms:W3CDTF">2024-03-11T03:39:55Z</dcterms:modified>
</cp:coreProperties>
</file>